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kinskaia.nd\Desktop\Для парсинга нарядов\"/>
    </mc:Choice>
  </mc:AlternateContent>
  <bookViews>
    <workbookView xWindow="0" yWindow="0" windowWidth="28800" windowHeight="12300"/>
  </bookViews>
  <sheets>
    <sheet name="SQLT0700" sheetId="1" r:id="rId1"/>
  </sheets>
  <calcPr calcId="162913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B2" i="1"/>
  <c r="D2" i="1"/>
  <c r="E2" i="1"/>
  <c r="F2" i="1"/>
  <c r="G2" i="1"/>
  <c r="H2" i="1"/>
  <c r="I2" i="1"/>
  <c r="J2" i="1"/>
  <c r="K2" i="1"/>
  <c r="L2" i="1"/>
  <c r="N2" i="1"/>
  <c r="O2" i="1"/>
  <c r="P2" i="1"/>
  <c r="Q2" i="1"/>
  <c r="R2" i="1"/>
  <c r="S2" i="1"/>
  <c r="T2" i="1"/>
  <c r="U2" i="1"/>
  <c r="V2" i="1"/>
  <c r="Y2" i="1"/>
  <c r="B3" i="1"/>
  <c r="D3" i="1"/>
  <c r="E3" i="1"/>
  <c r="F3" i="1"/>
  <c r="G3" i="1"/>
  <c r="H3" i="1"/>
  <c r="I3" i="1"/>
  <c r="J3" i="1"/>
  <c r="K3" i="1"/>
  <c r="L3" i="1"/>
  <c r="N3" i="1"/>
  <c r="O3" i="1"/>
  <c r="P3" i="1"/>
  <c r="Q3" i="1"/>
  <c r="R3" i="1"/>
  <c r="S3" i="1"/>
  <c r="T3" i="1"/>
  <c r="U3" i="1"/>
  <c r="V3" i="1"/>
  <c r="Y3" i="1"/>
  <c r="B4" i="1"/>
  <c r="D4" i="1"/>
  <c r="E4" i="1"/>
  <c r="F4" i="1"/>
  <c r="G4" i="1"/>
  <c r="H4" i="1"/>
  <c r="I4" i="1"/>
  <c r="J4" i="1"/>
  <c r="K4" i="1"/>
  <c r="L4" i="1"/>
  <c r="N4" i="1"/>
  <c r="O4" i="1"/>
  <c r="P4" i="1"/>
  <c r="Q4" i="1"/>
  <c r="R4" i="1"/>
  <c r="S4" i="1"/>
  <c r="T4" i="1"/>
  <c r="U4" i="1"/>
  <c r="V4" i="1"/>
  <c r="Y4" i="1"/>
  <c r="B5" i="1"/>
  <c r="D5" i="1"/>
  <c r="E5" i="1"/>
  <c r="F5" i="1"/>
  <c r="G5" i="1"/>
  <c r="H5" i="1"/>
  <c r="I5" i="1"/>
  <c r="J5" i="1"/>
  <c r="K5" i="1"/>
  <c r="L5" i="1"/>
  <c r="N5" i="1"/>
  <c r="O5" i="1"/>
  <c r="P5" i="1"/>
  <c r="Q5" i="1"/>
  <c r="R5" i="1"/>
  <c r="S5" i="1"/>
  <c r="T5" i="1"/>
  <c r="U5" i="1"/>
  <c r="V5" i="1"/>
  <c r="Y5" i="1"/>
  <c r="B6" i="1"/>
  <c r="D6" i="1"/>
  <c r="E6" i="1"/>
  <c r="F6" i="1"/>
  <c r="G6" i="1"/>
  <c r="H6" i="1"/>
  <c r="I6" i="1"/>
  <c r="J6" i="1"/>
  <c r="K6" i="1"/>
  <c r="L6" i="1"/>
  <c r="N6" i="1"/>
  <c r="O6" i="1"/>
  <c r="P6" i="1"/>
  <c r="Q6" i="1"/>
  <c r="R6" i="1"/>
  <c r="S6" i="1"/>
  <c r="T6" i="1"/>
  <c r="U6" i="1"/>
  <c r="V6" i="1"/>
  <c r="Y6" i="1"/>
  <c r="B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Y7" i="1"/>
  <c r="B8" i="1"/>
  <c r="D8" i="1"/>
  <c r="E8" i="1"/>
  <c r="F8" i="1"/>
  <c r="G8" i="1"/>
  <c r="H8" i="1"/>
  <c r="I8" i="1"/>
  <c r="J8" i="1"/>
  <c r="K8" i="1"/>
  <c r="L8" i="1"/>
  <c r="N8" i="1"/>
  <c r="O8" i="1"/>
  <c r="P8" i="1"/>
  <c r="Q8" i="1"/>
  <c r="R8" i="1"/>
  <c r="S8" i="1"/>
  <c r="T8" i="1"/>
  <c r="U8" i="1"/>
  <c r="V8" i="1"/>
  <c r="Y8" i="1"/>
  <c r="B9" i="1"/>
  <c r="D9" i="1"/>
  <c r="E9" i="1"/>
  <c r="F9" i="1"/>
  <c r="G9" i="1"/>
  <c r="H9" i="1"/>
  <c r="I9" i="1"/>
  <c r="J9" i="1"/>
  <c r="K9" i="1"/>
  <c r="L9" i="1"/>
  <c r="N9" i="1"/>
  <c r="O9" i="1"/>
  <c r="P9" i="1"/>
  <c r="Q9" i="1"/>
  <c r="R9" i="1"/>
  <c r="S9" i="1"/>
  <c r="T9" i="1"/>
  <c r="U9" i="1"/>
  <c r="V9" i="1"/>
  <c r="Y9" i="1"/>
  <c r="B10" i="1"/>
  <c r="D10" i="1"/>
  <c r="E10" i="1"/>
  <c r="F10" i="1"/>
  <c r="G10" i="1"/>
  <c r="H10" i="1"/>
  <c r="I10" i="1"/>
  <c r="J10" i="1"/>
  <c r="K10" i="1"/>
  <c r="L10" i="1"/>
  <c r="N10" i="1"/>
  <c r="O10" i="1"/>
  <c r="P10" i="1"/>
  <c r="Q10" i="1"/>
  <c r="R10" i="1"/>
  <c r="S10" i="1"/>
  <c r="T10" i="1"/>
  <c r="U10" i="1"/>
  <c r="V10" i="1"/>
  <c r="Y10" i="1"/>
  <c r="B11" i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R11" i="1"/>
  <c r="S11" i="1"/>
  <c r="T11" i="1"/>
  <c r="U11" i="1"/>
  <c r="V11" i="1"/>
  <c r="Y11" i="1"/>
  <c r="B12" i="1"/>
  <c r="D12" i="1"/>
  <c r="E12" i="1"/>
  <c r="F12" i="1"/>
  <c r="G12" i="1"/>
  <c r="H12" i="1"/>
  <c r="I12" i="1"/>
  <c r="J12" i="1"/>
  <c r="K12" i="1"/>
  <c r="L12" i="1"/>
  <c r="N12" i="1"/>
  <c r="O12" i="1"/>
  <c r="P12" i="1"/>
  <c r="Q12" i="1"/>
  <c r="R12" i="1"/>
  <c r="S12" i="1"/>
  <c r="T12" i="1"/>
  <c r="U12" i="1"/>
  <c r="V12" i="1"/>
  <c r="Y12" i="1"/>
  <c r="B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Y13" i="1"/>
  <c r="B14" i="1"/>
  <c r="D14" i="1"/>
  <c r="E14" i="1"/>
  <c r="F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Y14" i="1"/>
  <c r="B15" i="1"/>
  <c r="D15" i="1"/>
  <c r="E15" i="1"/>
  <c r="F15" i="1"/>
  <c r="G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Y15" i="1"/>
  <c r="B16" i="1"/>
  <c r="D16" i="1"/>
  <c r="E16" i="1"/>
  <c r="F16" i="1"/>
  <c r="G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Y16" i="1"/>
  <c r="B17" i="1"/>
  <c r="D17" i="1"/>
  <c r="E17" i="1"/>
  <c r="F17" i="1"/>
  <c r="G17" i="1"/>
  <c r="H17" i="1"/>
  <c r="I17" i="1"/>
  <c r="J17" i="1"/>
  <c r="K17" i="1"/>
  <c r="L17" i="1"/>
  <c r="N17" i="1"/>
  <c r="O17" i="1"/>
  <c r="P17" i="1"/>
  <c r="Q17" i="1"/>
  <c r="R17" i="1"/>
  <c r="S17" i="1"/>
  <c r="T17" i="1"/>
  <c r="U17" i="1"/>
  <c r="V17" i="1"/>
  <c r="Y17" i="1"/>
  <c r="B18" i="1"/>
  <c r="D18" i="1"/>
  <c r="E18" i="1"/>
  <c r="F18" i="1"/>
  <c r="G18" i="1"/>
  <c r="H18" i="1"/>
  <c r="I18" i="1"/>
  <c r="J18" i="1"/>
  <c r="K18" i="1"/>
  <c r="L18" i="1"/>
  <c r="N18" i="1"/>
  <c r="O18" i="1"/>
  <c r="P18" i="1"/>
  <c r="Q18" i="1"/>
  <c r="R18" i="1"/>
  <c r="S18" i="1"/>
  <c r="T18" i="1"/>
  <c r="U18" i="1"/>
  <c r="V18" i="1"/>
  <c r="Y18" i="1"/>
  <c r="B19" i="1"/>
  <c r="D19" i="1"/>
  <c r="E19" i="1"/>
  <c r="F19" i="1"/>
  <c r="G19" i="1"/>
  <c r="H19" i="1"/>
  <c r="I19" i="1"/>
  <c r="J19" i="1"/>
  <c r="K19" i="1"/>
  <c r="L19" i="1"/>
  <c r="N19" i="1"/>
  <c r="O19" i="1"/>
  <c r="P19" i="1"/>
  <c r="Q19" i="1"/>
  <c r="R19" i="1"/>
  <c r="S19" i="1"/>
  <c r="T19" i="1"/>
  <c r="U19" i="1"/>
  <c r="V19" i="1"/>
  <c r="Y19" i="1"/>
  <c r="B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R20" i="1"/>
  <c r="S20" i="1"/>
  <c r="T20" i="1"/>
  <c r="U20" i="1"/>
  <c r="V20" i="1"/>
  <c r="Y20" i="1"/>
  <c r="B21" i="1"/>
  <c r="D21" i="1"/>
  <c r="E21" i="1"/>
  <c r="F21" i="1"/>
  <c r="G21" i="1"/>
  <c r="H21" i="1"/>
  <c r="I21" i="1"/>
  <c r="J21" i="1"/>
  <c r="K21" i="1"/>
  <c r="L21" i="1"/>
  <c r="N21" i="1"/>
  <c r="O21" i="1"/>
  <c r="P21" i="1"/>
  <c r="Q21" i="1"/>
  <c r="R21" i="1"/>
  <c r="S21" i="1"/>
  <c r="T21" i="1"/>
  <c r="U21" i="1"/>
  <c r="V21" i="1"/>
  <c r="Y21" i="1"/>
  <c r="B22" i="1"/>
  <c r="D22" i="1"/>
  <c r="E22" i="1"/>
  <c r="F22" i="1"/>
  <c r="G22" i="1"/>
  <c r="H22" i="1"/>
  <c r="I22" i="1"/>
  <c r="J22" i="1"/>
  <c r="K22" i="1"/>
  <c r="L22" i="1"/>
  <c r="N22" i="1"/>
  <c r="O22" i="1"/>
  <c r="P22" i="1"/>
  <c r="Q22" i="1"/>
  <c r="R22" i="1"/>
  <c r="S22" i="1"/>
  <c r="T22" i="1"/>
  <c r="U22" i="1"/>
  <c r="V22" i="1"/>
  <c r="Y22" i="1"/>
  <c r="B23" i="1"/>
  <c r="D23" i="1"/>
  <c r="E23" i="1"/>
  <c r="F23" i="1"/>
  <c r="G23" i="1"/>
  <c r="H23" i="1"/>
  <c r="I23" i="1"/>
  <c r="J23" i="1"/>
  <c r="K23" i="1"/>
  <c r="L23" i="1"/>
  <c r="N23" i="1"/>
  <c r="O23" i="1"/>
  <c r="P23" i="1"/>
  <c r="Q23" i="1"/>
  <c r="R23" i="1"/>
  <c r="S23" i="1"/>
  <c r="T23" i="1"/>
  <c r="U23" i="1"/>
  <c r="V23" i="1"/>
  <c r="Y23" i="1"/>
  <c r="B24" i="1"/>
  <c r="D24" i="1"/>
  <c r="E24" i="1"/>
  <c r="F24" i="1"/>
  <c r="G24" i="1"/>
  <c r="H24" i="1"/>
  <c r="I24" i="1"/>
  <c r="J24" i="1"/>
  <c r="K24" i="1"/>
  <c r="L24" i="1"/>
  <c r="N24" i="1"/>
  <c r="O24" i="1"/>
  <c r="P24" i="1"/>
  <c r="Q24" i="1"/>
  <c r="R24" i="1"/>
  <c r="S24" i="1"/>
  <c r="T24" i="1"/>
  <c r="U24" i="1"/>
  <c r="V24" i="1"/>
  <c r="Y24" i="1"/>
  <c r="B25" i="1"/>
  <c r="D25" i="1"/>
  <c r="E25" i="1"/>
  <c r="F25" i="1"/>
  <c r="G25" i="1"/>
  <c r="H25" i="1"/>
  <c r="I25" i="1"/>
  <c r="J25" i="1"/>
  <c r="K25" i="1"/>
  <c r="L25" i="1"/>
  <c r="N25" i="1"/>
  <c r="O25" i="1"/>
  <c r="P25" i="1"/>
  <c r="Q25" i="1"/>
  <c r="R25" i="1"/>
  <c r="S25" i="1"/>
  <c r="T25" i="1"/>
  <c r="U25" i="1"/>
  <c r="V25" i="1"/>
  <c r="Y25" i="1"/>
  <c r="B26" i="1"/>
  <c r="D26" i="1"/>
  <c r="E26" i="1"/>
  <c r="F26" i="1"/>
  <c r="G26" i="1"/>
  <c r="H26" i="1"/>
  <c r="I26" i="1"/>
  <c r="J26" i="1"/>
  <c r="K26" i="1"/>
  <c r="L26" i="1"/>
  <c r="N26" i="1"/>
  <c r="O26" i="1"/>
  <c r="P26" i="1"/>
  <c r="Q26" i="1"/>
  <c r="R26" i="1"/>
  <c r="S26" i="1"/>
  <c r="T26" i="1"/>
  <c r="U26" i="1"/>
  <c r="V26" i="1"/>
  <c r="Y26" i="1"/>
  <c r="B27" i="1"/>
  <c r="D27" i="1"/>
  <c r="E27" i="1"/>
  <c r="F27" i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U27" i="1"/>
  <c r="V27" i="1"/>
  <c r="Y27" i="1"/>
  <c r="B28" i="1"/>
  <c r="D28" i="1"/>
  <c r="E28" i="1"/>
  <c r="F28" i="1"/>
  <c r="G28" i="1"/>
  <c r="H28" i="1"/>
  <c r="I28" i="1"/>
  <c r="J28" i="1"/>
  <c r="K28" i="1"/>
  <c r="L28" i="1"/>
  <c r="N28" i="1"/>
  <c r="O28" i="1"/>
  <c r="P28" i="1"/>
  <c r="Q28" i="1"/>
  <c r="R28" i="1"/>
  <c r="S28" i="1"/>
  <c r="T28" i="1"/>
  <c r="U28" i="1"/>
  <c r="V28" i="1"/>
  <c r="Y28" i="1"/>
  <c r="B29" i="1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R29" i="1"/>
  <c r="S29" i="1"/>
  <c r="T29" i="1"/>
  <c r="U29" i="1"/>
  <c r="V29" i="1"/>
  <c r="Y29" i="1"/>
  <c r="B30" i="1"/>
  <c r="D30" i="1"/>
  <c r="E30" i="1"/>
  <c r="F30" i="1"/>
  <c r="G30" i="1"/>
  <c r="H30" i="1"/>
  <c r="I30" i="1"/>
  <c r="J30" i="1"/>
  <c r="K30" i="1"/>
  <c r="L30" i="1"/>
  <c r="N30" i="1"/>
  <c r="O30" i="1"/>
  <c r="P30" i="1"/>
  <c r="Q30" i="1"/>
  <c r="R30" i="1"/>
  <c r="S30" i="1"/>
  <c r="T30" i="1"/>
  <c r="U30" i="1"/>
  <c r="V30" i="1"/>
  <c r="Y30" i="1"/>
  <c r="B31" i="1"/>
  <c r="D31" i="1"/>
  <c r="E31" i="1"/>
  <c r="F31" i="1"/>
  <c r="G31" i="1"/>
  <c r="H31" i="1"/>
  <c r="I31" i="1"/>
  <c r="J31" i="1"/>
  <c r="K31" i="1"/>
  <c r="L31" i="1"/>
  <c r="N31" i="1"/>
  <c r="O31" i="1"/>
  <c r="P31" i="1"/>
  <c r="Q31" i="1"/>
  <c r="R31" i="1"/>
  <c r="S31" i="1"/>
  <c r="T31" i="1"/>
  <c r="U31" i="1"/>
  <c r="V31" i="1"/>
  <c r="Y31" i="1"/>
  <c r="B32" i="1"/>
  <c r="D32" i="1"/>
  <c r="E32" i="1"/>
  <c r="F32" i="1"/>
  <c r="G32" i="1"/>
  <c r="H32" i="1"/>
  <c r="I32" i="1"/>
  <c r="J32" i="1"/>
  <c r="K32" i="1"/>
  <c r="L32" i="1"/>
  <c r="N32" i="1"/>
  <c r="O32" i="1"/>
  <c r="P32" i="1"/>
  <c r="Q32" i="1"/>
  <c r="R32" i="1"/>
  <c r="S32" i="1"/>
  <c r="T32" i="1"/>
  <c r="U32" i="1"/>
  <c r="V32" i="1"/>
  <c r="Y32" i="1"/>
  <c r="B33" i="1"/>
  <c r="D33" i="1"/>
  <c r="E33" i="1"/>
  <c r="F33" i="1"/>
  <c r="G33" i="1"/>
  <c r="H33" i="1"/>
  <c r="I33" i="1"/>
  <c r="J33" i="1"/>
  <c r="K33" i="1"/>
  <c r="L33" i="1"/>
  <c r="N33" i="1"/>
  <c r="O33" i="1"/>
  <c r="P33" i="1"/>
  <c r="Q33" i="1"/>
  <c r="R33" i="1"/>
  <c r="S33" i="1"/>
  <c r="T33" i="1"/>
  <c r="U33" i="1"/>
  <c r="V33" i="1"/>
  <c r="Y33" i="1"/>
  <c r="B34" i="1"/>
  <c r="D34" i="1"/>
  <c r="E34" i="1"/>
  <c r="F34" i="1"/>
  <c r="G34" i="1"/>
  <c r="H34" i="1"/>
  <c r="I34" i="1"/>
  <c r="J34" i="1"/>
  <c r="K34" i="1"/>
  <c r="L34" i="1"/>
  <c r="N34" i="1"/>
  <c r="O34" i="1"/>
  <c r="P34" i="1"/>
  <c r="Q34" i="1"/>
  <c r="R34" i="1"/>
  <c r="S34" i="1"/>
  <c r="T34" i="1"/>
  <c r="U34" i="1"/>
  <c r="V34" i="1"/>
  <c r="Y34" i="1"/>
  <c r="B35" i="1"/>
  <c r="D35" i="1"/>
  <c r="E35" i="1"/>
  <c r="F35" i="1"/>
  <c r="G35" i="1"/>
  <c r="H35" i="1"/>
  <c r="I35" i="1"/>
  <c r="J35" i="1"/>
  <c r="K35" i="1"/>
  <c r="L35" i="1"/>
  <c r="N35" i="1"/>
  <c r="O35" i="1"/>
  <c r="P35" i="1"/>
  <c r="Q35" i="1"/>
  <c r="R35" i="1"/>
  <c r="S35" i="1"/>
  <c r="T35" i="1"/>
  <c r="U35" i="1"/>
  <c r="V35" i="1"/>
  <c r="Y35" i="1"/>
  <c r="B36" i="1"/>
  <c r="D36" i="1"/>
  <c r="E36" i="1"/>
  <c r="F36" i="1"/>
  <c r="G36" i="1"/>
  <c r="H36" i="1"/>
  <c r="I36" i="1"/>
  <c r="J36" i="1"/>
  <c r="K36" i="1"/>
  <c r="L36" i="1"/>
  <c r="N36" i="1"/>
  <c r="O36" i="1"/>
  <c r="P36" i="1"/>
  <c r="Q36" i="1"/>
  <c r="R36" i="1"/>
  <c r="S36" i="1"/>
  <c r="T36" i="1"/>
  <c r="U36" i="1"/>
  <c r="V36" i="1"/>
  <c r="Y36" i="1"/>
  <c r="B37" i="1"/>
  <c r="D37" i="1"/>
  <c r="E37" i="1"/>
  <c r="F37" i="1"/>
  <c r="G37" i="1"/>
  <c r="H37" i="1"/>
  <c r="I37" i="1"/>
  <c r="J37" i="1"/>
  <c r="K37" i="1"/>
  <c r="L37" i="1"/>
  <c r="N37" i="1"/>
  <c r="O37" i="1"/>
  <c r="P37" i="1"/>
  <c r="Q37" i="1"/>
  <c r="R37" i="1"/>
  <c r="S37" i="1"/>
  <c r="T37" i="1"/>
  <c r="U37" i="1"/>
  <c r="V37" i="1"/>
  <c r="Y37" i="1"/>
  <c r="B38" i="1"/>
  <c r="D38" i="1"/>
  <c r="E38" i="1"/>
  <c r="F38" i="1"/>
  <c r="G38" i="1"/>
  <c r="H38" i="1"/>
  <c r="I38" i="1"/>
  <c r="J38" i="1"/>
  <c r="K38" i="1"/>
  <c r="L38" i="1"/>
  <c r="N38" i="1"/>
  <c r="O38" i="1"/>
  <c r="P38" i="1"/>
  <c r="Q38" i="1"/>
  <c r="R38" i="1"/>
  <c r="S38" i="1"/>
  <c r="T38" i="1"/>
  <c r="U38" i="1"/>
  <c r="V38" i="1"/>
  <c r="Y38" i="1"/>
  <c r="B39" i="1"/>
  <c r="D39" i="1"/>
  <c r="E39" i="1"/>
  <c r="F39" i="1"/>
  <c r="G39" i="1"/>
  <c r="H39" i="1"/>
  <c r="I39" i="1"/>
  <c r="J39" i="1"/>
  <c r="K39" i="1"/>
  <c r="L39" i="1"/>
  <c r="N39" i="1"/>
  <c r="O39" i="1"/>
  <c r="P39" i="1"/>
  <c r="Q39" i="1"/>
  <c r="R39" i="1"/>
  <c r="S39" i="1"/>
  <c r="T39" i="1"/>
  <c r="U39" i="1"/>
  <c r="V39" i="1"/>
  <c r="Y39" i="1"/>
  <c r="B40" i="1"/>
  <c r="D40" i="1"/>
  <c r="E40" i="1"/>
  <c r="F40" i="1"/>
  <c r="G40" i="1"/>
  <c r="H40" i="1"/>
  <c r="I40" i="1"/>
  <c r="J40" i="1"/>
  <c r="K40" i="1"/>
  <c r="L40" i="1"/>
  <c r="N40" i="1"/>
  <c r="O40" i="1"/>
  <c r="P40" i="1"/>
  <c r="Q40" i="1"/>
  <c r="R40" i="1"/>
  <c r="S40" i="1"/>
  <c r="T40" i="1"/>
  <c r="U40" i="1"/>
  <c r="V40" i="1"/>
  <c r="Y40" i="1"/>
  <c r="B41" i="1"/>
  <c r="D41" i="1"/>
  <c r="E41" i="1"/>
  <c r="F41" i="1"/>
  <c r="G41" i="1"/>
  <c r="H41" i="1"/>
  <c r="I41" i="1"/>
  <c r="J41" i="1"/>
  <c r="K41" i="1"/>
  <c r="L41" i="1"/>
  <c r="N41" i="1"/>
  <c r="O41" i="1"/>
  <c r="P41" i="1"/>
  <c r="Q41" i="1"/>
  <c r="R41" i="1"/>
  <c r="S41" i="1"/>
  <c r="T41" i="1"/>
  <c r="U41" i="1"/>
  <c r="V41" i="1"/>
  <c r="Y41" i="1"/>
  <c r="B42" i="1"/>
  <c r="D42" i="1"/>
  <c r="E42" i="1"/>
  <c r="F42" i="1"/>
  <c r="G42" i="1"/>
  <c r="H42" i="1"/>
  <c r="I42" i="1"/>
  <c r="J42" i="1"/>
  <c r="K42" i="1"/>
  <c r="L42" i="1"/>
  <c r="N42" i="1"/>
  <c r="O42" i="1"/>
  <c r="P42" i="1"/>
  <c r="Q42" i="1"/>
  <c r="R42" i="1"/>
  <c r="S42" i="1"/>
  <c r="T42" i="1"/>
  <c r="U42" i="1"/>
  <c r="V42" i="1"/>
  <c r="Y42" i="1"/>
  <c r="B43" i="1"/>
  <c r="D43" i="1"/>
  <c r="E43" i="1"/>
  <c r="F43" i="1"/>
  <c r="G43" i="1"/>
  <c r="H43" i="1"/>
  <c r="I43" i="1"/>
  <c r="J43" i="1"/>
  <c r="K43" i="1"/>
  <c r="L43" i="1"/>
  <c r="N43" i="1"/>
  <c r="O43" i="1"/>
  <c r="P43" i="1"/>
  <c r="Q43" i="1"/>
  <c r="R43" i="1"/>
  <c r="S43" i="1"/>
  <c r="T43" i="1"/>
  <c r="U43" i="1"/>
  <c r="V43" i="1"/>
  <c r="Y43" i="1"/>
  <c r="B44" i="1"/>
  <c r="D44" i="1"/>
  <c r="E44" i="1"/>
  <c r="F44" i="1"/>
  <c r="G44" i="1"/>
  <c r="H44" i="1"/>
  <c r="I44" i="1"/>
  <c r="J44" i="1"/>
  <c r="K44" i="1"/>
  <c r="L44" i="1"/>
  <c r="N44" i="1"/>
  <c r="O44" i="1"/>
  <c r="P44" i="1"/>
  <c r="Q44" i="1"/>
  <c r="R44" i="1"/>
  <c r="S44" i="1"/>
  <c r="T44" i="1"/>
  <c r="U44" i="1"/>
  <c r="V44" i="1"/>
  <c r="Y44" i="1"/>
  <c r="B45" i="1"/>
  <c r="D45" i="1"/>
  <c r="E45" i="1"/>
  <c r="F45" i="1"/>
  <c r="G45" i="1"/>
  <c r="H45" i="1"/>
  <c r="I45" i="1"/>
  <c r="J45" i="1"/>
  <c r="K45" i="1"/>
  <c r="L45" i="1"/>
  <c r="N45" i="1"/>
  <c r="O45" i="1"/>
  <c r="P45" i="1"/>
  <c r="Q45" i="1"/>
  <c r="R45" i="1"/>
  <c r="S45" i="1"/>
  <c r="T45" i="1"/>
  <c r="U45" i="1"/>
  <c r="V45" i="1"/>
  <c r="Y45" i="1"/>
  <c r="B46" i="1"/>
  <c r="D46" i="1"/>
  <c r="E46" i="1"/>
  <c r="F46" i="1"/>
  <c r="G46" i="1"/>
  <c r="H46" i="1"/>
  <c r="I46" i="1"/>
  <c r="J46" i="1"/>
  <c r="K46" i="1"/>
  <c r="L46" i="1"/>
  <c r="N46" i="1"/>
  <c r="O46" i="1"/>
  <c r="P46" i="1"/>
  <c r="Q46" i="1"/>
  <c r="R46" i="1"/>
  <c r="S46" i="1"/>
  <c r="T46" i="1"/>
  <c r="U46" i="1"/>
  <c r="V46" i="1"/>
  <c r="Y46" i="1"/>
  <c r="B47" i="1"/>
  <c r="D47" i="1"/>
  <c r="E47" i="1"/>
  <c r="F47" i="1"/>
  <c r="G47" i="1"/>
  <c r="H47" i="1"/>
  <c r="I47" i="1"/>
  <c r="J47" i="1"/>
  <c r="K47" i="1"/>
  <c r="L47" i="1"/>
  <c r="N47" i="1"/>
  <c r="O47" i="1"/>
  <c r="P47" i="1"/>
  <c r="Q47" i="1"/>
  <c r="R47" i="1"/>
  <c r="S47" i="1"/>
  <c r="T47" i="1"/>
  <c r="U47" i="1"/>
  <c r="V47" i="1"/>
  <c r="Y47" i="1"/>
  <c r="B48" i="1"/>
  <c r="D48" i="1"/>
  <c r="E48" i="1"/>
  <c r="F48" i="1"/>
  <c r="G48" i="1"/>
  <c r="H48" i="1"/>
  <c r="I48" i="1"/>
  <c r="J48" i="1"/>
  <c r="K48" i="1"/>
  <c r="L48" i="1"/>
  <c r="N48" i="1"/>
  <c r="O48" i="1"/>
  <c r="P48" i="1"/>
  <c r="Q48" i="1"/>
  <c r="R48" i="1"/>
  <c r="S48" i="1"/>
  <c r="T48" i="1"/>
  <c r="U48" i="1"/>
  <c r="V48" i="1"/>
  <c r="Y48" i="1"/>
  <c r="B49" i="1"/>
  <c r="D49" i="1"/>
  <c r="E49" i="1"/>
  <c r="F49" i="1"/>
  <c r="G49" i="1"/>
  <c r="H49" i="1"/>
  <c r="I49" i="1"/>
  <c r="J49" i="1"/>
  <c r="K49" i="1"/>
  <c r="L49" i="1"/>
  <c r="N49" i="1"/>
  <c r="O49" i="1"/>
  <c r="P49" i="1"/>
  <c r="Q49" i="1"/>
  <c r="R49" i="1"/>
  <c r="S49" i="1"/>
  <c r="T49" i="1"/>
  <c r="U49" i="1"/>
  <c r="V49" i="1"/>
  <c r="Y49" i="1"/>
  <c r="B50" i="1"/>
  <c r="D50" i="1"/>
  <c r="E50" i="1"/>
  <c r="F50" i="1"/>
  <c r="G50" i="1"/>
  <c r="H50" i="1"/>
  <c r="I50" i="1"/>
  <c r="J50" i="1"/>
  <c r="K50" i="1"/>
  <c r="L50" i="1"/>
  <c r="N50" i="1"/>
  <c r="O50" i="1"/>
  <c r="P50" i="1"/>
  <c r="Q50" i="1"/>
  <c r="R50" i="1"/>
  <c r="S50" i="1"/>
  <c r="T50" i="1"/>
  <c r="U50" i="1"/>
  <c r="V50" i="1"/>
  <c r="Y50" i="1"/>
  <c r="B51" i="1"/>
  <c r="D51" i="1"/>
  <c r="E51" i="1"/>
  <c r="F51" i="1"/>
  <c r="G51" i="1"/>
  <c r="H51" i="1"/>
  <c r="I51" i="1"/>
  <c r="J51" i="1"/>
  <c r="K51" i="1"/>
  <c r="L51" i="1"/>
  <c r="N51" i="1"/>
  <c r="O51" i="1"/>
  <c r="P51" i="1"/>
  <c r="Q51" i="1"/>
  <c r="R51" i="1"/>
  <c r="S51" i="1"/>
  <c r="T51" i="1"/>
  <c r="U51" i="1"/>
  <c r="V51" i="1"/>
  <c r="Y51" i="1"/>
  <c r="B52" i="1"/>
  <c r="D52" i="1"/>
  <c r="E52" i="1"/>
  <c r="F52" i="1"/>
  <c r="G52" i="1"/>
  <c r="H52" i="1"/>
  <c r="I52" i="1"/>
  <c r="J52" i="1"/>
  <c r="K52" i="1"/>
  <c r="L52" i="1"/>
  <c r="N52" i="1"/>
  <c r="O52" i="1"/>
  <c r="P52" i="1"/>
  <c r="Q52" i="1"/>
  <c r="R52" i="1"/>
  <c r="S52" i="1"/>
  <c r="T52" i="1"/>
  <c r="U52" i="1"/>
  <c r="V52" i="1"/>
  <c r="Y52" i="1"/>
  <c r="B53" i="1"/>
  <c r="D53" i="1"/>
  <c r="E53" i="1"/>
  <c r="F53" i="1"/>
  <c r="G53" i="1"/>
  <c r="H53" i="1"/>
  <c r="I53" i="1"/>
  <c r="J53" i="1"/>
  <c r="K53" i="1"/>
  <c r="L53" i="1"/>
  <c r="N53" i="1"/>
  <c r="O53" i="1"/>
  <c r="P53" i="1"/>
  <c r="Q53" i="1"/>
  <c r="R53" i="1"/>
  <c r="S53" i="1"/>
  <c r="T53" i="1"/>
  <c r="U53" i="1"/>
  <c r="V53" i="1"/>
  <c r="Y53" i="1"/>
  <c r="B54" i="1"/>
  <c r="D54" i="1"/>
  <c r="E54" i="1"/>
  <c r="F54" i="1"/>
  <c r="G54" i="1"/>
  <c r="H54" i="1"/>
  <c r="I54" i="1"/>
  <c r="J54" i="1"/>
  <c r="K54" i="1"/>
  <c r="L54" i="1"/>
  <c r="N54" i="1"/>
  <c r="O54" i="1"/>
  <c r="P54" i="1"/>
  <c r="Q54" i="1"/>
  <c r="R54" i="1"/>
  <c r="S54" i="1"/>
  <c r="T54" i="1"/>
  <c r="U54" i="1"/>
  <c r="V54" i="1"/>
  <c r="Y54" i="1"/>
  <c r="B55" i="1"/>
  <c r="D55" i="1"/>
  <c r="E55" i="1"/>
  <c r="F55" i="1"/>
  <c r="G55" i="1"/>
  <c r="H55" i="1"/>
  <c r="I55" i="1"/>
  <c r="J55" i="1"/>
  <c r="K55" i="1"/>
  <c r="L55" i="1"/>
  <c r="N55" i="1"/>
  <c r="O55" i="1"/>
  <c r="P55" i="1"/>
  <c r="Q55" i="1"/>
  <c r="R55" i="1"/>
  <c r="S55" i="1"/>
  <c r="T55" i="1"/>
  <c r="U55" i="1"/>
  <c r="V55" i="1"/>
  <c r="Y55" i="1"/>
  <c r="B56" i="1"/>
  <c r="D56" i="1"/>
  <c r="E56" i="1"/>
  <c r="F56" i="1"/>
  <c r="G56" i="1"/>
  <c r="H56" i="1"/>
  <c r="I56" i="1"/>
  <c r="J56" i="1"/>
  <c r="K56" i="1"/>
  <c r="L56" i="1"/>
  <c r="N56" i="1"/>
  <c r="O56" i="1"/>
  <c r="P56" i="1"/>
  <c r="Q56" i="1"/>
  <c r="R56" i="1"/>
  <c r="S56" i="1"/>
  <c r="T56" i="1"/>
  <c r="U56" i="1"/>
  <c r="V56" i="1"/>
  <c r="Y56" i="1"/>
  <c r="B57" i="1"/>
  <c r="D57" i="1"/>
  <c r="E57" i="1"/>
  <c r="F57" i="1"/>
  <c r="G57" i="1"/>
  <c r="H57" i="1"/>
  <c r="I57" i="1"/>
  <c r="J57" i="1"/>
  <c r="K57" i="1"/>
  <c r="L57" i="1"/>
  <c r="N57" i="1"/>
  <c r="O57" i="1"/>
  <c r="P57" i="1"/>
  <c r="Q57" i="1"/>
  <c r="R57" i="1"/>
  <c r="S57" i="1"/>
  <c r="T57" i="1"/>
  <c r="U57" i="1"/>
  <c r="V57" i="1"/>
  <c r="Y57" i="1"/>
  <c r="B58" i="1"/>
  <c r="D58" i="1"/>
  <c r="E58" i="1"/>
  <c r="F58" i="1"/>
  <c r="G58" i="1"/>
  <c r="H58" i="1"/>
  <c r="I58" i="1"/>
  <c r="J58" i="1"/>
  <c r="K58" i="1"/>
  <c r="L58" i="1"/>
  <c r="N58" i="1"/>
  <c r="O58" i="1"/>
  <c r="P58" i="1"/>
  <c r="Q58" i="1"/>
  <c r="R58" i="1"/>
  <c r="S58" i="1"/>
  <c r="T58" i="1"/>
  <c r="U58" i="1"/>
  <c r="V58" i="1"/>
  <c r="Y58" i="1"/>
  <c r="B59" i="1"/>
  <c r="D59" i="1"/>
  <c r="E59" i="1"/>
  <c r="F59" i="1"/>
  <c r="G59" i="1"/>
  <c r="H59" i="1"/>
  <c r="I59" i="1"/>
  <c r="J59" i="1"/>
  <c r="K59" i="1"/>
  <c r="L59" i="1"/>
  <c r="N59" i="1"/>
  <c r="O59" i="1"/>
  <c r="P59" i="1"/>
  <c r="Q59" i="1"/>
  <c r="R59" i="1"/>
  <c r="S59" i="1"/>
  <c r="T59" i="1"/>
  <c r="U59" i="1"/>
  <c r="V59" i="1"/>
  <c r="Y59" i="1"/>
  <c r="B60" i="1"/>
  <c r="D60" i="1"/>
  <c r="E60" i="1"/>
  <c r="F60" i="1"/>
  <c r="G60" i="1"/>
  <c r="H60" i="1"/>
  <c r="I60" i="1"/>
  <c r="J60" i="1"/>
  <c r="K60" i="1"/>
  <c r="L60" i="1"/>
  <c r="N60" i="1"/>
  <c r="O60" i="1"/>
  <c r="P60" i="1"/>
  <c r="Q60" i="1"/>
  <c r="R60" i="1"/>
  <c r="S60" i="1"/>
  <c r="T60" i="1"/>
  <c r="U60" i="1"/>
  <c r="V60" i="1"/>
  <c r="Y60" i="1"/>
  <c r="B61" i="1"/>
  <c r="D61" i="1"/>
  <c r="E61" i="1"/>
  <c r="F61" i="1"/>
  <c r="G61" i="1"/>
  <c r="H61" i="1"/>
  <c r="I61" i="1"/>
  <c r="J61" i="1"/>
  <c r="K61" i="1"/>
  <c r="L61" i="1"/>
  <c r="N61" i="1"/>
  <c r="O61" i="1"/>
  <c r="P61" i="1"/>
  <c r="Q61" i="1"/>
  <c r="R61" i="1"/>
  <c r="S61" i="1"/>
  <c r="T61" i="1"/>
  <c r="U61" i="1"/>
  <c r="V61" i="1"/>
  <c r="Y61" i="1"/>
  <c r="B62" i="1"/>
  <c r="D62" i="1"/>
  <c r="E62" i="1"/>
  <c r="F62" i="1"/>
  <c r="G62" i="1"/>
  <c r="H62" i="1"/>
  <c r="I62" i="1"/>
  <c r="J62" i="1"/>
  <c r="K62" i="1"/>
  <c r="L62" i="1"/>
  <c r="N62" i="1"/>
  <c r="O62" i="1"/>
  <c r="P62" i="1"/>
  <c r="Q62" i="1"/>
  <c r="R62" i="1"/>
  <c r="S62" i="1"/>
  <c r="T62" i="1"/>
  <c r="U62" i="1"/>
  <c r="V62" i="1"/>
  <c r="Y62" i="1"/>
  <c r="B63" i="1"/>
  <c r="D63" i="1"/>
  <c r="E63" i="1"/>
  <c r="F63" i="1"/>
  <c r="G63" i="1"/>
  <c r="H63" i="1"/>
  <c r="I63" i="1"/>
  <c r="J63" i="1"/>
  <c r="K63" i="1"/>
  <c r="L63" i="1"/>
  <c r="N63" i="1"/>
  <c r="O63" i="1"/>
  <c r="P63" i="1"/>
  <c r="Q63" i="1"/>
  <c r="R63" i="1"/>
  <c r="S63" i="1"/>
  <c r="T63" i="1"/>
  <c r="U63" i="1"/>
  <c r="V63" i="1"/>
  <c r="Y63" i="1"/>
  <c r="B64" i="1"/>
  <c r="D64" i="1"/>
  <c r="E64" i="1"/>
  <c r="F64" i="1"/>
  <c r="G64" i="1"/>
  <c r="H64" i="1"/>
  <c r="I64" i="1"/>
  <c r="J64" i="1"/>
  <c r="K64" i="1"/>
  <c r="L64" i="1"/>
  <c r="N64" i="1"/>
  <c r="O64" i="1"/>
  <c r="P64" i="1"/>
  <c r="Q64" i="1"/>
  <c r="R64" i="1"/>
  <c r="S64" i="1"/>
  <c r="T64" i="1"/>
  <c r="U64" i="1"/>
  <c r="V64" i="1"/>
  <c r="Y64" i="1"/>
  <c r="B65" i="1"/>
  <c r="D65" i="1"/>
  <c r="E65" i="1"/>
  <c r="F65" i="1"/>
  <c r="G65" i="1"/>
  <c r="H65" i="1"/>
  <c r="I65" i="1"/>
  <c r="J65" i="1"/>
  <c r="K65" i="1"/>
  <c r="L65" i="1"/>
  <c r="N65" i="1"/>
  <c r="O65" i="1"/>
  <c r="P65" i="1"/>
  <c r="Q65" i="1"/>
  <c r="R65" i="1"/>
  <c r="S65" i="1"/>
  <c r="T65" i="1"/>
  <c r="U65" i="1"/>
  <c r="V65" i="1"/>
  <c r="Y65" i="1"/>
  <c r="B66" i="1"/>
  <c r="D66" i="1"/>
  <c r="E66" i="1"/>
  <c r="F66" i="1"/>
  <c r="G66" i="1"/>
  <c r="H66" i="1"/>
  <c r="I66" i="1"/>
  <c r="J66" i="1"/>
  <c r="K66" i="1"/>
  <c r="L66" i="1"/>
  <c r="N66" i="1"/>
  <c r="O66" i="1"/>
  <c r="P66" i="1"/>
  <c r="Q66" i="1"/>
  <c r="R66" i="1"/>
  <c r="S66" i="1"/>
  <c r="T66" i="1"/>
  <c r="U66" i="1"/>
  <c r="V66" i="1"/>
  <c r="Y66" i="1"/>
  <c r="B67" i="1"/>
  <c r="D67" i="1"/>
  <c r="E67" i="1"/>
  <c r="F67" i="1"/>
  <c r="G67" i="1"/>
  <c r="H67" i="1"/>
  <c r="I67" i="1"/>
  <c r="J67" i="1"/>
  <c r="K67" i="1"/>
  <c r="L67" i="1"/>
  <c r="N67" i="1"/>
  <c r="O67" i="1"/>
  <c r="P67" i="1"/>
  <c r="Q67" i="1"/>
  <c r="R67" i="1"/>
  <c r="S67" i="1"/>
  <c r="T67" i="1"/>
  <c r="U67" i="1"/>
  <c r="V67" i="1"/>
  <c r="Y67" i="1"/>
  <c r="B68" i="1"/>
  <c r="D68" i="1"/>
  <c r="E68" i="1"/>
  <c r="F68" i="1"/>
  <c r="G68" i="1"/>
  <c r="H68" i="1"/>
  <c r="I68" i="1"/>
  <c r="J68" i="1"/>
  <c r="K68" i="1"/>
  <c r="L68" i="1"/>
  <c r="N68" i="1"/>
  <c r="O68" i="1"/>
  <c r="P68" i="1"/>
  <c r="Q68" i="1"/>
  <c r="R68" i="1"/>
  <c r="S68" i="1"/>
  <c r="T68" i="1"/>
  <c r="U68" i="1"/>
  <c r="V68" i="1"/>
  <c r="Y68" i="1"/>
  <c r="B69" i="1"/>
  <c r="D69" i="1"/>
  <c r="E69" i="1"/>
  <c r="F69" i="1"/>
  <c r="G69" i="1"/>
  <c r="H69" i="1"/>
  <c r="I69" i="1"/>
  <c r="J69" i="1"/>
  <c r="K69" i="1"/>
  <c r="L69" i="1"/>
  <c r="N69" i="1"/>
  <c r="O69" i="1"/>
  <c r="P69" i="1"/>
  <c r="Q69" i="1"/>
  <c r="R69" i="1"/>
  <c r="S69" i="1"/>
  <c r="T69" i="1"/>
  <c r="U69" i="1"/>
  <c r="V69" i="1"/>
  <c r="Y69" i="1"/>
  <c r="B70" i="1"/>
  <c r="D70" i="1"/>
  <c r="E70" i="1"/>
  <c r="F70" i="1"/>
  <c r="G70" i="1"/>
  <c r="H70" i="1"/>
  <c r="I70" i="1"/>
  <c r="J70" i="1"/>
  <c r="K70" i="1"/>
  <c r="L70" i="1"/>
  <c r="N70" i="1"/>
  <c r="O70" i="1"/>
  <c r="P70" i="1"/>
  <c r="Q70" i="1"/>
  <c r="R70" i="1"/>
  <c r="S70" i="1"/>
  <c r="T70" i="1"/>
  <c r="U70" i="1"/>
  <c r="V70" i="1"/>
  <c r="Y70" i="1"/>
  <c r="B71" i="1"/>
  <c r="D71" i="1"/>
  <c r="E71" i="1"/>
  <c r="F71" i="1"/>
  <c r="G71" i="1"/>
  <c r="H71" i="1"/>
  <c r="I71" i="1"/>
  <c r="J71" i="1"/>
  <c r="K71" i="1"/>
  <c r="L71" i="1"/>
  <c r="N71" i="1"/>
  <c r="O71" i="1"/>
  <c r="P71" i="1"/>
  <c r="Q71" i="1"/>
  <c r="R71" i="1"/>
  <c r="S71" i="1"/>
  <c r="T71" i="1"/>
  <c r="U71" i="1"/>
  <c r="V71" i="1"/>
  <c r="Y71" i="1"/>
  <c r="B72" i="1"/>
  <c r="D72" i="1"/>
  <c r="E72" i="1"/>
  <c r="F72" i="1"/>
  <c r="G72" i="1"/>
  <c r="H72" i="1"/>
  <c r="I72" i="1"/>
  <c r="J72" i="1"/>
  <c r="K72" i="1"/>
  <c r="L72" i="1"/>
  <c r="N72" i="1"/>
  <c r="O72" i="1"/>
  <c r="P72" i="1"/>
  <c r="Q72" i="1"/>
  <c r="R72" i="1"/>
  <c r="S72" i="1"/>
  <c r="T72" i="1"/>
  <c r="U72" i="1"/>
  <c r="V72" i="1"/>
  <c r="Y72" i="1"/>
  <c r="B73" i="1"/>
  <c r="D73" i="1"/>
  <c r="E73" i="1"/>
  <c r="F73" i="1"/>
  <c r="G73" i="1"/>
  <c r="H73" i="1"/>
  <c r="I73" i="1"/>
  <c r="J73" i="1"/>
  <c r="K73" i="1"/>
  <c r="L73" i="1"/>
  <c r="N73" i="1"/>
  <c r="O73" i="1"/>
  <c r="P73" i="1"/>
  <c r="Q73" i="1"/>
  <c r="R73" i="1"/>
  <c r="S73" i="1"/>
  <c r="T73" i="1"/>
  <c r="U73" i="1"/>
  <c r="V73" i="1"/>
  <c r="Y73" i="1"/>
  <c r="B74" i="1"/>
  <c r="D74" i="1"/>
  <c r="E74" i="1"/>
  <c r="F74" i="1"/>
  <c r="G74" i="1"/>
  <c r="H74" i="1"/>
  <c r="I74" i="1"/>
  <c r="J74" i="1"/>
  <c r="K74" i="1"/>
  <c r="L74" i="1"/>
  <c r="N74" i="1"/>
  <c r="O74" i="1"/>
  <c r="P74" i="1"/>
  <c r="Q74" i="1"/>
  <c r="R74" i="1"/>
  <c r="S74" i="1"/>
  <c r="T74" i="1"/>
  <c r="U74" i="1"/>
  <c r="V74" i="1"/>
  <c r="Y74" i="1"/>
  <c r="B75" i="1"/>
  <c r="D75" i="1"/>
  <c r="E75" i="1"/>
  <c r="F75" i="1"/>
  <c r="G75" i="1"/>
  <c r="H75" i="1"/>
  <c r="I75" i="1"/>
  <c r="J75" i="1"/>
  <c r="K75" i="1"/>
  <c r="L75" i="1"/>
  <c r="N75" i="1"/>
  <c r="O75" i="1"/>
  <c r="P75" i="1"/>
  <c r="Q75" i="1"/>
  <c r="R75" i="1"/>
  <c r="S75" i="1"/>
  <c r="T75" i="1"/>
  <c r="U75" i="1"/>
  <c r="V75" i="1"/>
  <c r="Y75" i="1"/>
  <c r="B76" i="1"/>
  <c r="D76" i="1"/>
  <c r="E76" i="1"/>
  <c r="F76" i="1"/>
  <c r="G76" i="1"/>
  <c r="H76" i="1"/>
  <c r="I76" i="1"/>
  <c r="J76" i="1"/>
  <c r="K76" i="1"/>
  <c r="L76" i="1"/>
  <c r="N76" i="1"/>
  <c r="O76" i="1"/>
  <c r="P76" i="1"/>
  <c r="Q76" i="1"/>
  <c r="R76" i="1"/>
  <c r="S76" i="1"/>
  <c r="T76" i="1"/>
  <c r="U76" i="1"/>
  <c r="V76" i="1"/>
  <c r="Y76" i="1"/>
  <c r="B77" i="1"/>
  <c r="D77" i="1"/>
  <c r="E77" i="1"/>
  <c r="F77" i="1"/>
  <c r="G77" i="1"/>
  <c r="H77" i="1"/>
  <c r="I77" i="1"/>
  <c r="J77" i="1"/>
  <c r="K77" i="1"/>
  <c r="L77" i="1"/>
  <c r="N77" i="1"/>
  <c r="O77" i="1"/>
  <c r="P77" i="1"/>
  <c r="Q77" i="1"/>
  <c r="R77" i="1"/>
  <c r="S77" i="1"/>
  <c r="T77" i="1"/>
  <c r="U77" i="1"/>
  <c r="V77" i="1"/>
  <c r="Y77" i="1"/>
  <c r="B78" i="1"/>
  <c r="D78" i="1"/>
  <c r="E78" i="1"/>
  <c r="F78" i="1"/>
  <c r="G78" i="1"/>
  <c r="H78" i="1"/>
  <c r="I78" i="1"/>
  <c r="J78" i="1"/>
  <c r="K78" i="1"/>
  <c r="L78" i="1"/>
  <c r="N78" i="1"/>
  <c r="O78" i="1"/>
  <c r="P78" i="1"/>
  <c r="Q78" i="1"/>
  <c r="R78" i="1"/>
  <c r="S78" i="1"/>
  <c r="T78" i="1"/>
  <c r="U78" i="1"/>
  <c r="V78" i="1"/>
  <c r="Y78" i="1"/>
  <c r="B79" i="1"/>
  <c r="D79" i="1"/>
  <c r="E79" i="1"/>
  <c r="F79" i="1"/>
  <c r="G79" i="1"/>
  <c r="H79" i="1"/>
  <c r="I79" i="1"/>
  <c r="J79" i="1"/>
  <c r="K79" i="1"/>
  <c r="L79" i="1"/>
  <c r="N79" i="1"/>
  <c r="O79" i="1"/>
  <c r="P79" i="1"/>
  <c r="Q79" i="1"/>
  <c r="R79" i="1"/>
  <c r="S79" i="1"/>
  <c r="T79" i="1"/>
  <c r="U79" i="1"/>
  <c r="V79" i="1"/>
  <c r="Y79" i="1"/>
  <c r="B80" i="1"/>
  <c r="D80" i="1"/>
  <c r="E80" i="1"/>
  <c r="F80" i="1"/>
  <c r="G80" i="1"/>
  <c r="H80" i="1"/>
  <c r="I80" i="1"/>
  <c r="J80" i="1"/>
  <c r="K80" i="1"/>
  <c r="L80" i="1"/>
  <c r="N80" i="1"/>
  <c r="O80" i="1"/>
  <c r="P80" i="1"/>
  <c r="Q80" i="1"/>
  <c r="R80" i="1"/>
  <c r="S80" i="1"/>
  <c r="T80" i="1"/>
  <c r="U80" i="1"/>
  <c r="V80" i="1"/>
  <c r="Y80" i="1"/>
  <c r="B81" i="1"/>
  <c r="D81" i="1"/>
  <c r="E81" i="1"/>
  <c r="F81" i="1"/>
  <c r="G81" i="1"/>
  <c r="H81" i="1"/>
  <c r="I81" i="1"/>
  <c r="J81" i="1"/>
  <c r="K81" i="1"/>
  <c r="L81" i="1"/>
  <c r="N81" i="1"/>
  <c r="O81" i="1"/>
  <c r="P81" i="1"/>
  <c r="Q81" i="1"/>
  <c r="R81" i="1"/>
  <c r="S81" i="1"/>
  <c r="T81" i="1"/>
  <c r="U81" i="1"/>
  <c r="V81" i="1"/>
  <c r="Y81" i="1"/>
  <c r="B82" i="1"/>
  <c r="D82" i="1"/>
  <c r="E82" i="1"/>
  <c r="F82" i="1"/>
  <c r="G82" i="1"/>
  <c r="H82" i="1"/>
  <c r="I82" i="1"/>
  <c r="J82" i="1"/>
  <c r="K82" i="1"/>
  <c r="L82" i="1"/>
  <c r="N82" i="1"/>
  <c r="O82" i="1"/>
  <c r="P82" i="1"/>
  <c r="Q82" i="1"/>
  <c r="R82" i="1"/>
  <c r="S82" i="1"/>
  <c r="T82" i="1"/>
  <c r="U82" i="1"/>
  <c r="V82" i="1"/>
  <c r="Y82" i="1"/>
  <c r="B83" i="1"/>
  <c r="D83" i="1"/>
  <c r="E83" i="1"/>
  <c r="F83" i="1"/>
  <c r="G83" i="1"/>
  <c r="H83" i="1"/>
  <c r="I83" i="1"/>
  <c r="J83" i="1"/>
  <c r="K83" i="1"/>
  <c r="L83" i="1"/>
  <c r="N83" i="1"/>
  <c r="O83" i="1"/>
  <c r="P83" i="1"/>
  <c r="Q83" i="1"/>
  <c r="R83" i="1"/>
  <c r="S83" i="1"/>
  <c r="T83" i="1"/>
  <c r="U83" i="1"/>
  <c r="V83" i="1"/>
  <c r="Y83" i="1"/>
  <c r="B84" i="1"/>
  <c r="D84" i="1"/>
  <c r="E84" i="1"/>
  <c r="F84" i="1"/>
  <c r="G84" i="1"/>
  <c r="H84" i="1"/>
  <c r="I84" i="1"/>
  <c r="J84" i="1"/>
  <c r="K84" i="1"/>
  <c r="L84" i="1"/>
  <c r="N84" i="1"/>
  <c r="O84" i="1"/>
  <c r="P84" i="1"/>
  <c r="Q84" i="1"/>
  <c r="R84" i="1"/>
  <c r="S84" i="1"/>
  <c r="T84" i="1"/>
  <c r="U84" i="1"/>
  <c r="V84" i="1"/>
  <c r="Y84" i="1"/>
  <c r="B85" i="1"/>
  <c r="D85" i="1"/>
  <c r="E85" i="1"/>
  <c r="F85" i="1"/>
  <c r="G85" i="1"/>
  <c r="H85" i="1"/>
  <c r="I85" i="1"/>
  <c r="J85" i="1"/>
  <c r="K85" i="1"/>
  <c r="L85" i="1"/>
  <c r="N85" i="1"/>
  <c r="O85" i="1"/>
  <c r="P85" i="1"/>
  <c r="Q85" i="1"/>
  <c r="R85" i="1"/>
  <c r="S85" i="1"/>
  <c r="T85" i="1"/>
  <c r="U85" i="1"/>
  <c r="V85" i="1"/>
  <c r="Y85" i="1"/>
  <c r="B86" i="1"/>
  <c r="D86" i="1"/>
  <c r="E86" i="1"/>
  <c r="F86" i="1"/>
  <c r="G86" i="1"/>
  <c r="H86" i="1"/>
  <c r="I86" i="1"/>
  <c r="J86" i="1"/>
  <c r="K86" i="1"/>
  <c r="L86" i="1"/>
  <c r="N86" i="1"/>
  <c r="O86" i="1"/>
  <c r="P86" i="1"/>
  <c r="Q86" i="1"/>
  <c r="R86" i="1"/>
  <c r="S86" i="1"/>
  <c r="T86" i="1"/>
  <c r="U86" i="1"/>
  <c r="V86" i="1"/>
  <c r="Y86" i="1"/>
  <c r="B87" i="1"/>
  <c r="D87" i="1"/>
  <c r="E87" i="1"/>
  <c r="F87" i="1"/>
  <c r="G87" i="1"/>
  <c r="H87" i="1"/>
  <c r="I87" i="1"/>
  <c r="J87" i="1"/>
  <c r="K87" i="1"/>
  <c r="L87" i="1"/>
  <c r="N87" i="1"/>
  <c r="O87" i="1"/>
  <c r="P87" i="1"/>
  <c r="Q87" i="1"/>
  <c r="R87" i="1"/>
  <c r="S87" i="1"/>
  <c r="T87" i="1"/>
  <c r="U87" i="1"/>
  <c r="V87" i="1"/>
  <c r="Y87" i="1"/>
  <c r="B88" i="1"/>
  <c r="D88" i="1"/>
  <c r="E88" i="1"/>
  <c r="F88" i="1"/>
  <c r="G88" i="1"/>
  <c r="H88" i="1"/>
  <c r="I88" i="1"/>
  <c r="J88" i="1"/>
  <c r="K88" i="1"/>
  <c r="L88" i="1"/>
  <c r="N88" i="1"/>
  <c r="O88" i="1"/>
  <c r="P88" i="1"/>
  <c r="Q88" i="1"/>
  <c r="R88" i="1"/>
  <c r="S88" i="1"/>
  <c r="T88" i="1"/>
  <c r="U88" i="1"/>
  <c r="V88" i="1"/>
  <c r="Y88" i="1"/>
  <c r="B89" i="1"/>
  <c r="D89" i="1"/>
  <c r="E89" i="1"/>
  <c r="F89" i="1"/>
  <c r="G89" i="1"/>
  <c r="H89" i="1"/>
  <c r="I89" i="1"/>
  <c r="J89" i="1"/>
  <c r="K89" i="1"/>
  <c r="L89" i="1"/>
  <c r="N89" i="1"/>
  <c r="O89" i="1"/>
  <c r="P89" i="1"/>
  <c r="Q89" i="1"/>
  <c r="R89" i="1"/>
  <c r="S89" i="1"/>
  <c r="T89" i="1"/>
  <c r="U89" i="1"/>
  <c r="V89" i="1"/>
  <c r="Y89" i="1"/>
  <c r="B90" i="1"/>
  <c r="D90" i="1"/>
  <c r="E90" i="1"/>
  <c r="F90" i="1"/>
  <c r="G90" i="1"/>
  <c r="H90" i="1"/>
  <c r="I90" i="1"/>
  <c r="J90" i="1"/>
  <c r="K90" i="1"/>
  <c r="L90" i="1"/>
  <c r="N90" i="1"/>
  <c r="O90" i="1"/>
  <c r="P90" i="1"/>
  <c r="Q90" i="1"/>
  <c r="R90" i="1"/>
  <c r="S90" i="1"/>
  <c r="T90" i="1"/>
  <c r="U90" i="1"/>
  <c r="V90" i="1"/>
  <c r="Y90" i="1"/>
  <c r="B91" i="1"/>
  <c r="D91" i="1"/>
  <c r="E91" i="1"/>
  <c r="F91" i="1"/>
  <c r="G91" i="1"/>
  <c r="H91" i="1"/>
  <c r="I91" i="1"/>
  <c r="J91" i="1"/>
  <c r="K91" i="1"/>
  <c r="L91" i="1"/>
  <c r="N91" i="1"/>
  <c r="O91" i="1"/>
  <c r="P91" i="1"/>
  <c r="Q91" i="1"/>
  <c r="R91" i="1"/>
  <c r="S91" i="1"/>
  <c r="T91" i="1"/>
  <c r="U91" i="1"/>
  <c r="V91" i="1"/>
  <c r="Y91" i="1"/>
  <c r="B92" i="1"/>
  <c r="D92" i="1"/>
  <c r="E92" i="1"/>
  <c r="F92" i="1"/>
  <c r="G92" i="1"/>
  <c r="H92" i="1"/>
  <c r="I92" i="1"/>
  <c r="J92" i="1"/>
  <c r="K92" i="1"/>
  <c r="L92" i="1"/>
  <c r="N92" i="1"/>
  <c r="O92" i="1"/>
  <c r="P92" i="1"/>
  <c r="Q92" i="1"/>
  <c r="R92" i="1"/>
  <c r="S92" i="1"/>
  <c r="T92" i="1"/>
  <c r="U92" i="1"/>
  <c r="V92" i="1"/>
  <c r="Y92" i="1"/>
  <c r="B93" i="1"/>
  <c r="D93" i="1"/>
  <c r="E93" i="1"/>
  <c r="F93" i="1"/>
  <c r="G93" i="1"/>
  <c r="H93" i="1"/>
  <c r="I93" i="1"/>
  <c r="J93" i="1"/>
  <c r="K93" i="1"/>
  <c r="L93" i="1"/>
  <c r="N93" i="1"/>
  <c r="O93" i="1"/>
  <c r="P93" i="1"/>
  <c r="Q93" i="1"/>
  <c r="R93" i="1"/>
  <c r="S93" i="1"/>
  <c r="T93" i="1"/>
  <c r="U93" i="1"/>
  <c r="V93" i="1"/>
  <c r="Y93" i="1"/>
  <c r="B94" i="1"/>
  <c r="D94" i="1"/>
  <c r="E94" i="1"/>
  <c r="F94" i="1"/>
  <c r="G94" i="1"/>
  <c r="H94" i="1"/>
  <c r="I94" i="1"/>
  <c r="J94" i="1"/>
  <c r="K94" i="1"/>
  <c r="L94" i="1"/>
  <c r="N94" i="1"/>
  <c r="O94" i="1"/>
  <c r="P94" i="1"/>
  <c r="Q94" i="1"/>
  <c r="R94" i="1"/>
  <c r="S94" i="1"/>
  <c r="T94" i="1"/>
  <c r="U94" i="1"/>
  <c r="V94" i="1"/>
  <c r="Y94" i="1"/>
  <c r="B95" i="1"/>
  <c r="D95" i="1"/>
  <c r="E95" i="1"/>
  <c r="F95" i="1"/>
  <c r="G95" i="1"/>
  <c r="H95" i="1"/>
  <c r="I95" i="1"/>
  <c r="J95" i="1"/>
  <c r="K95" i="1"/>
  <c r="L95" i="1"/>
  <c r="N95" i="1"/>
  <c r="O95" i="1"/>
  <c r="P95" i="1"/>
  <c r="Q95" i="1"/>
  <c r="R95" i="1"/>
  <c r="S95" i="1"/>
  <c r="T95" i="1"/>
  <c r="U95" i="1"/>
  <c r="V95" i="1"/>
  <c r="Y95" i="1"/>
  <c r="B96" i="1"/>
  <c r="D96" i="1"/>
  <c r="E96" i="1"/>
  <c r="F96" i="1"/>
  <c r="G96" i="1"/>
  <c r="H96" i="1"/>
  <c r="I96" i="1"/>
  <c r="J96" i="1"/>
  <c r="K96" i="1"/>
  <c r="L96" i="1"/>
  <c r="N96" i="1"/>
  <c r="O96" i="1"/>
  <c r="P96" i="1"/>
  <c r="Q96" i="1"/>
  <c r="R96" i="1"/>
  <c r="S96" i="1"/>
  <c r="T96" i="1"/>
  <c r="U96" i="1"/>
  <c r="V96" i="1"/>
  <c r="Y96" i="1"/>
  <c r="B97" i="1"/>
  <c r="D97" i="1"/>
  <c r="E97" i="1"/>
  <c r="F97" i="1"/>
  <c r="G97" i="1"/>
  <c r="H97" i="1"/>
  <c r="I97" i="1"/>
  <c r="J97" i="1"/>
  <c r="K97" i="1"/>
  <c r="L97" i="1"/>
  <c r="N97" i="1"/>
  <c r="O97" i="1"/>
  <c r="P97" i="1"/>
  <c r="Q97" i="1"/>
  <c r="R97" i="1"/>
  <c r="S97" i="1"/>
  <c r="T97" i="1"/>
  <c r="U97" i="1"/>
  <c r="V97" i="1"/>
  <c r="Y97" i="1"/>
  <c r="B98" i="1"/>
  <c r="D98" i="1"/>
  <c r="E98" i="1"/>
  <c r="F98" i="1"/>
  <c r="G98" i="1"/>
  <c r="H98" i="1"/>
  <c r="I98" i="1"/>
  <c r="J98" i="1"/>
  <c r="K98" i="1"/>
  <c r="L98" i="1"/>
  <c r="N98" i="1"/>
  <c r="O98" i="1"/>
  <c r="P98" i="1"/>
  <c r="Q98" i="1"/>
  <c r="R98" i="1"/>
  <c r="S98" i="1"/>
  <c r="T98" i="1"/>
  <c r="U98" i="1"/>
  <c r="V98" i="1"/>
  <c r="Y98" i="1"/>
  <c r="B99" i="1"/>
  <c r="D99" i="1"/>
  <c r="E99" i="1"/>
  <c r="F99" i="1"/>
  <c r="G99" i="1"/>
  <c r="H99" i="1"/>
  <c r="I99" i="1"/>
  <c r="J99" i="1"/>
  <c r="K99" i="1"/>
  <c r="L99" i="1"/>
  <c r="N99" i="1"/>
  <c r="O99" i="1"/>
  <c r="P99" i="1"/>
  <c r="Q99" i="1"/>
  <c r="R99" i="1"/>
  <c r="S99" i="1"/>
  <c r="T99" i="1"/>
  <c r="U99" i="1"/>
  <c r="V99" i="1"/>
  <c r="Y99" i="1"/>
  <c r="B100" i="1"/>
  <c r="D100" i="1"/>
  <c r="E100" i="1"/>
  <c r="F100" i="1"/>
  <c r="G100" i="1"/>
  <c r="H100" i="1"/>
  <c r="I100" i="1"/>
  <c r="J100" i="1"/>
  <c r="K100" i="1"/>
  <c r="L100" i="1"/>
  <c r="N100" i="1"/>
  <c r="O100" i="1"/>
  <c r="P100" i="1"/>
  <c r="Q100" i="1"/>
  <c r="R100" i="1"/>
  <c r="S100" i="1"/>
  <c r="T100" i="1"/>
  <c r="U100" i="1"/>
  <c r="V100" i="1"/>
  <c r="Y100" i="1"/>
  <c r="B101" i="1"/>
  <c r="D101" i="1"/>
  <c r="E101" i="1"/>
  <c r="F101" i="1"/>
  <c r="G101" i="1"/>
  <c r="H101" i="1"/>
  <c r="I101" i="1"/>
  <c r="J101" i="1"/>
  <c r="K101" i="1"/>
  <c r="L101" i="1"/>
  <c r="N101" i="1"/>
  <c r="O101" i="1"/>
  <c r="P101" i="1"/>
  <c r="Q101" i="1"/>
  <c r="R101" i="1"/>
  <c r="S101" i="1"/>
  <c r="T101" i="1"/>
  <c r="U101" i="1"/>
  <c r="V101" i="1"/>
  <c r="Y101" i="1"/>
  <c r="B102" i="1"/>
  <c r="D102" i="1"/>
  <c r="E102" i="1"/>
  <c r="F102" i="1"/>
  <c r="G102" i="1"/>
  <c r="H102" i="1"/>
  <c r="I102" i="1"/>
  <c r="J102" i="1"/>
  <c r="K102" i="1"/>
  <c r="L102" i="1"/>
  <c r="N102" i="1"/>
  <c r="O102" i="1"/>
  <c r="P102" i="1"/>
  <c r="Q102" i="1"/>
  <c r="R102" i="1"/>
  <c r="S102" i="1"/>
  <c r="T102" i="1"/>
  <c r="U102" i="1"/>
  <c r="V102" i="1"/>
  <c r="Y102" i="1"/>
  <c r="B103" i="1"/>
  <c r="D103" i="1"/>
  <c r="E103" i="1"/>
  <c r="F103" i="1"/>
  <c r="G103" i="1"/>
  <c r="H103" i="1"/>
  <c r="I103" i="1"/>
  <c r="J103" i="1"/>
  <c r="K103" i="1"/>
  <c r="L103" i="1"/>
  <c r="N103" i="1"/>
  <c r="O103" i="1"/>
  <c r="P103" i="1"/>
  <c r="Q103" i="1"/>
  <c r="R103" i="1"/>
  <c r="S103" i="1"/>
  <c r="T103" i="1"/>
  <c r="U103" i="1"/>
  <c r="V103" i="1"/>
  <c r="Y103" i="1"/>
  <c r="B104" i="1"/>
  <c r="D104" i="1"/>
  <c r="E104" i="1"/>
  <c r="F104" i="1"/>
  <c r="G104" i="1"/>
  <c r="H104" i="1"/>
  <c r="I104" i="1"/>
  <c r="J104" i="1"/>
  <c r="K104" i="1"/>
  <c r="L104" i="1"/>
  <c r="N104" i="1"/>
  <c r="O104" i="1"/>
  <c r="P104" i="1"/>
  <c r="Q104" i="1"/>
  <c r="R104" i="1"/>
  <c r="S104" i="1"/>
  <c r="T104" i="1"/>
  <c r="U104" i="1"/>
  <c r="V104" i="1"/>
  <c r="Y104" i="1"/>
  <c r="B105" i="1"/>
  <c r="D105" i="1"/>
  <c r="E105" i="1"/>
  <c r="F105" i="1"/>
  <c r="G105" i="1"/>
  <c r="H105" i="1"/>
  <c r="I105" i="1"/>
  <c r="J105" i="1"/>
  <c r="K105" i="1"/>
  <c r="L105" i="1"/>
  <c r="N105" i="1"/>
  <c r="O105" i="1"/>
  <c r="P105" i="1"/>
  <c r="Q105" i="1"/>
  <c r="R105" i="1"/>
  <c r="S105" i="1"/>
  <c r="T105" i="1"/>
  <c r="U105" i="1"/>
  <c r="V105" i="1"/>
  <c r="Y105" i="1"/>
  <c r="B106" i="1"/>
  <c r="D106" i="1"/>
  <c r="E106" i="1"/>
  <c r="F106" i="1"/>
  <c r="G106" i="1"/>
  <c r="H106" i="1"/>
  <c r="I106" i="1"/>
  <c r="J106" i="1"/>
  <c r="K106" i="1"/>
  <c r="L106" i="1"/>
  <c r="N106" i="1"/>
  <c r="O106" i="1"/>
  <c r="P106" i="1"/>
  <c r="Q106" i="1"/>
  <c r="R106" i="1"/>
  <c r="S106" i="1"/>
  <c r="T106" i="1"/>
  <c r="U106" i="1"/>
  <c r="V106" i="1"/>
  <c r="Y106" i="1"/>
  <c r="B107" i="1"/>
  <c r="D107" i="1"/>
  <c r="E107" i="1"/>
  <c r="F107" i="1"/>
  <c r="G107" i="1"/>
  <c r="H107" i="1"/>
  <c r="I107" i="1"/>
  <c r="J107" i="1"/>
  <c r="K107" i="1"/>
  <c r="L107" i="1"/>
  <c r="N107" i="1"/>
  <c r="O107" i="1"/>
  <c r="P107" i="1"/>
  <c r="Q107" i="1"/>
  <c r="R107" i="1"/>
  <c r="S107" i="1"/>
  <c r="T107" i="1"/>
  <c r="U107" i="1"/>
  <c r="V107" i="1"/>
  <c r="Y107" i="1"/>
  <c r="B108" i="1"/>
  <c r="D108" i="1"/>
  <c r="E108" i="1"/>
  <c r="F108" i="1"/>
  <c r="G108" i="1"/>
  <c r="H108" i="1"/>
  <c r="I108" i="1"/>
  <c r="J108" i="1"/>
  <c r="K108" i="1"/>
  <c r="L108" i="1"/>
  <c r="N108" i="1"/>
  <c r="O108" i="1"/>
  <c r="P108" i="1"/>
  <c r="Q108" i="1"/>
  <c r="R108" i="1"/>
  <c r="S108" i="1"/>
  <c r="T108" i="1"/>
  <c r="U108" i="1"/>
  <c r="V108" i="1"/>
  <c r="Y108" i="1"/>
  <c r="B109" i="1"/>
  <c r="D109" i="1"/>
  <c r="E109" i="1"/>
  <c r="F109" i="1"/>
  <c r="G109" i="1"/>
  <c r="H109" i="1"/>
  <c r="I109" i="1"/>
  <c r="J109" i="1"/>
  <c r="K109" i="1"/>
  <c r="L109" i="1"/>
  <c r="N109" i="1"/>
  <c r="O109" i="1"/>
  <c r="P109" i="1"/>
  <c r="Q109" i="1"/>
  <c r="R109" i="1"/>
  <c r="S109" i="1"/>
  <c r="T109" i="1"/>
  <c r="U109" i="1"/>
  <c r="V109" i="1"/>
  <c r="Y109" i="1"/>
  <c r="B110" i="1"/>
  <c r="D110" i="1"/>
  <c r="E110" i="1"/>
  <c r="F110" i="1"/>
  <c r="G110" i="1"/>
  <c r="H110" i="1"/>
  <c r="I110" i="1"/>
  <c r="J110" i="1"/>
  <c r="K110" i="1"/>
  <c r="L110" i="1"/>
  <c r="N110" i="1"/>
  <c r="O110" i="1"/>
  <c r="P110" i="1"/>
  <c r="Q110" i="1"/>
  <c r="R110" i="1"/>
  <c r="S110" i="1"/>
  <c r="T110" i="1"/>
  <c r="U110" i="1"/>
  <c r="V110" i="1"/>
  <c r="Y110" i="1"/>
  <c r="B111" i="1"/>
  <c r="D111" i="1"/>
  <c r="E111" i="1"/>
  <c r="F111" i="1"/>
  <c r="G111" i="1"/>
  <c r="H111" i="1"/>
  <c r="I111" i="1"/>
  <c r="J111" i="1"/>
  <c r="K111" i="1"/>
  <c r="L111" i="1"/>
  <c r="N111" i="1"/>
  <c r="O111" i="1"/>
  <c r="P111" i="1"/>
  <c r="Q111" i="1"/>
  <c r="R111" i="1"/>
  <c r="S111" i="1"/>
  <c r="T111" i="1"/>
  <c r="U111" i="1"/>
  <c r="V111" i="1"/>
  <c r="Y111" i="1"/>
  <c r="B112" i="1"/>
  <c r="D112" i="1"/>
  <c r="E112" i="1"/>
  <c r="F112" i="1"/>
  <c r="G112" i="1"/>
  <c r="H112" i="1"/>
  <c r="I112" i="1"/>
  <c r="J112" i="1"/>
  <c r="K112" i="1"/>
  <c r="L112" i="1"/>
  <c r="N112" i="1"/>
  <c r="O112" i="1"/>
  <c r="P112" i="1"/>
  <c r="Q112" i="1"/>
  <c r="R112" i="1"/>
  <c r="S112" i="1"/>
  <c r="T112" i="1"/>
  <c r="U112" i="1"/>
  <c r="V112" i="1"/>
  <c r="Y112" i="1"/>
  <c r="B113" i="1"/>
  <c r="D113" i="1"/>
  <c r="E113" i="1"/>
  <c r="F113" i="1"/>
  <c r="G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U113" i="1"/>
  <c r="V113" i="1"/>
  <c r="Y113" i="1"/>
  <c r="B114" i="1"/>
  <c r="D114" i="1"/>
  <c r="E114" i="1"/>
  <c r="F114" i="1"/>
  <c r="G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U114" i="1"/>
  <c r="V114" i="1"/>
  <c r="Y114" i="1"/>
  <c r="B115" i="1"/>
  <c r="D115" i="1"/>
  <c r="E115" i="1"/>
  <c r="F115" i="1"/>
  <c r="G115" i="1"/>
  <c r="H115" i="1"/>
  <c r="I115" i="1"/>
  <c r="J115" i="1"/>
  <c r="K115" i="1"/>
  <c r="L115" i="1"/>
  <c r="N115" i="1"/>
  <c r="O115" i="1"/>
  <c r="P115" i="1"/>
  <c r="Q115" i="1"/>
  <c r="R115" i="1"/>
  <c r="S115" i="1"/>
  <c r="T115" i="1"/>
  <c r="U115" i="1"/>
  <c r="V115" i="1"/>
  <c r="Y115" i="1"/>
  <c r="B116" i="1"/>
  <c r="D116" i="1"/>
  <c r="E116" i="1"/>
  <c r="F116" i="1"/>
  <c r="G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U116" i="1"/>
  <c r="V116" i="1"/>
  <c r="Y116" i="1"/>
  <c r="B117" i="1"/>
  <c r="D117" i="1"/>
  <c r="E117" i="1"/>
  <c r="F117" i="1"/>
  <c r="G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U117" i="1"/>
  <c r="V117" i="1"/>
  <c r="Y117" i="1"/>
  <c r="B118" i="1"/>
  <c r="D118" i="1"/>
  <c r="E118" i="1"/>
  <c r="F118" i="1"/>
  <c r="G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U118" i="1"/>
  <c r="V118" i="1"/>
  <c r="Y118" i="1"/>
  <c r="B119" i="1"/>
  <c r="D119" i="1"/>
  <c r="E119" i="1"/>
  <c r="F119" i="1"/>
  <c r="G119" i="1"/>
  <c r="H119" i="1"/>
  <c r="I119" i="1"/>
  <c r="J119" i="1"/>
  <c r="K119" i="1"/>
  <c r="L119" i="1"/>
  <c r="N119" i="1"/>
  <c r="O119" i="1"/>
  <c r="P119" i="1"/>
  <c r="Q119" i="1"/>
  <c r="R119" i="1"/>
  <c r="S119" i="1"/>
  <c r="T119" i="1"/>
  <c r="U119" i="1"/>
  <c r="V119" i="1"/>
  <c r="Y119" i="1"/>
  <c r="B120" i="1"/>
  <c r="D120" i="1"/>
  <c r="E120" i="1"/>
  <c r="F120" i="1"/>
  <c r="G120" i="1"/>
  <c r="H120" i="1"/>
  <c r="I120" i="1"/>
  <c r="J120" i="1"/>
  <c r="K120" i="1"/>
  <c r="L120" i="1"/>
  <c r="N120" i="1"/>
  <c r="O120" i="1"/>
  <c r="P120" i="1"/>
  <c r="Q120" i="1"/>
  <c r="R120" i="1"/>
  <c r="S120" i="1"/>
  <c r="T120" i="1"/>
  <c r="U120" i="1"/>
  <c r="V120" i="1"/>
  <c r="Y120" i="1"/>
  <c r="B121" i="1"/>
  <c r="D121" i="1"/>
  <c r="E121" i="1"/>
  <c r="F121" i="1"/>
  <c r="G121" i="1"/>
  <c r="H121" i="1"/>
  <c r="I121" i="1"/>
  <c r="J121" i="1"/>
  <c r="K121" i="1"/>
  <c r="L121" i="1"/>
  <c r="N121" i="1"/>
  <c r="O121" i="1"/>
  <c r="P121" i="1"/>
  <c r="Q121" i="1"/>
  <c r="R121" i="1"/>
  <c r="S121" i="1"/>
  <c r="T121" i="1"/>
  <c r="U121" i="1"/>
  <c r="V121" i="1"/>
  <c r="Y121" i="1"/>
  <c r="B122" i="1"/>
  <c r="D122" i="1"/>
  <c r="E122" i="1"/>
  <c r="F122" i="1"/>
  <c r="G122" i="1"/>
  <c r="H122" i="1"/>
  <c r="I122" i="1"/>
  <c r="J122" i="1"/>
  <c r="K122" i="1"/>
  <c r="L122" i="1"/>
  <c r="N122" i="1"/>
  <c r="O122" i="1"/>
  <c r="P122" i="1"/>
  <c r="Q122" i="1"/>
  <c r="R122" i="1"/>
  <c r="S122" i="1"/>
  <c r="T122" i="1"/>
  <c r="U122" i="1"/>
  <c r="V122" i="1"/>
  <c r="Y122" i="1"/>
  <c r="B123" i="1"/>
  <c r="D123" i="1"/>
  <c r="E123" i="1"/>
  <c r="F123" i="1"/>
  <c r="G123" i="1"/>
  <c r="H123" i="1"/>
  <c r="I123" i="1"/>
  <c r="J123" i="1"/>
  <c r="K123" i="1"/>
  <c r="L123" i="1"/>
  <c r="N123" i="1"/>
  <c r="O123" i="1"/>
  <c r="P123" i="1"/>
  <c r="Q123" i="1"/>
  <c r="R123" i="1"/>
  <c r="S123" i="1"/>
  <c r="T123" i="1"/>
  <c r="U123" i="1"/>
  <c r="V123" i="1"/>
  <c r="Y123" i="1"/>
  <c r="B124" i="1"/>
  <c r="D124" i="1"/>
  <c r="E124" i="1"/>
  <c r="F124" i="1"/>
  <c r="G124" i="1"/>
  <c r="H124" i="1"/>
  <c r="I124" i="1"/>
  <c r="J124" i="1"/>
  <c r="K124" i="1"/>
  <c r="L124" i="1"/>
  <c r="N124" i="1"/>
  <c r="O124" i="1"/>
  <c r="P124" i="1"/>
  <c r="Q124" i="1"/>
  <c r="R124" i="1"/>
  <c r="S124" i="1"/>
  <c r="T124" i="1"/>
  <c r="U124" i="1"/>
  <c r="V124" i="1"/>
  <c r="Y124" i="1"/>
  <c r="B125" i="1"/>
  <c r="D125" i="1"/>
  <c r="E125" i="1"/>
  <c r="F125" i="1"/>
  <c r="G125" i="1"/>
  <c r="H125" i="1"/>
  <c r="I125" i="1"/>
  <c r="J125" i="1"/>
  <c r="K125" i="1"/>
  <c r="L125" i="1"/>
  <c r="N125" i="1"/>
  <c r="O125" i="1"/>
  <c r="P125" i="1"/>
  <c r="Q125" i="1"/>
  <c r="R125" i="1"/>
  <c r="S125" i="1"/>
  <c r="T125" i="1"/>
  <c r="U125" i="1"/>
  <c r="V125" i="1"/>
  <c r="Y125" i="1"/>
  <c r="B126" i="1"/>
  <c r="D126" i="1"/>
  <c r="E126" i="1"/>
  <c r="F126" i="1"/>
  <c r="G126" i="1"/>
  <c r="H126" i="1"/>
  <c r="I126" i="1"/>
  <c r="J126" i="1"/>
  <c r="K126" i="1"/>
  <c r="L126" i="1"/>
  <c r="N126" i="1"/>
  <c r="O126" i="1"/>
  <c r="P126" i="1"/>
  <c r="Q126" i="1"/>
  <c r="R126" i="1"/>
  <c r="S126" i="1"/>
  <c r="T126" i="1"/>
  <c r="U126" i="1"/>
  <c r="V126" i="1"/>
  <c r="Y126" i="1"/>
  <c r="B127" i="1"/>
  <c r="D127" i="1"/>
  <c r="E127" i="1"/>
  <c r="F127" i="1"/>
  <c r="G127" i="1"/>
  <c r="H127" i="1"/>
  <c r="I127" i="1"/>
  <c r="J127" i="1"/>
  <c r="K127" i="1"/>
  <c r="L127" i="1"/>
  <c r="N127" i="1"/>
  <c r="O127" i="1"/>
  <c r="P127" i="1"/>
  <c r="Q127" i="1"/>
  <c r="R127" i="1"/>
  <c r="S127" i="1"/>
  <c r="T127" i="1"/>
  <c r="U127" i="1"/>
  <c r="V127" i="1"/>
  <c r="Y127" i="1"/>
  <c r="B128" i="1"/>
  <c r="D128" i="1"/>
  <c r="E128" i="1"/>
  <c r="F128" i="1"/>
  <c r="G128" i="1"/>
  <c r="H128" i="1"/>
  <c r="I128" i="1"/>
  <c r="J128" i="1"/>
  <c r="K128" i="1"/>
  <c r="L128" i="1"/>
  <c r="N128" i="1"/>
  <c r="O128" i="1"/>
  <c r="P128" i="1"/>
  <c r="Q128" i="1"/>
  <c r="R128" i="1"/>
  <c r="S128" i="1"/>
  <c r="T128" i="1"/>
  <c r="U128" i="1"/>
  <c r="V128" i="1"/>
  <c r="Y128" i="1"/>
  <c r="B129" i="1"/>
  <c r="D129" i="1"/>
  <c r="E129" i="1"/>
  <c r="F129" i="1"/>
  <c r="G129" i="1"/>
  <c r="H129" i="1"/>
  <c r="I129" i="1"/>
  <c r="J129" i="1"/>
  <c r="K129" i="1"/>
  <c r="L129" i="1"/>
  <c r="N129" i="1"/>
  <c r="O129" i="1"/>
  <c r="P129" i="1"/>
  <c r="Q129" i="1"/>
  <c r="R129" i="1"/>
  <c r="S129" i="1"/>
  <c r="T129" i="1"/>
  <c r="U129" i="1"/>
  <c r="V129" i="1"/>
  <c r="Y129" i="1"/>
  <c r="B130" i="1"/>
  <c r="D130" i="1"/>
  <c r="E130" i="1"/>
  <c r="F130" i="1"/>
  <c r="G130" i="1"/>
  <c r="H130" i="1"/>
  <c r="I130" i="1"/>
  <c r="J130" i="1"/>
  <c r="K130" i="1"/>
  <c r="L130" i="1"/>
  <c r="N130" i="1"/>
  <c r="O130" i="1"/>
  <c r="P130" i="1"/>
  <c r="Q130" i="1"/>
  <c r="R130" i="1"/>
  <c r="S130" i="1"/>
  <c r="T130" i="1"/>
  <c r="U130" i="1"/>
  <c r="V130" i="1"/>
  <c r="Y130" i="1"/>
  <c r="B131" i="1"/>
  <c r="D131" i="1"/>
  <c r="E131" i="1"/>
  <c r="F131" i="1"/>
  <c r="G131" i="1"/>
  <c r="H131" i="1"/>
  <c r="I131" i="1"/>
  <c r="J131" i="1"/>
  <c r="K131" i="1"/>
  <c r="L131" i="1"/>
  <c r="N131" i="1"/>
  <c r="O131" i="1"/>
  <c r="P131" i="1"/>
  <c r="Q131" i="1"/>
  <c r="R131" i="1"/>
  <c r="S131" i="1"/>
  <c r="T131" i="1"/>
  <c r="U131" i="1"/>
  <c r="V131" i="1"/>
  <c r="Y131" i="1"/>
  <c r="B132" i="1"/>
  <c r="D132" i="1"/>
  <c r="E132" i="1"/>
  <c r="F132" i="1"/>
  <c r="G132" i="1"/>
  <c r="H132" i="1"/>
  <c r="I132" i="1"/>
  <c r="J132" i="1"/>
  <c r="K132" i="1"/>
  <c r="L132" i="1"/>
  <c r="N132" i="1"/>
  <c r="O132" i="1"/>
  <c r="P132" i="1"/>
  <c r="Q132" i="1"/>
  <c r="R132" i="1"/>
  <c r="S132" i="1"/>
  <c r="T132" i="1"/>
  <c r="U132" i="1"/>
  <c r="V132" i="1"/>
  <c r="Y132" i="1"/>
  <c r="B133" i="1"/>
  <c r="D133" i="1"/>
  <c r="E133" i="1"/>
  <c r="F133" i="1"/>
  <c r="G133" i="1"/>
  <c r="H133" i="1"/>
  <c r="I133" i="1"/>
  <c r="J133" i="1"/>
  <c r="K133" i="1"/>
  <c r="L133" i="1"/>
  <c r="N133" i="1"/>
  <c r="O133" i="1"/>
  <c r="P133" i="1"/>
  <c r="Q133" i="1"/>
  <c r="R133" i="1"/>
  <c r="S133" i="1"/>
  <c r="T133" i="1"/>
  <c r="U133" i="1"/>
  <c r="V133" i="1"/>
  <c r="Y133" i="1"/>
  <c r="B134" i="1"/>
  <c r="D134" i="1"/>
  <c r="E134" i="1"/>
  <c r="F134" i="1"/>
  <c r="G134" i="1"/>
  <c r="H134" i="1"/>
  <c r="I134" i="1"/>
  <c r="J134" i="1"/>
  <c r="K134" i="1"/>
  <c r="L134" i="1"/>
  <c r="N134" i="1"/>
  <c r="O134" i="1"/>
  <c r="P134" i="1"/>
  <c r="Q134" i="1"/>
  <c r="R134" i="1"/>
  <c r="S134" i="1"/>
  <c r="T134" i="1"/>
  <c r="U134" i="1"/>
  <c r="V134" i="1"/>
  <c r="Y134" i="1"/>
  <c r="B135" i="1"/>
  <c r="D135" i="1"/>
  <c r="E135" i="1"/>
  <c r="F135" i="1"/>
  <c r="G135" i="1"/>
  <c r="H135" i="1"/>
  <c r="I135" i="1"/>
  <c r="J135" i="1"/>
  <c r="K135" i="1"/>
  <c r="L135" i="1"/>
  <c r="N135" i="1"/>
  <c r="O135" i="1"/>
  <c r="P135" i="1"/>
  <c r="Q135" i="1"/>
  <c r="R135" i="1"/>
  <c r="S135" i="1"/>
  <c r="T135" i="1"/>
  <c r="U135" i="1"/>
  <c r="V135" i="1"/>
  <c r="Y135" i="1"/>
  <c r="B136" i="1"/>
  <c r="D136" i="1"/>
  <c r="E136" i="1"/>
  <c r="F136" i="1"/>
  <c r="G136" i="1"/>
  <c r="H136" i="1"/>
  <c r="I136" i="1"/>
  <c r="J136" i="1"/>
  <c r="K136" i="1"/>
  <c r="L136" i="1"/>
  <c r="N136" i="1"/>
  <c r="O136" i="1"/>
  <c r="P136" i="1"/>
  <c r="Q136" i="1"/>
  <c r="R136" i="1"/>
  <c r="S136" i="1"/>
  <c r="T136" i="1"/>
  <c r="U136" i="1"/>
  <c r="V136" i="1"/>
  <c r="Y136" i="1"/>
  <c r="B137" i="1"/>
  <c r="D137" i="1"/>
  <c r="E137" i="1"/>
  <c r="F137" i="1"/>
  <c r="G137" i="1"/>
  <c r="H137" i="1"/>
  <c r="I137" i="1"/>
  <c r="J137" i="1"/>
  <c r="K137" i="1"/>
  <c r="L137" i="1"/>
  <c r="N137" i="1"/>
  <c r="O137" i="1"/>
  <c r="P137" i="1"/>
  <c r="Q137" i="1"/>
  <c r="R137" i="1"/>
  <c r="S137" i="1"/>
  <c r="T137" i="1"/>
  <c r="U137" i="1"/>
  <c r="V137" i="1"/>
  <c r="Y137" i="1"/>
  <c r="B138" i="1"/>
  <c r="D138" i="1"/>
  <c r="E138" i="1"/>
  <c r="F138" i="1"/>
  <c r="G138" i="1"/>
  <c r="H138" i="1"/>
  <c r="I138" i="1"/>
  <c r="J138" i="1"/>
  <c r="K138" i="1"/>
  <c r="L138" i="1"/>
  <c r="N138" i="1"/>
  <c r="O138" i="1"/>
  <c r="P138" i="1"/>
  <c r="Q138" i="1"/>
  <c r="R138" i="1"/>
  <c r="S138" i="1"/>
  <c r="T138" i="1"/>
  <c r="U138" i="1"/>
  <c r="V138" i="1"/>
  <c r="Y138" i="1"/>
  <c r="B139" i="1"/>
  <c r="D139" i="1"/>
  <c r="E139" i="1"/>
  <c r="F139" i="1"/>
  <c r="G139" i="1"/>
  <c r="H139" i="1"/>
  <c r="I139" i="1"/>
  <c r="J139" i="1"/>
  <c r="K139" i="1"/>
  <c r="L139" i="1"/>
  <c r="N139" i="1"/>
  <c r="O139" i="1"/>
  <c r="P139" i="1"/>
  <c r="Q139" i="1"/>
  <c r="R139" i="1"/>
  <c r="S139" i="1"/>
  <c r="T139" i="1"/>
  <c r="U139" i="1"/>
  <c r="V139" i="1"/>
  <c r="Y139" i="1"/>
  <c r="B140" i="1"/>
  <c r="D140" i="1"/>
  <c r="E140" i="1"/>
  <c r="F140" i="1"/>
  <c r="G140" i="1"/>
  <c r="H140" i="1"/>
  <c r="I140" i="1"/>
  <c r="J140" i="1"/>
  <c r="K140" i="1"/>
  <c r="L140" i="1"/>
  <c r="N140" i="1"/>
  <c r="O140" i="1"/>
  <c r="P140" i="1"/>
  <c r="Q140" i="1"/>
  <c r="R140" i="1"/>
  <c r="S140" i="1"/>
  <c r="T140" i="1"/>
  <c r="U140" i="1"/>
  <c r="V140" i="1"/>
  <c r="Y140" i="1"/>
  <c r="B141" i="1"/>
  <c r="D141" i="1"/>
  <c r="E141" i="1"/>
  <c r="F141" i="1"/>
  <c r="G141" i="1"/>
  <c r="H141" i="1"/>
  <c r="I141" i="1"/>
  <c r="J141" i="1"/>
  <c r="K141" i="1"/>
  <c r="L141" i="1"/>
  <c r="N141" i="1"/>
  <c r="O141" i="1"/>
  <c r="P141" i="1"/>
  <c r="Q141" i="1"/>
  <c r="R141" i="1"/>
  <c r="S141" i="1"/>
  <c r="T141" i="1"/>
  <c r="U141" i="1"/>
  <c r="V141" i="1"/>
  <c r="Y141" i="1"/>
  <c r="B142" i="1"/>
  <c r="D142" i="1"/>
  <c r="E142" i="1"/>
  <c r="F142" i="1"/>
  <c r="G142" i="1"/>
  <c r="H142" i="1"/>
  <c r="I142" i="1"/>
  <c r="J142" i="1"/>
  <c r="K142" i="1"/>
  <c r="L142" i="1"/>
  <c r="N142" i="1"/>
  <c r="O142" i="1"/>
  <c r="P142" i="1"/>
  <c r="Q142" i="1"/>
  <c r="R142" i="1"/>
  <c r="S142" i="1"/>
  <c r="T142" i="1"/>
  <c r="U142" i="1"/>
  <c r="V142" i="1"/>
  <c r="Y142" i="1"/>
  <c r="B143" i="1"/>
  <c r="D143" i="1"/>
  <c r="E143" i="1"/>
  <c r="F143" i="1"/>
  <c r="G143" i="1"/>
  <c r="H143" i="1"/>
  <c r="I143" i="1"/>
  <c r="J143" i="1"/>
  <c r="K143" i="1"/>
  <c r="L143" i="1"/>
  <c r="N143" i="1"/>
  <c r="O143" i="1"/>
  <c r="P143" i="1"/>
  <c r="Q143" i="1"/>
  <c r="R143" i="1"/>
  <c r="S143" i="1"/>
  <c r="T143" i="1"/>
  <c r="U143" i="1"/>
  <c r="V143" i="1"/>
  <c r="Y143" i="1"/>
  <c r="B144" i="1"/>
  <c r="D144" i="1"/>
  <c r="E144" i="1"/>
  <c r="F144" i="1"/>
  <c r="G144" i="1"/>
  <c r="H144" i="1"/>
  <c r="I144" i="1"/>
  <c r="J144" i="1"/>
  <c r="K144" i="1"/>
  <c r="L144" i="1"/>
  <c r="N144" i="1"/>
  <c r="O144" i="1"/>
  <c r="P144" i="1"/>
  <c r="Q144" i="1"/>
  <c r="R144" i="1"/>
  <c r="S144" i="1"/>
  <c r="T144" i="1"/>
  <c r="U144" i="1"/>
  <c r="V144" i="1"/>
  <c r="Y144" i="1"/>
  <c r="B145" i="1"/>
  <c r="D145" i="1"/>
  <c r="E145" i="1"/>
  <c r="F145" i="1"/>
  <c r="G145" i="1"/>
  <c r="H145" i="1"/>
  <c r="I145" i="1"/>
  <c r="J145" i="1"/>
  <c r="K145" i="1"/>
  <c r="L145" i="1"/>
  <c r="N145" i="1"/>
  <c r="O145" i="1"/>
  <c r="P145" i="1"/>
  <c r="Q145" i="1"/>
  <c r="R145" i="1"/>
  <c r="S145" i="1"/>
  <c r="T145" i="1"/>
  <c r="U145" i="1"/>
  <c r="V145" i="1"/>
  <c r="Y145" i="1"/>
  <c r="B146" i="1"/>
  <c r="D146" i="1"/>
  <c r="E146" i="1"/>
  <c r="F146" i="1"/>
  <c r="G146" i="1"/>
  <c r="H146" i="1"/>
  <c r="I146" i="1"/>
  <c r="J146" i="1"/>
  <c r="K146" i="1"/>
  <c r="L146" i="1"/>
  <c r="N146" i="1"/>
  <c r="O146" i="1"/>
  <c r="P146" i="1"/>
  <c r="Q146" i="1"/>
  <c r="R146" i="1"/>
  <c r="S146" i="1"/>
  <c r="T146" i="1"/>
  <c r="U146" i="1"/>
  <c r="V146" i="1"/>
  <c r="Y146" i="1"/>
  <c r="B147" i="1"/>
  <c r="D147" i="1"/>
  <c r="E147" i="1"/>
  <c r="F147" i="1"/>
  <c r="G147" i="1"/>
  <c r="H147" i="1"/>
  <c r="I147" i="1"/>
  <c r="J147" i="1"/>
  <c r="K147" i="1"/>
  <c r="L147" i="1"/>
  <c r="N147" i="1"/>
  <c r="O147" i="1"/>
  <c r="P147" i="1"/>
  <c r="Q147" i="1"/>
  <c r="R147" i="1"/>
  <c r="S147" i="1"/>
  <c r="T147" i="1"/>
  <c r="U147" i="1"/>
  <c r="V147" i="1"/>
  <c r="Y147" i="1"/>
  <c r="B148" i="1"/>
  <c r="D148" i="1"/>
  <c r="E148" i="1"/>
  <c r="F148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T148" i="1"/>
  <c r="U148" i="1"/>
  <c r="V148" i="1"/>
  <c r="Y148" i="1"/>
  <c r="B149" i="1"/>
  <c r="D149" i="1"/>
  <c r="E149" i="1"/>
  <c r="F149" i="1"/>
  <c r="G149" i="1"/>
  <c r="H149" i="1"/>
  <c r="I149" i="1"/>
  <c r="J149" i="1"/>
  <c r="K149" i="1"/>
  <c r="L149" i="1"/>
  <c r="N149" i="1"/>
  <c r="O149" i="1"/>
  <c r="P149" i="1"/>
  <c r="Q149" i="1"/>
  <c r="R149" i="1"/>
  <c r="S149" i="1"/>
  <c r="T149" i="1"/>
  <c r="U149" i="1"/>
  <c r="V149" i="1"/>
  <c r="Y149" i="1"/>
  <c r="B150" i="1"/>
  <c r="D150" i="1"/>
  <c r="E150" i="1"/>
  <c r="F150" i="1"/>
  <c r="G150" i="1"/>
  <c r="H150" i="1"/>
  <c r="I150" i="1"/>
  <c r="J150" i="1"/>
  <c r="K150" i="1"/>
  <c r="L150" i="1"/>
  <c r="N150" i="1"/>
  <c r="O150" i="1"/>
  <c r="P150" i="1"/>
  <c r="Q150" i="1"/>
  <c r="R150" i="1"/>
  <c r="S150" i="1"/>
  <c r="T150" i="1"/>
  <c r="U150" i="1"/>
  <c r="V150" i="1"/>
  <c r="Y150" i="1"/>
  <c r="B151" i="1"/>
  <c r="D151" i="1"/>
  <c r="E151" i="1"/>
  <c r="F151" i="1"/>
  <c r="G151" i="1"/>
  <c r="H151" i="1"/>
  <c r="I151" i="1"/>
  <c r="J151" i="1"/>
  <c r="K151" i="1"/>
  <c r="L151" i="1"/>
  <c r="N151" i="1"/>
  <c r="O151" i="1"/>
  <c r="P151" i="1"/>
  <c r="Q151" i="1"/>
  <c r="R151" i="1"/>
  <c r="S151" i="1"/>
  <c r="T151" i="1"/>
  <c r="U151" i="1"/>
  <c r="V151" i="1"/>
  <c r="Y151" i="1"/>
  <c r="B152" i="1"/>
  <c r="D152" i="1"/>
  <c r="E152" i="1"/>
  <c r="F152" i="1"/>
  <c r="G152" i="1"/>
  <c r="H152" i="1"/>
  <c r="I152" i="1"/>
  <c r="J152" i="1"/>
  <c r="K152" i="1"/>
  <c r="L152" i="1"/>
  <c r="N152" i="1"/>
  <c r="O152" i="1"/>
  <c r="P152" i="1"/>
  <c r="Q152" i="1"/>
  <c r="R152" i="1"/>
  <c r="S152" i="1"/>
  <c r="T152" i="1"/>
  <c r="U152" i="1"/>
  <c r="V152" i="1"/>
  <c r="Y152" i="1"/>
  <c r="B153" i="1"/>
  <c r="D153" i="1"/>
  <c r="E153" i="1"/>
  <c r="F153" i="1"/>
  <c r="G153" i="1"/>
  <c r="H153" i="1"/>
  <c r="I153" i="1"/>
  <c r="J153" i="1"/>
  <c r="K153" i="1"/>
  <c r="L153" i="1"/>
  <c r="N153" i="1"/>
  <c r="O153" i="1"/>
  <c r="P153" i="1"/>
  <c r="Q153" i="1"/>
  <c r="R153" i="1"/>
  <c r="S153" i="1"/>
  <c r="T153" i="1"/>
  <c r="U153" i="1"/>
  <c r="V153" i="1"/>
  <c r="Y153" i="1"/>
  <c r="B154" i="1"/>
  <c r="D154" i="1"/>
  <c r="E154" i="1"/>
  <c r="F154" i="1"/>
  <c r="G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U154" i="1"/>
  <c r="V154" i="1"/>
  <c r="Y154" i="1"/>
  <c r="B155" i="1"/>
  <c r="D155" i="1"/>
  <c r="E155" i="1"/>
  <c r="F155" i="1"/>
  <c r="G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U155" i="1"/>
  <c r="V155" i="1"/>
  <c r="Y155" i="1"/>
  <c r="B156" i="1"/>
  <c r="D156" i="1"/>
  <c r="E156" i="1"/>
  <c r="F156" i="1"/>
  <c r="G156" i="1"/>
  <c r="H156" i="1"/>
  <c r="I156" i="1"/>
  <c r="J156" i="1"/>
  <c r="K156" i="1"/>
  <c r="L156" i="1"/>
  <c r="N156" i="1"/>
  <c r="O156" i="1"/>
  <c r="P156" i="1"/>
  <c r="Q156" i="1"/>
  <c r="R156" i="1"/>
  <c r="S156" i="1"/>
  <c r="T156" i="1"/>
  <c r="U156" i="1"/>
  <c r="V156" i="1"/>
  <c r="Y156" i="1"/>
  <c r="B157" i="1"/>
  <c r="D157" i="1"/>
  <c r="E157" i="1"/>
  <c r="F157" i="1"/>
  <c r="G157" i="1"/>
  <c r="H157" i="1"/>
  <c r="I157" i="1"/>
  <c r="J157" i="1"/>
  <c r="K157" i="1"/>
  <c r="L157" i="1"/>
  <c r="N157" i="1"/>
  <c r="O157" i="1"/>
  <c r="P157" i="1"/>
  <c r="Q157" i="1"/>
  <c r="R157" i="1"/>
  <c r="S157" i="1"/>
  <c r="T157" i="1"/>
  <c r="U157" i="1"/>
  <c r="V157" i="1"/>
  <c r="Y157" i="1"/>
  <c r="B158" i="1"/>
  <c r="D158" i="1"/>
  <c r="E158" i="1"/>
  <c r="F158" i="1"/>
  <c r="G158" i="1"/>
  <c r="H158" i="1"/>
  <c r="I158" i="1"/>
  <c r="J158" i="1"/>
  <c r="K158" i="1"/>
  <c r="L158" i="1"/>
  <c r="N158" i="1"/>
  <c r="O158" i="1"/>
  <c r="P158" i="1"/>
  <c r="Q158" i="1"/>
  <c r="R158" i="1"/>
  <c r="S158" i="1"/>
  <c r="T158" i="1"/>
  <c r="U158" i="1"/>
  <c r="V158" i="1"/>
  <c r="Y158" i="1"/>
  <c r="B159" i="1"/>
  <c r="D159" i="1"/>
  <c r="E159" i="1"/>
  <c r="F159" i="1"/>
  <c r="G159" i="1"/>
  <c r="H159" i="1"/>
  <c r="I159" i="1"/>
  <c r="J159" i="1"/>
  <c r="K159" i="1"/>
  <c r="L159" i="1"/>
  <c r="N159" i="1"/>
  <c r="O159" i="1"/>
  <c r="P159" i="1"/>
  <c r="Q159" i="1"/>
  <c r="R159" i="1"/>
  <c r="S159" i="1"/>
  <c r="T159" i="1"/>
  <c r="U159" i="1"/>
  <c r="V159" i="1"/>
  <c r="Y159" i="1"/>
  <c r="B160" i="1"/>
  <c r="D160" i="1"/>
  <c r="E160" i="1"/>
  <c r="F160" i="1"/>
  <c r="G160" i="1"/>
  <c r="H160" i="1"/>
  <c r="I160" i="1"/>
  <c r="J160" i="1"/>
  <c r="K160" i="1"/>
  <c r="L160" i="1"/>
  <c r="N160" i="1"/>
  <c r="O160" i="1"/>
  <c r="P160" i="1"/>
  <c r="Q160" i="1"/>
  <c r="R160" i="1"/>
  <c r="S160" i="1"/>
  <c r="T160" i="1"/>
  <c r="U160" i="1"/>
  <c r="V160" i="1"/>
  <c r="Y160" i="1"/>
  <c r="B161" i="1"/>
  <c r="D161" i="1"/>
  <c r="E161" i="1"/>
  <c r="F161" i="1"/>
  <c r="G161" i="1"/>
  <c r="H161" i="1"/>
  <c r="I161" i="1"/>
  <c r="J161" i="1"/>
  <c r="K161" i="1"/>
  <c r="L161" i="1"/>
  <c r="N161" i="1"/>
  <c r="O161" i="1"/>
  <c r="P161" i="1"/>
  <c r="Q161" i="1"/>
  <c r="R161" i="1"/>
  <c r="S161" i="1"/>
  <c r="T161" i="1"/>
  <c r="U161" i="1"/>
  <c r="V161" i="1"/>
  <c r="Y161" i="1"/>
  <c r="B162" i="1"/>
  <c r="D162" i="1"/>
  <c r="E162" i="1"/>
  <c r="F162" i="1"/>
  <c r="G162" i="1"/>
  <c r="H162" i="1"/>
  <c r="I162" i="1"/>
  <c r="J162" i="1"/>
  <c r="K162" i="1"/>
  <c r="L162" i="1"/>
  <c r="N162" i="1"/>
  <c r="O162" i="1"/>
  <c r="P162" i="1"/>
  <c r="Q162" i="1"/>
  <c r="R162" i="1"/>
  <c r="S162" i="1"/>
  <c r="T162" i="1"/>
  <c r="U162" i="1"/>
  <c r="V162" i="1"/>
  <c r="Y162" i="1"/>
  <c r="B163" i="1"/>
  <c r="D163" i="1"/>
  <c r="E163" i="1"/>
  <c r="F163" i="1"/>
  <c r="G163" i="1"/>
  <c r="H163" i="1"/>
  <c r="I163" i="1"/>
  <c r="J163" i="1"/>
  <c r="K163" i="1"/>
  <c r="L163" i="1"/>
  <c r="N163" i="1"/>
  <c r="O163" i="1"/>
  <c r="P163" i="1"/>
  <c r="Q163" i="1"/>
  <c r="R163" i="1"/>
  <c r="S163" i="1"/>
  <c r="T163" i="1"/>
  <c r="U163" i="1"/>
  <c r="V163" i="1"/>
  <c r="Y163" i="1"/>
  <c r="B164" i="1"/>
  <c r="D164" i="1"/>
  <c r="E164" i="1"/>
  <c r="F164" i="1"/>
  <c r="G164" i="1"/>
  <c r="H164" i="1"/>
  <c r="I164" i="1"/>
  <c r="J164" i="1"/>
  <c r="K164" i="1"/>
  <c r="L164" i="1"/>
  <c r="N164" i="1"/>
  <c r="O164" i="1"/>
  <c r="P164" i="1"/>
  <c r="Q164" i="1"/>
  <c r="R164" i="1"/>
  <c r="S164" i="1"/>
  <c r="T164" i="1"/>
  <c r="U164" i="1"/>
  <c r="V164" i="1"/>
  <c r="Y164" i="1"/>
  <c r="B165" i="1"/>
  <c r="D165" i="1"/>
  <c r="E165" i="1"/>
  <c r="F165" i="1"/>
  <c r="G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U165" i="1"/>
  <c r="V165" i="1"/>
  <c r="Y165" i="1"/>
  <c r="B166" i="1"/>
  <c r="D166" i="1"/>
  <c r="E166" i="1"/>
  <c r="F166" i="1"/>
  <c r="G166" i="1"/>
  <c r="H166" i="1"/>
  <c r="I166" i="1"/>
  <c r="J166" i="1"/>
  <c r="K166" i="1"/>
  <c r="L166" i="1"/>
  <c r="N166" i="1"/>
  <c r="O166" i="1"/>
  <c r="P166" i="1"/>
  <c r="Q166" i="1"/>
  <c r="R166" i="1"/>
  <c r="S166" i="1"/>
  <c r="T166" i="1"/>
  <c r="U166" i="1"/>
  <c r="V166" i="1"/>
  <c r="Y166" i="1"/>
  <c r="B167" i="1"/>
  <c r="D167" i="1"/>
  <c r="E167" i="1"/>
  <c r="F167" i="1"/>
  <c r="G167" i="1"/>
  <c r="H167" i="1"/>
  <c r="I167" i="1"/>
  <c r="J167" i="1"/>
  <c r="K167" i="1"/>
  <c r="L167" i="1"/>
  <c r="N167" i="1"/>
  <c r="O167" i="1"/>
  <c r="P167" i="1"/>
  <c r="Q167" i="1"/>
  <c r="R167" i="1"/>
  <c r="S167" i="1"/>
  <c r="T167" i="1"/>
  <c r="U167" i="1"/>
  <c r="V167" i="1"/>
  <c r="Y167" i="1"/>
  <c r="B168" i="1"/>
  <c r="D168" i="1"/>
  <c r="E168" i="1"/>
  <c r="F168" i="1"/>
  <c r="G168" i="1"/>
  <c r="H168" i="1"/>
  <c r="I168" i="1"/>
  <c r="J168" i="1"/>
  <c r="K168" i="1"/>
  <c r="L168" i="1"/>
  <c r="N168" i="1"/>
  <c r="O168" i="1"/>
  <c r="P168" i="1"/>
  <c r="Q168" i="1"/>
  <c r="R168" i="1"/>
  <c r="S168" i="1"/>
  <c r="T168" i="1"/>
  <c r="U168" i="1"/>
  <c r="V168" i="1"/>
  <c r="Y168" i="1"/>
  <c r="B169" i="1"/>
  <c r="D169" i="1"/>
  <c r="E169" i="1"/>
  <c r="F169" i="1"/>
  <c r="G169" i="1"/>
  <c r="H169" i="1"/>
  <c r="I169" i="1"/>
  <c r="J169" i="1"/>
  <c r="K169" i="1"/>
  <c r="L169" i="1"/>
  <c r="N169" i="1"/>
  <c r="O169" i="1"/>
  <c r="P169" i="1"/>
  <c r="Q169" i="1"/>
  <c r="R169" i="1"/>
  <c r="S169" i="1"/>
  <c r="T169" i="1"/>
  <c r="U169" i="1"/>
  <c r="V169" i="1"/>
  <c r="Y169" i="1"/>
  <c r="B170" i="1"/>
  <c r="D170" i="1"/>
  <c r="E170" i="1"/>
  <c r="F170" i="1"/>
  <c r="G170" i="1"/>
  <c r="H170" i="1"/>
  <c r="I170" i="1"/>
  <c r="J170" i="1"/>
  <c r="K170" i="1"/>
  <c r="L170" i="1"/>
  <c r="N170" i="1"/>
  <c r="O170" i="1"/>
  <c r="P170" i="1"/>
  <c r="Q170" i="1"/>
  <c r="R170" i="1"/>
  <c r="S170" i="1"/>
  <c r="T170" i="1"/>
  <c r="U170" i="1"/>
  <c r="V170" i="1"/>
  <c r="Y170" i="1"/>
  <c r="B171" i="1"/>
  <c r="D171" i="1"/>
  <c r="E171" i="1"/>
  <c r="F171" i="1"/>
  <c r="G171" i="1"/>
  <c r="H171" i="1"/>
  <c r="I171" i="1"/>
  <c r="J171" i="1"/>
  <c r="K171" i="1"/>
  <c r="L171" i="1"/>
  <c r="N171" i="1"/>
  <c r="O171" i="1"/>
  <c r="P171" i="1"/>
  <c r="Q171" i="1"/>
  <c r="R171" i="1"/>
  <c r="S171" i="1"/>
  <c r="T171" i="1"/>
  <c r="U171" i="1"/>
  <c r="V171" i="1"/>
  <c r="Y171" i="1"/>
  <c r="B172" i="1"/>
  <c r="D172" i="1"/>
  <c r="E172" i="1"/>
  <c r="F172" i="1"/>
  <c r="G172" i="1"/>
  <c r="H172" i="1"/>
  <c r="I172" i="1"/>
  <c r="J172" i="1"/>
  <c r="K172" i="1"/>
  <c r="L172" i="1"/>
  <c r="N172" i="1"/>
  <c r="O172" i="1"/>
  <c r="P172" i="1"/>
  <c r="Q172" i="1"/>
  <c r="R172" i="1"/>
  <c r="S172" i="1"/>
  <c r="T172" i="1"/>
  <c r="U172" i="1"/>
  <c r="V172" i="1"/>
  <c r="Y172" i="1"/>
  <c r="B173" i="1"/>
  <c r="D173" i="1"/>
  <c r="E173" i="1"/>
  <c r="F173" i="1"/>
  <c r="G173" i="1"/>
  <c r="H173" i="1"/>
  <c r="I173" i="1"/>
  <c r="J173" i="1"/>
  <c r="K173" i="1"/>
  <c r="L173" i="1"/>
  <c r="N173" i="1"/>
  <c r="O173" i="1"/>
  <c r="P173" i="1"/>
  <c r="Q173" i="1"/>
  <c r="R173" i="1"/>
  <c r="S173" i="1"/>
  <c r="T173" i="1"/>
  <c r="U173" i="1"/>
  <c r="V173" i="1"/>
  <c r="Y173" i="1"/>
  <c r="B174" i="1"/>
  <c r="D174" i="1"/>
  <c r="E174" i="1"/>
  <c r="F174" i="1"/>
  <c r="G174" i="1"/>
  <c r="H174" i="1"/>
  <c r="I174" i="1"/>
  <c r="J174" i="1"/>
  <c r="K174" i="1"/>
  <c r="L174" i="1"/>
  <c r="N174" i="1"/>
  <c r="O174" i="1"/>
  <c r="P174" i="1"/>
  <c r="Q174" i="1"/>
  <c r="R174" i="1"/>
  <c r="S174" i="1"/>
  <c r="T174" i="1"/>
  <c r="U174" i="1"/>
  <c r="V174" i="1"/>
  <c r="Y174" i="1"/>
  <c r="B175" i="1"/>
  <c r="D175" i="1"/>
  <c r="E175" i="1"/>
  <c r="F175" i="1"/>
  <c r="G175" i="1"/>
  <c r="H175" i="1"/>
  <c r="I175" i="1"/>
  <c r="J175" i="1"/>
  <c r="K175" i="1"/>
  <c r="L175" i="1"/>
  <c r="N175" i="1"/>
  <c r="O175" i="1"/>
  <c r="P175" i="1"/>
  <c r="Q175" i="1"/>
  <c r="R175" i="1"/>
  <c r="S175" i="1"/>
  <c r="T175" i="1"/>
  <c r="U175" i="1"/>
  <c r="V175" i="1"/>
  <c r="Y175" i="1"/>
  <c r="B176" i="1"/>
  <c r="D176" i="1"/>
  <c r="E176" i="1"/>
  <c r="F176" i="1"/>
  <c r="G176" i="1"/>
  <c r="H176" i="1"/>
  <c r="I176" i="1"/>
  <c r="J176" i="1"/>
  <c r="K176" i="1"/>
  <c r="L176" i="1"/>
  <c r="N176" i="1"/>
  <c r="O176" i="1"/>
  <c r="P176" i="1"/>
  <c r="Q176" i="1"/>
  <c r="R176" i="1"/>
  <c r="S176" i="1"/>
  <c r="T176" i="1"/>
  <c r="U176" i="1"/>
  <c r="V176" i="1"/>
  <c r="Y176" i="1"/>
  <c r="B177" i="1"/>
  <c r="D177" i="1"/>
  <c r="E177" i="1"/>
  <c r="F177" i="1"/>
  <c r="G177" i="1"/>
  <c r="H177" i="1"/>
  <c r="I177" i="1"/>
  <c r="J177" i="1"/>
  <c r="K177" i="1"/>
  <c r="L177" i="1"/>
  <c r="N177" i="1"/>
  <c r="O177" i="1"/>
  <c r="P177" i="1"/>
  <c r="Q177" i="1"/>
  <c r="R177" i="1"/>
  <c r="S177" i="1"/>
  <c r="T177" i="1"/>
  <c r="U177" i="1"/>
  <c r="V177" i="1"/>
  <c r="Y177" i="1"/>
  <c r="B178" i="1"/>
  <c r="D178" i="1"/>
  <c r="E178" i="1"/>
  <c r="F178" i="1"/>
  <c r="G178" i="1"/>
  <c r="H178" i="1"/>
  <c r="I178" i="1"/>
  <c r="J178" i="1"/>
  <c r="K178" i="1"/>
  <c r="L178" i="1"/>
  <c r="N178" i="1"/>
  <c r="O178" i="1"/>
  <c r="P178" i="1"/>
  <c r="Q178" i="1"/>
  <c r="R178" i="1"/>
  <c r="S178" i="1"/>
  <c r="T178" i="1"/>
  <c r="U178" i="1"/>
  <c r="V178" i="1"/>
  <c r="Y178" i="1"/>
  <c r="B179" i="1"/>
  <c r="D179" i="1"/>
  <c r="E179" i="1"/>
  <c r="F179" i="1"/>
  <c r="G179" i="1"/>
  <c r="H179" i="1"/>
  <c r="I179" i="1"/>
  <c r="J179" i="1"/>
  <c r="K179" i="1"/>
  <c r="L179" i="1"/>
  <c r="N179" i="1"/>
  <c r="O179" i="1"/>
  <c r="P179" i="1"/>
  <c r="Q179" i="1"/>
  <c r="R179" i="1"/>
  <c r="S179" i="1"/>
  <c r="T179" i="1"/>
  <c r="U179" i="1"/>
  <c r="V179" i="1"/>
  <c r="Y179" i="1"/>
  <c r="B180" i="1"/>
  <c r="D180" i="1"/>
  <c r="E180" i="1"/>
  <c r="F180" i="1"/>
  <c r="G180" i="1"/>
  <c r="H180" i="1"/>
  <c r="I180" i="1"/>
  <c r="J180" i="1"/>
  <c r="K180" i="1"/>
  <c r="L180" i="1"/>
  <c r="N180" i="1"/>
  <c r="O180" i="1"/>
  <c r="P180" i="1"/>
  <c r="Q180" i="1"/>
  <c r="R180" i="1"/>
  <c r="S180" i="1"/>
  <c r="T180" i="1"/>
  <c r="U180" i="1"/>
  <c r="V180" i="1"/>
  <c r="Y180" i="1"/>
  <c r="B181" i="1"/>
  <c r="D181" i="1"/>
  <c r="E181" i="1"/>
  <c r="F181" i="1"/>
  <c r="G181" i="1"/>
  <c r="H181" i="1"/>
  <c r="I181" i="1"/>
  <c r="J181" i="1"/>
  <c r="K181" i="1"/>
  <c r="L181" i="1"/>
  <c r="N181" i="1"/>
  <c r="O181" i="1"/>
  <c r="P181" i="1"/>
  <c r="Q181" i="1"/>
  <c r="R181" i="1"/>
  <c r="S181" i="1"/>
  <c r="T181" i="1"/>
  <c r="U181" i="1"/>
  <c r="V181" i="1"/>
  <c r="Y181" i="1"/>
  <c r="B182" i="1"/>
  <c r="D182" i="1"/>
  <c r="E182" i="1"/>
  <c r="F182" i="1"/>
  <c r="G182" i="1"/>
  <c r="H182" i="1"/>
  <c r="I182" i="1"/>
  <c r="J182" i="1"/>
  <c r="K182" i="1"/>
  <c r="L182" i="1"/>
  <c r="N182" i="1"/>
  <c r="O182" i="1"/>
  <c r="P182" i="1"/>
  <c r="Q182" i="1"/>
  <c r="R182" i="1"/>
  <c r="S182" i="1"/>
  <c r="T182" i="1"/>
  <c r="U182" i="1"/>
  <c r="V182" i="1"/>
  <c r="Y182" i="1"/>
  <c r="B183" i="1"/>
  <c r="D183" i="1"/>
  <c r="E183" i="1"/>
  <c r="F183" i="1"/>
  <c r="G183" i="1"/>
  <c r="H183" i="1"/>
  <c r="I183" i="1"/>
  <c r="J183" i="1"/>
  <c r="K183" i="1"/>
  <c r="L183" i="1"/>
  <c r="N183" i="1"/>
  <c r="O183" i="1"/>
  <c r="P183" i="1"/>
  <c r="Q183" i="1"/>
  <c r="R183" i="1"/>
  <c r="S183" i="1"/>
  <c r="T183" i="1"/>
  <c r="U183" i="1"/>
  <c r="V183" i="1"/>
  <c r="Y183" i="1"/>
  <c r="B184" i="1"/>
  <c r="D184" i="1"/>
  <c r="E184" i="1"/>
  <c r="F184" i="1"/>
  <c r="G184" i="1"/>
  <c r="H184" i="1"/>
  <c r="I184" i="1"/>
  <c r="J184" i="1"/>
  <c r="K184" i="1"/>
  <c r="L184" i="1"/>
  <c r="N184" i="1"/>
  <c r="O184" i="1"/>
  <c r="P184" i="1"/>
  <c r="Q184" i="1"/>
  <c r="R184" i="1"/>
  <c r="S184" i="1"/>
  <c r="T184" i="1"/>
  <c r="U184" i="1"/>
  <c r="V184" i="1"/>
  <c r="Y184" i="1"/>
  <c r="B185" i="1"/>
  <c r="D185" i="1"/>
  <c r="E185" i="1"/>
  <c r="F185" i="1"/>
  <c r="G185" i="1"/>
  <c r="H185" i="1"/>
  <c r="I185" i="1"/>
  <c r="J185" i="1"/>
  <c r="K185" i="1"/>
  <c r="L185" i="1"/>
  <c r="N185" i="1"/>
  <c r="O185" i="1"/>
  <c r="P185" i="1"/>
  <c r="Q185" i="1"/>
  <c r="R185" i="1"/>
  <c r="S185" i="1"/>
  <c r="T185" i="1"/>
  <c r="U185" i="1"/>
  <c r="V185" i="1"/>
  <c r="Y185" i="1"/>
  <c r="B186" i="1"/>
  <c r="D186" i="1"/>
  <c r="E186" i="1"/>
  <c r="F186" i="1"/>
  <c r="G186" i="1"/>
  <c r="H186" i="1"/>
  <c r="I186" i="1"/>
  <c r="J186" i="1"/>
  <c r="K186" i="1"/>
  <c r="L186" i="1"/>
  <c r="N186" i="1"/>
  <c r="O186" i="1"/>
  <c r="P186" i="1"/>
  <c r="Q186" i="1"/>
  <c r="R186" i="1"/>
  <c r="S186" i="1"/>
  <c r="T186" i="1"/>
  <c r="U186" i="1"/>
  <c r="V186" i="1"/>
  <c r="Y186" i="1"/>
  <c r="B187" i="1"/>
  <c r="D187" i="1"/>
  <c r="E187" i="1"/>
  <c r="F187" i="1"/>
  <c r="G187" i="1"/>
  <c r="H187" i="1"/>
  <c r="I187" i="1"/>
  <c r="J187" i="1"/>
  <c r="K187" i="1"/>
  <c r="L187" i="1"/>
  <c r="N187" i="1"/>
  <c r="O187" i="1"/>
  <c r="P187" i="1"/>
  <c r="Q187" i="1"/>
  <c r="R187" i="1"/>
  <c r="S187" i="1"/>
  <c r="T187" i="1"/>
  <c r="U187" i="1"/>
  <c r="V187" i="1"/>
  <c r="Y187" i="1"/>
  <c r="B188" i="1"/>
  <c r="D188" i="1"/>
  <c r="E188" i="1"/>
  <c r="F188" i="1"/>
  <c r="G188" i="1"/>
  <c r="H188" i="1"/>
  <c r="I188" i="1"/>
  <c r="J188" i="1"/>
  <c r="K188" i="1"/>
  <c r="L188" i="1"/>
  <c r="N188" i="1"/>
  <c r="O188" i="1"/>
  <c r="P188" i="1"/>
  <c r="Q188" i="1"/>
  <c r="R188" i="1"/>
  <c r="S188" i="1"/>
  <c r="T188" i="1"/>
  <c r="U188" i="1"/>
  <c r="V188" i="1"/>
  <c r="Y188" i="1"/>
  <c r="B189" i="1"/>
  <c r="D189" i="1"/>
  <c r="E189" i="1"/>
  <c r="F189" i="1"/>
  <c r="G189" i="1"/>
  <c r="H189" i="1"/>
  <c r="I189" i="1"/>
  <c r="J189" i="1"/>
  <c r="K189" i="1"/>
  <c r="L189" i="1"/>
  <c r="N189" i="1"/>
  <c r="O189" i="1"/>
  <c r="P189" i="1"/>
  <c r="Q189" i="1"/>
  <c r="R189" i="1"/>
  <c r="S189" i="1"/>
  <c r="T189" i="1"/>
  <c r="U189" i="1"/>
  <c r="V189" i="1"/>
  <c r="Y189" i="1"/>
  <c r="B190" i="1"/>
  <c r="D190" i="1"/>
  <c r="E190" i="1"/>
  <c r="F190" i="1"/>
  <c r="G190" i="1"/>
  <c r="H190" i="1"/>
  <c r="I190" i="1"/>
  <c r="J190" i="1"/>
  <c r="K190" i="1"/>
  <c r="L190" i="1"/>
  <c r="N190" i="1"/>
  <c r="O190" i="1"/>
  <c r="P190" i="1"/>
  <c r="Q190" i="1"/>
  <c r="R190" i="1"/>
  <c r="S190" i="1"/>
  <c r="T190" i="1"/>
  <c r="U190" i="1"/>
  <c r="V190" i="1"/>
  <c r="Y190" i="1"/>
  <c r="B191" i="1"/>
  <c r="D191" i="1"/>
  <c r="E191" i="1"/>
  <c r="F191" i="1"/>
  <c r="G191" i="1"/>
  <c r="H191" i="1"/>
  <c r="I191" i="1"/>
  <c r="J191" i="1"/>
  <c r="K191" i="1"/>
  <c r="L191" i="1"/>
  <c r="N191" i="1"/>
  <c r="O191" i="1"/>
  <c r="P191" i="1"/>
  <c r="Q191" i="1"/>
  <c r="R191" i="1"/>
  <c r="S191" i="1"/>
  <c r="T191" i="1"/>
  <c r="U191" i="1"/>
  <c r="V191" i="1"/>
  <c r="Y191" i="1"/>
  <c r="B192" i="1"/>
  <c r="D192" i="1"/>
  <c r="E192" i="1"/>
  <c r="F192" i="1"/>
  <c r="G192" i="1"/>
  <c r="H192" i="1"/>
  <c r="I192" i="1"/>
  <c r="J192" i="1"/>
  <c r="K192" i="1"/>
  <c r="L192" i="1"/>
  <c r="N192" i="1"/>
  <c r="O192" i="1"/>
  <c r="P192" i="1"/>
  <c r="Q192" i="1"/>
  <c r="R192" i="1"/>
  <c r="S192" i="1"/>
  <c r="T192" i="1"/>
  <c r="U192" i="1"/>
  <c r="V192" i="1"/>
  <c r="Y192" i="1"/>
  <c r="B193" i="1"/>
  <c r="D193" i="1"/>
  <c r="E193" i="1"/>
  <c r="F193" i="1"/>
  <c r="G193" i="1"/>
  <c r="H193" i="1"/>
  <c r="I193" i="1"/>
  <c r="J193" i="1"/>
  <c r="K193" i="1"/>
  <c r="L193" i="1"/>
  <c r="N193" i="1"/>
  <c r="O193" i="1"/>
  <c r="P193" i="1"/>
  <c r="Q193" i="1"/>
  <c r="R193" i="1"/>
  <c r="S193" i="1"/>
  <c r="T193" i="1"/>
  <c r="U193" i="1"/>
  <c r="V193" i="1"/>
  <c r="Y193" i="1"/>
  <c r="B194" i="1"/>
  <c r="D194" i="1"/>
  <c r="E194" i="1"/>
  <c r="F194" i="1"/>
  <c r="G194" i="1"/>
  <c r="H194" i="1"/>
  <c r="I194" i="1"/>
  <c r="J194" i="1"/>
  <c r="K194" i="1"/>
  <c r="L194" i="1"/>
  <c r="N194" i="1"/>
  <c r="O194" i="1"/>
  <c r="P194" i="1"/>
  <c r="Q194" i="1"/>
  <c r="R194" i="1"/>
  <c r="S194" i="1"/>
  <c r="T194" i="1"/>
  <c r="U194" i="1"/>
  <c r="V194" i="1"/>
  <c r="Y194" i="1"/>
  <c r="B195" i="1"/>
  <c r="D195" i="1"/>
  <c r="E195" i="1"/>
  <c r="F195" i="1"/>
  <c r="G195" i="1"/>
  <c r="H195" i="1"/>
  <c r="I195" i="1"/>
  <c r="J195" i="1"/>
  <c r="K195" i="1"/>
  <c r="L195" i="1"/>
  <c r="N195" i="1"/>
  <c r="O195" i="1"/>
  <c r="P195" i="1"/>
  <c r="Q195" i="1"/>
  <c r="R195" i="1"/>
  <c r="S195" i="1"/>
  <c r="T195" i="1"/>
  <c r="U195" i="1"/>
  <c r="V195" i="1"/>
  <c r="Y195" i="1"/>
  <c r="B196" i="1"/>
  <c r="D196" i="1"/>
  <c r="E196" i="1"/>
  <c r="F196" i="1"/>
  <c r="G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U196" i="1"/>
  <c r="V196" i="1"/>
  <c r="Y196" i="1"/>
  <c r="B197" i="1"/>
  <c r="D197" i="1"/>
  <c r="E197" i="1"/>
  <c r="F197" i="1"/>
  <c r="G197" i="1"/>
  <c r="H197" i="1"/>
  <c r="I197" i="1"/>
  <c r="J197" i="1"/>
  <c r="K197" i="1"/>
  <c r="L197" i="1"/>
  <c r="N197" i="1"/>
  <c r="O197" i="1"/>
  <c r="P197" i="1"/>
  <c r="Q197" i="1"/>
  <c r="R197" i="1"/>
  <c r="S197" i="1"/>
  <c r="T197" i="1"/>
  <c r="U197" i="1"/>
  <c r="V197" i="1"/>
  <c r="Y197" i="1"/>
  <c r="B198" i="1"/>
  <c r="D198" i="1"/>
  <c r="E198" i="1"/>
  <c r="F198" i="1"/>
  <c r="G198" i="1"/>
  <c r="H198" i="1"/>
  <c r="I198" i="1"/>
  <c r="J198" i="1"/>
  <c r="K198" i="1"/>
  <c r="L198" i="1"/>
  <c r="N198" i="1"/>
  <c r="O198" i="1"/>
  <c r="P198" i="1"/>
  <c r="Q198" i="1"/>
  <c r="R198" i="1"/>
  <c r="S198" i="1"/>
  <c r="T198" i="1"/>
  <c r="U198" i="1"/>
  <c r="V198" i="1"/>
  <c r="Y198" i="1"/>
  <c r="B199" i="1"/>
  <c r="D199" i="1"/>
  <c r="E199" i="1"/>
  <c r="F199" i="1"/>
  <c r="G199" i="1"/>
  <c r="H199" i="1"/>
  <c r="I199" i="1"/>
  <c r="J199" i="1"/>
  <c r="K199" i="1"/>
  <c r="L199" i="1"/>
  <c r="N199" i="1"/>
  <c r="O199" i="1"/>
  <c r="P199" i="1"/>
  <c r="Q199" i="1"/>
  <c r="R199" i="1"/>
  <c r="S199" i="1"/>
  <c r="T199" i="1"/>
  <c r="U199" i="1"/>
  <c r="V199" i="1"/>
  <c r="Y199" i="1"/>
  <c r="B200" i="1"/>
  <c r="D200" i="1"/>
  <c r="E200" i="1"/>
  <c r="F200" i="1"/>
  <c r="G200" i="1"/>
  <c r="H200" i="1"/>
  <c r="I200" i="1"/>
  <c r="J200" i="1"/>
  <c r="K200" i="1"/>
  <c r="L200" i="1"/>
  <c r="N200" i="1"/>
  <c r="O200" i="1"/>
  <c r="P200" i="1"/>
  <c r="Q200" i="1"/>
  <c r="R200" i="1"/>
  <c r="S200" i="1"/>
  <c r="T200" i="1"/>
  <c r="U200" i="1"/>
  <c r="V200" i="1"/>
  <c r="Y200" i="1"/>
  <c r="B201" i="1"/>
  <c r="D201" i="1"/>
  <c r="E201" i="1"/>
  <c r="F201" i="1"/>
  <c r="G201" i="1"/>
  <c r="H201" i="1"/>
  <c r="I201" i="1"/>
  <c r="J201" i="1"/>
  <c r="K201" i="1"/>
  <c r="L201" i="1"/>
  <c r="N201" i="1"/>
  <c r="O201" i="1"/>
  <c r="P201" i="1"/>
  <c r="Q201" i="1"/>
  <c r="R201" i="1"/>
  <c r="S201" i="1"/>
  <c r="T201" i="1"/>
  <c r="U201" i="1"/>
  <c r="V201" i="1"/>
  <c r="Y201" i="1"/>
  <c r="B202" i="1"/>
  <c r="D202" i="1"/>
  <c r="E202" i="1"/>
  <c r="F202" i="1"/>
  <c r="G202" i="1"/>
  <c r="H202" i="1"/>
  <c r="I202" i="1"/>
  <c r="J202" i="1"/>
  <c r="K202" i="1"/>
  <c r="L202" i="1"/>
  <c r="N202" i="1"/>
  <c r="O202" i="1"/>
  <c r="P202" i="1"/>
  <c r="Q202" i="1"/>
  <c r="R202" i="1"/>
  <c r="S202" i="1"/>
  <c r="T202" i="1"/>
  <c r="U202" i="1"/>
  <c r="V202" i="1"/>
  <c r="Y202" i="1"/>
  <c r="B203" i="1"/>
  <c r="D203" i="1"/>
  <c r="E203" i="1"/>
  <c r="F203" i="1"/>
  <c r="G203" i="1"/>
  <c r="H203" i="1"/>
  <c r="I203" i="1"/>
  <c r="J203" i="1"/>
  <c r="K203" i="1"/>
  <c r="L203" i="1"/>
  <c r="N203" i="1"/>
  <c r="O203" i="1"/>
  <c r="P203" i="1"/>
  <c r="Q203" i="1"/>
  <c r="R203" i="1"/>
  <c r="S203" i="1"/>
  <c r="T203" i="1"/>
  <c r="U203" i="1"/>
  <c r="V203" i="1"/>
  <c r="Y203" i="1"/>
  <c r="B204" i="1"/>
  <c r="D204" i="1"/>
  <c r="E204" i="1"/>
  <c r="F204" i="1"/>
  <c r="G204" i="1"/>
  <c r="H204" i="1"/>
  <c r="I204" i="1"/>
  <c r="J204" i="1"/>
  <c r="K204" i="1"/>
  <c r="L204" i="1"/>
  <c r="N204" i="1"/>
  <c r="O204" i="1"/>
  <c r="P204" i="1"/>
  <c r="Q204" i="1"/>
  <c r="R204" i="1"/>
  <c r="S204" i="1"/>
  <c r="T204" i="1"/>
  <c r="U204" i="1"/>
  <c r="V204" i="1"/>
  <c r="Y204" i="1"/>
  <c r="B205" i="1"/>
  <c r="D205" i="1"/>
  <c r="E205" i="1"/>
  <c r="F205" i="1"/>
  <c r="G205" i="1"/>
  <c r="H205" i="1"/>
  <c r="I205" i="1"/>
  <c r="J205" i="1"/>
  <c r="K205" i="1"/>
  <c r="L205" i="1"/>
  <c r="N205" i="1"/>
  <c r="O205" i="1"/>
  <c r="P205" i="1"/>
  <c r="Q205" i="1"/>
  <c r="R205" i="1"/>
  <c r="S205" i="1"/>
  <c r="T205" i="1"/>
  <c r="U205" i="1"/>
  <c r="V205" i="1"/>
  <c r="Y205" i="1"/>
  <c r="B206" i="1"/>
  <c r="D206" i="1"/>
  <c r="E206" i="1"/>
  <c r="F206" i="1"/>
  <c r="G206" i="1"/>
  <c r="H206" i="1"/>
  <c r="I206" i="1"/>
  <c r="J206" i="1"/>
  <c r="K206" i="1"/>
  <c r="L206" i="1"/>
  <c r="N206" i="1"/>
  <c r="O206" i="1"/>
  <c r="P206" i="1"/>
  <c r="Q206" i="1"/>
  <c r="R206" i="1"/>
  <c r="S206" i="1"/>
  <c r="T206" i="1"/>
  <c r="U206" i="1"/>
  <c r="V206" i="1"/>
  <c r="Y206" i="1"/>
  <c r="B207" i="1"/>
  <c r="D207" i="1"/>
  <c r="E207" i="1"/>
  <c r="F207" i="1"/>
  <c r="G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U207" i="1"/>
  <c r="V207" i="1"/>
  <c r="Y207" i="1"/>
  <c r="B208" i="1"/>
  <c r="D208" i="1"/>
  <c r="E208" i="1"/>
  <c r="F208" i="1"/>
  <c r="G208" i="1"/>
  <c r="H208" i="1"/>
  <c r="I208" i="1"/>
  <c r="J208" i="1"/>
  <c r="K208" i="1"/>
  <c r="L208" i="1"/>
  <c r="N208" i="1"/>
  <c r="O208" i="1"/>
  <c r="P208" i="1"/>
  <c r="Q208" i="1"/>
  <c r="R208" i="1"/>
  <c r="S208" i="1"/>
  <c r="T208" i="1"/>
  <c r="U208" i="1"/>
  <c r="V208" i="1"/>
  <c r="Y208" i="1"/>
  <c r="B209" i="1"/>
  <c r="D209" i="1"/>
  <c r="E209" i="1"/>
  <c r="F209" i="1"/>
  <c r="G209" i="1"/>
  <c r="H209" i="1"/>
  <c r="I209" i="1"/>
  <c r="J209" i="1"/>
  <c r="K209" i="1"/>
  <c r="L209" i="1"/>
  <c r="N209" i="1"/>
  <c r="O209" i="1"/>
  <c r="P209" i="1"/>
  <c r="Q209" i="1"/>
  <c r="R209" i="1"/>
  <c r="S209" i="1"/>
  <c r="T209" i="1"/>
  <c r="U209" i="1"/>
  <c r="V209" i="1"/>
  <c r="Y209" i="1"/>
  <c r="B210" i="1"/>
  <c r="D210" i="1"/>
  <c r="E210" i="1"/>
  <c r="F210" i="1"/>
  <c r="G210" i="1"/>
  <c r="H210" i="1"/>
  <c r="I210" i="1"/>
  <c r="J210" i="1"/>
  <c r="K210" i="1"/>
  <c r="L210" i="1"/>
  <c r="N210" i="1"/>
  <c r="O210" i="1"/>
  <c r="P210" i="1"/>
  <c r="Q210" i="1"/>
  <c r="R210" i="1"/>
  <c r="S210" i="1"/>
  <c r="T210" i="1"/>
  <c r="U210" i="1"/>
  <c r="V210" i="1"/>
  <c r="Y210" i="1"/>
  <c r="B211" i="1"/>
  <c r="D211" i="1"/>
  <c r="E211" i="1"/>
  <c r="F211" i="1"/>
  <c r="G211" i="1"/>
  <c r="H211" i="1"/>
  <c r="I211" i="1"/>
  <c r="J211" i="1"/>
  <c r="K211" i="1"/>
  <c r="L211" i="1"/>
  <c r="N211" i="1"/>
  <c r="O211" i="1"/>
  <c r="P211" i="1"/>
  <c r="Q211" i="1"/>
  <c r="R211" i="1"/>
  <c r="S211" i="1"/>
  <c r="T211" i="1"/>
  <c r="U211" i="1"/>
  <c r="V211" i="1"/>
  <c r="Y211" i="1"/>
  <c r="B212" i="1"/>
  <c r="D212" i="1"/>
  <c r="E212" i="1"/>
  <c r="F212" i="1"/>
  <c r="G212" i="1"/>
  <c r="H212" i="1"/>
  <c r="I212" i="1"/>
  <c r="J212" i="1"/>
  <c r="K212" i="1"/>
  <c r="L212" i="1"/>
  <c r="N212" i="1"/>
  <c r="O212" i="1"/>
  <c r="P212" i="1"/>
  <c r="Q212" i="1"/>
  <c r="R212" i="1"/>
  <c r="S212" i="1"/>
  <c r="T212" i="1"/>
  <c r="U212" i="1"/>
  <c r="V212" i="1"/>
  <c r="Y212" i="1"/>
  <c r="B213" i="1"/>
  <c r="D213" i="1"/>
  <c r="E213" i="1"/>
  <c r="F213" i="1"/>
  <c r="G213" i="1"/>
  <c r="H213" i="1"/>
  <c r="I213" i="1"/>
  <c r="J213" i="1"/>
  <c r="K213" i="1"/>
  <c r="L213" i="1"/>
  <c r="N213" i="1"/>
  <c r="O213" i="1"/>
  <c r="P213" i="1"/>
  <c r="Q213" i="1"/>
  <c r="R213" i="1"/>
  <c r="S213" i="1"/>
  <c r="T213" i="1"/>
  <c r="U213" i="1"/>
  <c r="V213" i="1"/>
  <c r="Y213" i="1"/>
  <c r="B214" i="1"/>
  <c r="D214" i="1"/>
  <c r="E214" i="1"/>
  <c r="F214" i="1"/>
  <c r="G214" i="1"/>
  <c r="H214" i="1"/>
  <c r="I214" i="1"/>
  <c r="J214" i="1"/>
  <c r="K214" i="1"/>
  <c r="L214" i="1"/>
  <c r="N214" i="1"/>
  <c r="O214" i="1"/>
  <c r="P214" i="1"/>
  <c r="Q214" i="1"/>
  <c r="R214" i="1"/>
  <c r="S214" i="1"/>
  <c r="T214" i="1"/>
  <c r="U214" i="1"/>
  <c r="V214" i="1"/>
  <c r="Y214" i="1"/>
  <c r="B215" i="1"/>
  <c r="D215" i="1"/>
  <c r="E215" i="1"/>
  <c r="F215" i="1"/>
  <c r="G215" i="1"/>
  <c r="H215" i="1"/>
  <c r="I215" i="1"/>
  <c r="J215" i="1"/>
  <c r="K215" i="1"/>
  <c r="L215" i="1"/>
  <c r="N215" i="1"/>
  <c r="O215" i="1"/>
  <c r="P215" i="1"/>
  <c r="Q215" i="1"/>
  <c r="R215" i="1"/>
  <c r="S215" i="1"/>
  <c r="T215" i="1"/>
  <c r="U215" i="1"/>
  <c r="V215" i="1"/>
  <c r="Y215" i="1"/>
  <c r="B216" i="1"/>
  <c r="D216" i="1"/>
  <c r="E216" i="1"/>
  <c r="F216" i="1"/>
  <c r="G216" i="1"/>
  <c r="H216" i="1"/>
  <c r="I216" i="1"/>
  <c r="J216" i="1"/>
  <c r="K216" i="1"/>
  <c r="L216" i="1"/>
  <c r="N216" i="1"/>
  <c r="O216" i="1"/>
  <c r="P216" i="1"/>
  <c r="Q216" i="1"/>
  <c r="R216" i="1"/>
  <c r="S216" i="1"/>
  <c r="T216" i="1"/>
  <c r="U216" i="1"/>
  <c r="V216" i="1"/>
  <c r="Y216" i="1"/>
  <c r="B217" i="1"/>
  <c r="D217" i="1"/>
  <c r="E217" i="1"/>
  <c r="F217" i="1"/>
  <c r="G217" i="1"/>
  <c r="H217" i="1"/>
  <c r="I217" i="1"/>
  <c r="J217" i="1"/>
  <c r="K217" i="1"/>
  <c r="L217" i="1"/>
  <c r="N217" i="1"/>
  <c r="O217" i="1"/>
  <c r="P217" i="1"/>
  <c r="Q217" i="1"/>
  <c r="R217" i="1"/>
  <c r="S217" i="1"/>
  <c r="T217" i="1"/>
  <c r="U217" i="1"/>
  <c r="V217" i="1"/>
  <c r="Y217" i="1"/>
  <c r="B218" i="1"/>
  <c r="D218" i="1"/>
  <c r="E218" i="1"/>
  <c r="F218" i="1"/>
  <c r="G218" i="1"/>
  <c r="H218" i="1"/>
  <c r="I218" i="1"/>
  <c r="J218" i="1"/>
  <c r="K218" i="1"/>
  <c r="L218" i="1"/>
  <c r="N218" i="1"/>
  <c r="O218" i="1"/>
  <c r="P218" i="1"/>
  <c r="Q218" i="1"/>
  <c r="R218" i="1"/>
  <c r="S218" i="1"/>
  <c r="T218" i="1"/>
  <c r="U218" i="1"/>
  <c r="V218" i="1"/>
  <c r="Y218" i="1"/>
  <c r="B219" i="1"/>
  <c r="D219" i="1"/>
  <c r="E219" i="1"/>
  <c r="F219" i="1"/>
  <c r="G219" i="1"/>
  <c r="H219" i="1"/>
  <c r="I219" i="1"/>
  <c r="J219" i="1"/>
  <c r="K219" i="1"/>
  <c r="L219" i="1"/>
  <c r="N219" i="1"/>
  <c r="O219" i="1"/>
  <c r="P219" i="1"/>
  <c r="Q219" i="1"/>
  <c r="R219" i="1"/>
  <c r="S219" i="1"/>
  <c r="T219" i="1"/>
  <c r="U219" i="1"/>
  <c r="V219" i="1"/>
  <c r="Y219" i="1"/>
  <c r="B220" i="1"/>
  <c r="D220" i="1"/>
  <c r="E220" i="1"/>
  <c r="F220" i="1"/>
  <c r="G220" i="1"/>
  <c r="H220" i="1"/>
  <c r="I220" i="1"/>
  <c r="J220" i="1"/>
  <c r="K220" i="1"/>
  <c r="L220" i="1"/>
  <c r="N220" i="1"/>
  <c r="O220" i="1"/>
  <c r="P220" i="1"/>
  <c r="Q220" i="1"/>
  <c r="R220" i="1"/>
  <c r="S220" i="1"/>
  <c r="T220" i="1"/>
  <c r="U220" i="1"/>
  <c r="V220" i="1"/>
  <c r="Y220" i="1"/>
  <c r="B221" i="1"/>
  <c r="D221" i="1"/>
  <c r="E221" i="1"/>
  <c r="F221" i="1"/>
  <c r="G221" i="1"/>
  <c r="H221" i="1"/>
  <c r="I221" i="1"/>
  <c r="J221" i="1"/>
  <c r="K221" i="1"/>
  <c r="L221" i="1"/>
  <c r="N221" i="1"/>
  <c r="O221" i="1"/>
  <c r="P221" i="1"/>
  <c r="Q221" i="1"/>
  <c r="R221" i="1"/>
  <c r="S221" i="1"/>
  <c r="T221" i="1"/>
  <c r="U221" i="1"/>
  <c r="V221" i="1"/>
  <c r="Y221" i="1"/>
  <c r="B222" i="1"/>
  <c r="D222" i="1"/>
  <c r="E222" i="1"/>
  <c r="F222" i="1"/>
  <c r="G222" i="1"/>
  <c r="H222" i="1"/>
  <c r="I222" i="1"/>
  <c r="J222" i="1"/>
  <c r="K222" i="1"/>
  <c r="L222" i="1"/>
  <c r="N222" i="1"/>
  <c r="O222" i="1"/>
  <c r="P222" i="1"/>
  <c r="Q222" i="1"/>
  <c r="R222" i="1"/>
  <c r="S222" i="1"/>
  <c r="T222" i="1"/>
  <c r="U222" i="1"/>
  <c r="V222" i="1"/>
  <c r="Y222" i="1"/>
  <c r="B223" i="1"/>
  <c r="D223" i="1"/>
  <c r="E223" i="1"/>
  <c r="F223" i="1"/>
  <c r="G223" i="1"/>
  <c r="H223" i="1"/>
  <c r="I223" i="1"/>
  <c r="J223" i="1"/>
  <c r="K223" i="1"/>
  <c r="L223" i="1"/>
  <c r="N223" i="1"/>
  <c r="O223" i="1"/>
  <c r="P223" i="1"/>
  <c r="Q223" i="1"/>
  <c r="R223" i="1"/>
  <c r="S223" i="1"/>
  <c r="T223" i="1"/>
  <c r="U223" i="1"/>
  <c r="V223" i="1"/>
  <c r="Y223" i="1"/>
  <c r="B224" i="1"/>
  <c r="D224" i="1"/>
  <c r="E224" i="1"/>
  <c r="F224" i="1"/>
  <c r="G224" i="1"/>
  <c r="H224" i="1"/>
  <c r="I224" i="1"/>
  <c r="J224" i="1"/>
  <c r="K224" i="1"/>
  <c r="L224" i="1"/>
  <c r="N224" i="1"/>
  <c r="O224" i="1"/>
  <c r="P224" i="1"/>
  <c r="Q224" i="1"/>
  <c r="R224" i="1"/>
  <c r="S224" i="1"/>
  <c r="T224" i="1"/>
  <c r="U224" i="1"/>
  <c r="V224" i="1"/>
  <c r="Y224" i="1"/>
  <c r="B225" i="1"/>
  <c r="D225" i="1"/>
  <c r="E225" i="1"/>
  <c r="F225" i="1"/>
  <c r="G225" i="1"/>
  <c r="H225" i="1"/>
  <c r="I225" i="1"/>
  <c r="J225" i="1"/>
  <c r="K225" i="1"/>
  <c r="L225" i="1"/>
  <c r="N225" i="1"/>
  <c r="O225" i="1"/>
  <c r="P225" i="1"/>
  <c r="Q225" i="1"/>
  <c r="R225" i="1"/>
  <c r="S225" i="1"/>
  <c r="T225" i="1"/>
  <c r="U225" i="1"/>
  <c r="V225" i="1"/>
  <c r="Y225" i="1"/>
  <c r="B226" i="1"/>
  <c r="D226" i="1"/>
  <c r="E226" i="1"/>
  <c r="F226" i="1"/>
  <c r="G226" i="1"/>
  <c r="H226" i="1"/>
  <c r="I226" i="1"/>
  <c r="J226" i="1"/>
  <c r="K226" i="1"/>
  <c r="L226" i="1"/>
  <c r="N226" i="1"/>
  <c r="O226" i="1"/>
  <c r="P226" i="1"/>
  <c r="Q226" i="1"/>
  <c r="R226" i="1"/>
  <c r="S226" i="1"/>
  <c r="T226" i="1"/>
  <c r="U226" i="1"/>
  <c r="V226" i="1"/>
  <c r="Y226" i="1"/>
  <c r="B227" i="1"/>
  <c r="D227" i="1"/>
  <c r="E227" i="1"/>
  <c r="F227" i="1"/>
  <c r="G227" i="1"/>
  <c r="H227" i="1"/>
  <c r="I227" i="1"/>
  <c r="J227" i="1"/>
  <c r="K227" i="1"/>
  <c r="L227" i="1"/>
  <c r="N227" i="1"/>
  <c r="O227" i="1"/>
  <c r="P227" i="1"/>
  <c r="Q227" i="1"/>
  <c r="R227" i="1"/>
  <c r="S227" i="1"/>
  <c r="T227" i="1"/>
  <c r="U227" i="1"/>
  <c r="V227" i="1"/>
  <c r="Y227" i="1"/>
  <c r="B228" i="1"/>
  <c r="D228" i="1"/>
  <c r="E228" i="1"/>
  <c r="F228" i="1"/>
  <c r="G228" i="1"/>
  <c r="H228" i="1"/>
  <c r="I228" i="1"/>
  <c r="J228" i="1"/>
  <c r="K228" i="1"/>
  <c r="L228" i="1"/>
  <c r="N228" i="1"/>
  <c r="O228" i="1"/>
  <c r="P228" i="1"/>
  <c r="Q228" i="1"/>
  <c r="R228" i="1"/>
  <c r="S228" i="1"/>
  <c r="T228" i="1"/>
  <c r="U228" i="1"/>
  <c r="V228" i="1"/>
  <c r="Y228" i="1"/>
  <c r="B229" i="1"/>
  <c r="D229" i="1"/>
  <c r="E229" i="1"/>
  <c r="F229" i="1"/>
  <c r="G229" i="1"/>
  <c r="H229" i="1"/>
  <c r="I229" i="1"/>
  <c r="J229" i="1"/>
  <c r="K229" i="1"/>
  <c r="L229" i="1"/>
  <c r="N229" i="1"/>
  <c r="O229" i="1"/>
  <c r="P229" i="1"/>
  <c r="Q229" i="1"/>
  <c r="R229" i="1"/>
  <c r="S229" i="1"/>
  <c r="T229" i="1"/>
  <c r="U229" i="1"/>
  <c r="V229" i="1"/>
  <c r="Y229" i="1"/>
  <c r="B230" i="1"/>
  <c r="D230" i="1"/>
  <c r="E230" i="1"/>
  <c r="F230" i="1"/>
  <c r="G230" i="1"/>
  <c r="H230" i="1"/>
  <c r="I230" i="1"/>
  <c r="J230" i="1"/>
  <c r="K230" i="1"/>
  <c r="L230" i="1"/>
  <c r="N230" i="1"/>
  <c r="O230" i="1"/>
  <c r="P230" i="1"/>
  <c r="Q230" i="1"/>
  <c r="R230" i="1"/>
  <c r="S230" i="1"/>
  <c r="T230" i="1"/>
  <c r="U230" i="1"/>
  <c r="V230" i="1"/>
  <c r="Y230" i="1"/>
  <c r="B231" i="1"/>
  <c r="D231" i="1"/>
  <c r="E231" i="1"/>
  <c r="F231" i="1"/>
  <c r="G231" i="1"/>
  <c r="H231" i="1"/>
  <c r="I231" i="1"/>
  <c r="J231" i="1"/>
  <c r="K231" i="1"/>
  <c r="L231" i="1"/>
  <c r="N231" i="1"/>
  <c r="O231" i="1"/>
  <c r="P231" i="1"/>
  <c r="Q231" i="1"/>
  <c r="R231" i="1"/>
  <c r="S231" i="1"/>
  <c r="T231" i="1"/>
  <c r="U231" i="1"/>
  <c r="V231" i="1"/>
  <c r="Y231" i="1"/>
  <c r="B232" i="1"/>
  <c r="D232" i="1"/>
  <c r="E232" i="1"/>
  <c r="F232" i="1"/>
  <c r="G232" i="1"/>
  <c r="H232" i="1"/>
  <c r="I232" i="1"/>
  <c r="J232" i="1"/>
  <c r="K232" i="1"/>
  <c r="L232" i="1"/>
  <c r="N232" i="1"/>
  <c r="O232" i="1"/>
  <c r="P232" i="1"/>
  <c r="Q232" i="1"/>
  <c r="R232" i="1"/>
  <c r="S232" i="1"/>
  <c r="T232" i="1"/>
  <c r="U232" i="1"/>
  <c r="V232" i="1"/>
  <c r="Y232" i="1"/>
  <c r="B233" i="1"/>
  <c r="D233" i="1"/>
  <c r="E233" i="1"/>
  <c r="F233" i="1"/>
  <c r="G233" i="1"/>
  <c r="H233" i="1"/>
  <c r="I233" i="1"/>
  <c r="J233" i="1"/>
  <c r="K233" i="1"/>
  <c r="L233" i="1"/>
  <c r="N233" i="1"/>
  <c r="O233" i="1"/>
  <c r="P233" i="1"/>
  <c r="Q233" i="1"/>
  <c r="R233" i="1"/>
  <c r="S233" i="1"/>
  <c r="T233" i="1"/>
  <c r="U233" i="1"/>
  <c r="V233" i="1"/>
  <c r="Y233" i="1"/>
  <c r="B234" i="1"/>
  <c r="D234" i="1"/>
  <c r="E234" i="1"/>
  <c r="F234" i="1"/>
  <c r="G234" i="1"/>
  <c r="H234" i="1"/>
  <c r="I234" i="1"/>
  <c r="J234" i="1"/>
  <c r="K234" i="1"/>
  <c r="L234" i="1"/>
  <c r="N234" i="1"/>
  <c r="O234" i="1"/>
  <c r="P234" i="1"/>
  <c r="Q234" i="1"/>
  <c r="R234" i="1"/>
  <c r="S234" i="1"/>
  <c r="T234" i="1"/>
  <c r="U234" i="1"/>
  <c r="V234" i="1"/>
  <c r="Y234" i="1"/>
  <c r="B235" i="1"/>
  <c r="D235" i="1"/>
  <c r="E235" i="1"/>
  <c r="F235" i="1"/>
  <c r="G235" i="1"/>
  <c r="H235" i="1"/>
  <c r="I235" i="1"/>
  <c r="J235" i="1"/>
  <c r="K235" i="1"/>
  <c r="L235" i="1"/>
  <c r="N235" i="1"/>
  <c r="O235" i="1"/>
  <c r="P235" i="1"/>
  <c r="Q235" i="1"/>
  <c r="R235" i="1"/>
  <c r="S235" i="1"/>
  <c r="T235" i="1"/>
  <c r="U235" i="1"/>
  <c r="V235" i="1"/>
  <c r="Y235" i="1"/>
  <c r="B236" i="1"/>
  <c r="D236" i="1"/>
  <c r="E236" i="1"/>
  <c r="F236" i="1"/>
  <c r="G236" i="1"/>
  <c r="H236" i="1"/>
  <c r="I236" i="1"/>
  <c r="J236" i="1"/>
  <c r="K236" i="1"/>
  <c r="L236" i="1"/>
  <c r="N236" i="1"/>
  <c r="O236" i="1"/>
  <c r="P236" i="1"/>
  <c r="Q236" i="1"/>
  <c r="R236" i="1"/>
  <c r="S236" i="1"/>
  <c r="T236" i="1"/>
  <c r="U236" i="1"/>
  <c r="V236" i="1"/>
  <c r="Y236" i="1"/>
  <c r="B237" i="1"/>
  <c r="D237" i="1"/>
  <c r="E237" i="1"/>
  <c r="F237" i="1"/>
  <c r="G237" i="1"/>
  <c r="H237" i="1"/>
  <c r="I237" i="1"/>
  <c r="J237" i="1"/>
  <c r="K237" i="1"/>
  <c r="L237" i="1"/>
  <c r="N237" i="1"/>
  <c r="O237" i="1"/>
  <c r="P237" i="1"/>
  <c r="Q237" i="1"/>
  <c r="R237" i="1"/>
  <c r="S237" i="1"/>
  <c r="T237" i="1"/>
  <c r="U237" i="1"/>
  <c r="V237" i="1"/>
  <c r="Y237" i="1"/>
  <c r="B238" i="1"/>
  <c r="D238" i="1"/>
  <c r="E238" i="1"/>
  <c r="F238" i="1"/>
  <c r="G238" i="1"/>
  <c r="H238" i="1"/>
  <c r="I238" i="1"/>
  <c r="J238" i="1"/>
  <c r="K238" i="1"/>
  <c r="L238" i="1"/>
  <c r="N238" i="1"/>
  <c r="O238" i="1"/>
  <c r="P238" i="1"/>
  <c r="Q238" i="1"/>
  <c r="R238" i="1"/>
  <c r="S238" i="1"/>
  <c r="T238" i="1"/>
  <c r="U238" i="1"/>
  <c r="V238" i="1"/>
  <c r="Y238" i="1"/>
  <c r="B239" i="1"/>
  <c r="D239" i="1"/>
  <c r="E239" i="1"/>
  <c r="F239" i="1"/>
  <c r="G239" i="1"/>
  <c r="H239" i="1"/>
  <c r="I239" i="1"/>
  <c r="J239" i="1"/>
  <c r="K239" i="1"/>
  <c r="L239" i="1"/>
  <c r="N239" i="1"/>
  <c r="O239" i="1"/>
  <c r="P239" i="1"/>
  <c r="Q239" i="1"/>
  <c r="R239" i="1"/>
  <c r="S239" i="1"/>
  <c r="T239" i="1"/>
  <c r="U239" i="1"/>
  <c r="V239" i="1"/>
  <c r="Y239" i="1"/>
  <c r="B240" i="1"/>
  <c r="D240" i="1"/>
  <c r="E240" i="1"/>
  <c r="F240" i="1"/>
  <c r="G240" i="1"/>
  <c r="H240" i="1"/>
  <c r="I240" i="1"/>
  <c r="J240" i="1"/>
  <c r="K240" i="1"/>
  <c r="L240" i="1"/>
  <c r="N240" i="1"/>
  <c r="O240" i="1"/>
  <c r="P240" i="1"/>
  <c r="Q240" i="1"/>
  <c r="R240" i="1"/>
  <c r="S240" i="1"/>
  <c r="T240" i="1"/>
  <c r="U240" i="1"/>
  <c r="V240" i="1"/>
  <c r="Y240" i="1"/>
  <c r="B241" i="1"/>
  <c r="D241" i="1"/>
  <c r="E241" i="1"/>
  <c r="F241" i="1"/>
  <c r="G241" i="1"/>
  <c r="H241" i="1"/>
  <c r="I241" i="1"/>
  <c r="J241" i="1"/>
  <c r="K241" i="1"/>
  <c r="L241" i="1"/>
  <c r="N241" i="1"/>
  <c r="O241" i="1"/>
  <c r="P241" i="1"/>
  <c r="Q241" i="1"/>
  <c r="R241" i="1"/>
  <c r="S241" i="1"/>
  <c r="T241" i="1"/>
  <c r="U241" i="1"/>
  <c r="V241" i="1"/>
  <c r="Y241" i="1"/>
  <c r="B242" i="1"/>
  <c r="D242" i="1"/>
  <c r="E242" i="1"/>
  <c r="F242" i="1"/>
  <c r="G242" i="1"/>
  <c r="H242" i="1"/>
  <c r="I242" i="1"/>
  <c r="J242" i="1"/>
  <c r="K242" i="1"/>
  <c r="L242" i="1"/>
  <c r="N242" i="1"/>
  <c r="O242" i="1"/>
  <c r="P242" i="1"/>
  <c r="Q242" i="1"/>
  <c r="R242" i="1"/>
  <c r="S242" i="1"/>
  <c r="T242" i="1"/>
  <c r="U242" i="1"/>
  <c r="V242" i="1"/>
  <c r="Y242" i="1"/>
  <c r="B243" i="1"/>
  <c r="D243" i="1"/>
  <c r="E243" i="1"/>
  <c r="F243" i="1"/>
  <c r="G243" i="1"/>
  <c r="H243" i="1"/>
  <c r="I243" i="1"/>
  <c r="J243" i="1"/>
  <c r="K243" i="1"/>
  <c r="L243" i="1"/>
  <c r="N243" i="1"/>
  <c r="O243" i="1"/>
  <c r="P243" i="1"/>
  <c r="Q243" i="1"/>
  <c r="R243" i="1"/>
  <c r="S243" i="1"/>
  <c r="T243" i="1"/>
  <c r="U243" i="1"/>
  <c r="V243" i="1"/>
  <c r="Y243" i="1"/>
  <c r="B244" i="1"/>
  <c r="D244" i="1"/>
  <c r="E244" i="1"/>
  <c r="F244" i="1"/>
  <c r="G244" i="1"/>
  <c r="H244" i="1"/>
  <c r="I244" i="1"/>
  <c r="J244" i="1"/>
  <c r="K244" i="1"/>
  <c r="L244" i="1"/>
  <c r="N244" i="1"/>
  <c r="O244" i="1"/>
  <c r="P244" i="1"/>
  <c r="Q244" i="1"/>
  <c r="R244" i="1"/>
  <c r="S244" i="1"/>
  <c r="T244" i="1"/>
  <c r="U244" i="1"/>
  <c r="V244" i="1"/>
  <c r="Y244" i="1"/>
  <c r="B245" i="1"/>
  <c r="D245" i="1"/>
  <c r="E245" i="1"/>
  <c r="F245" i="1"/>
  <c r="G245" i="1"/>
  <c r="H245" i="1"/>
  <c r="I245" i="1"/>
  <c r="J245" i="1"/>
  <c r="K245" i="1"/>
  <c r="L245" i="1"/>
  <c r="N245" i="1"/>
  <c r="O245" i="1"/>
  <c r="P245" i="1"/>
  <c r="Q245" i="1"/>
  <c r="R245" i="1"/>
  <c r="S245" i="1"/>
  <c r="T245" i="1"/>
  <c r="U245" i="1"/>
  <c r="V245" i="1"/>
  <c r="Y245" i="1"/>
  <c r="B246" i="1"/>
  <c r="D246" i="1"/>
  <c r="E246" i="1"/>
  <c r="F246" i="1"/>
  <c r="G246" i="1"/>
  <c r="H246" i="1"/>
  <c r="I246" i="1"/>
  <c r="J246" i="1"/>
  <c r="K246" i="1"/>
  <c r="L246" i="1"/>
  <c r="N246" i="1"/>
  <c r="O246" i="1"/>
  <c r="P246" i="1"/>
  <c r="Q246" i="1"/>
  <c r="R246" i="1"/>
  <c r="S246" i="1"/>
  <c r="T246" i="1"/>
  <c r="U246" i="1"/>
  <c r="V246" i="1"/>
  <c r="Y246" i="1"/>
  <c r="B247" i="1"/>
  <c r="D247" i="1"/>
  <c r="E247" i="1"/>
  <c r="F247" i="1"/>
  <c r="G247" i="1"/>
  <c r="H247" i="1"/>
  <c r="I247" i="1"/>
  <c r="J247" i="1"/>
  <c r="K247" i="1"/>
  <c r="L247" i="1"/>
  <c r="N247" i="1"/>
  <c r="O247" i="1"/>
  <c r="P247" i="1"/>
  <c r="Q247" i="1"/>
  <c r="R247" i="1"/>
  <c r="S247" i="1"/>
  <c r="T247" i="1"/>
  <c r="U247" i="1"/>
  <c r="V247" i="1"/>
  <c r="Y247" i="1"/>
  <c r="B248" i="1"/>
  <c r="D248" i="1"/>
  <c r="E248" i="1"/>
  <c r="F248" i="1"/>
  <c r="G248" i="1"/>
  <c r="H248" i="1"/>
  <c r="I248" i="1"/>
  <c r="J248" i="1"/>
  <c r="K248" i="1"/>
  <c r="L248" i="1"/>
  <c r="N248" i="1"/>
  <c r="O248" i="1"/>
  <c r="P248" i="1"/>
  <c r="Q248" i="1"/>
  <c r="R248" i="1"/>
  <c r="S248" i="1"/>
  <c r="T248" i="1"/>
  <c r="U248" i="1"/>
  <c r="V248" i="1"/>
  <c r="Y248" i="1"/>
  <c r="B249" i="1"/>
  <c r="D249" i="1"/>
  <c r="E249" i="1"/>
  <c r="F249" i="1"/>
  <c r="G249" i="1"/>
  <c r="H249" i="1"/>
  <c r="I249" i="1"/>
  <c r="J249" i="1"/>
  <c r="K249" i="1"/>
  <c r="L249" i="1"/>
  <c r="N249" i="1"/>
  <c r="O249" i="1"/>
  <c r="P249" i="1"/>
  <c r="Q249" i="1"/>
  <c r="R249" i="1"/>
  <c r="S249" i="1"/>
  <c r="T249" i="1"/>
  <c r="U249" i="1"/>
  <c r="V249" i="1"/>
  <c r="Y249" i="1"/>
  <c r="B250" i="1"/>
  <c r="D250" i="1"/>
  <c r="E250" i="1"/>
  <c r="F250" i="1"/>
  <c r="G250" i="1"/>
  <c r="H250" i="1"/>
  <c r="I250" i="1"/>
  <c r="J250" i="1"/>
  <c r="K250" i="1"/>
  <c r="L250" i="1"/>
  <c r="N250" i="1"/>
  <c r="O250" i="1"/>
  <c r="P250" i="1"/>
  <c r="Q250" i="1"/>
  <c r="R250" i="1"/>
  <c r="S250" i="1"/>
  <c r="T250" i="1"/>
  <c r="U250" i="1"/>
  <c r="V250" i="1"/>
  <c r="Y250" i="1"/>
  <c r="B251" i="1"/>
  <c r="D251" i="1"/>
  <c r="E251" i="1"/>
  <c r="F251" i="1"/>
  <c r="G251" i="1"/>
  <c r="H251" i="1"/>
  <c r="I251" i="1"/>
  <c r="J251" i="1"/>
  <c r="K251" i="1"/>
  <c r="L251" i="1"/>
  <c r="N251" i="1"/>
  <c r="O251" i="1"/>
  <c r="P251" i="1"/>
  <c r="Q251" i="1"/>
  <c r="R251" i="1"/>
  <c r="S251" i="1"/>
  <c r="T251" i="1"/>
  <c r="U251" i="1"/>
  <c r="V251" i="1"/>
  <c r="Y251" i="1"/>
  <c r="B252" i="1"/>
  <c r="D252" i="1"/>
  <c r="E252" i="1"/>
  <c r="F252" i="1"/>
  <c r="G252" i="1"/>
  <c r="H252" i="1"/>
  <c r="I252" i="1"/>
  <c r="J252" i="1"/>
  <c r="K252" i="1"/>
  <c r="L252" i="1"/>
  <c r="N252" i="1"/>
  <c r="O252" i="1"/>
  <c r="P252" i="1"/>
  <c r="Q252" i="1"/>
  <c r="R252" i="1"/>
  <c r="S252" i="1"/>
  <c r="T252" i="1"/>
  <c r="U252" i="1"/>
  <c r="V252" i="1"/>
  <c r="Y252" i="1"/>
  <c r="B253" i="1"/>
  <c r="D253" i="1"/>
  <c r="E253" i="1"/>
  <c r="F253" i="1"/>
  <c r="G253" i="1"/>
  <c r="H253" i="1"/>
  <c r="I253" i="1"/>
  <c r="J253" i="1"/>
  <c r="K253" i="1"/>
  <c r="L253" i="1"/>
  <c r="N253" i="1"/>
  <c r="O253" i="1"/>
  <c r="P253" i="1"/>
  <c r="Q253" i="1"/>
  <c r="R253" i="1"/>
  <c r="S253" i="1"/>
  <c r="T253" i="1"/>
  <c r="U253" i="1"/>
  <c r="V253" i="1"/>
  <c r="Y253" i="1"/>
  <c r="B254" i="1"/>
  <c r="D254" i="1"/>
  <c r="E254" i="1"/>
  <c r="F254" i="1"/>
  <c r="G254" i="1"/>
  <c r="H254" i="1"/>
  <c r="I254" i="1"/>
  <c r="J254" i="1"/>
  <c r="K254" i="1"/>
  <c r="L254" i="1"/>
  <c r="N254" i="1"/>
  <c r="O254" i="1"/>
  <c r="P254" i="1"/>
  <c r="Q254" i="1"/>
  <c r="R254" i="1"/>
  <c r="S254" i="1"/>
  <c r="T254" i="1"/>
  <c r="U254" i="1"/>
  <c r="V254" i="1"/>
  <c r="Y254" i="1"/>
  <c r="B255" i="1"/>
  <c r="D255" i="1"/>
  <c r="E255" i="1"/>
  <c r="F255" i="1"/>
  <c r="G255" i="1"/>
  <c r="H255" i="1"/>
  <c r="I255" i="1"/>
  <c r="J255" i="1"/>
  <c r="K255" i="1"/>
  <c r="L255" i="1"/>
  <c r="N255" i="1"/>
  <c r="O255" i="1"/>
  <c r="P255" i="1"/>
  <c r="Q255" i="1"/>
  <c r="R255" i="1"/>
  <c r="S255" i="1"/>
  <c r="T255" i="1"/>
  <c r="U255" i="1"/>
  <c r="V255" i="1"/>
  <c r="Y255" i="1"/>
  <c r="B256" i="1"/>
  <c r="D256" i="1"/>
  <c r="E256" i="1"/>
  <c r="F256" i="1"/>
  <c r="G256" i="1"/>
  <c r="H256" i="1"/>
  <c r="I256" i="1"/>
  <c r="J256" i="1"/>
  <c r="K256" i="1"/>
  <c r="L256" i="1"/>
  <c r="N256" i="1"/>
  <c r="O256" i="1"/>
  <c r="P256" i="1"/>
  <c r="Q256" i="1"/>
  <c r="R256" i="1"/>
  <c r="S256" i="1"/>
  <c r="T256" i="1"/>
  <c r="U256" i="1"/>
  <c r="V256" i="1"/>
  <c r="Y256" i="1"/>
  <c r="B257" i="1"/>
  <c r="D257" i="1"/>
  <c r="E257" i="1"/>
  <c r="F257" i="1"/>
  <c r="G257" i="1"/>
  <c r="H257" i="1"/>
  <c r="I257" i="1"/>
  <c r="J257" i="1"/>
  <c r="K257" i="1"/>
  <c r="L257" i="1"/>
  <c r="N257" i="1"/>
  <c r="O257" i="1"/>
  <c r="P257" i="1"/>
  <c r="Q257" i="1"/>
  <c r="R257" i="1"/>
  <c r="S257" i="1"/>
  <c r="T257" i="1"/>
  <c r="U257" i="1"/>
  <c r="V257" i="1"/>
  <c r="Y257" i="1"/>
  <c r="B258" i="1"/>
  <c r="D258" i="1"/>
  <c r="E258" i="1"/>
  <c r="F258" i="1"/>
  <c r="G258" i="1"/>
  <c r="H258" i="1"/>
  <c r="I258" i="1"/>
  <c r="J258" i="1"/>
  <c r="K258" i="1"/>
  <c r="L258" i="1"/>
  <c r="N258" i="1"/>
  <c r="O258" i="1"/>
  <c r="P258" i="1"/>
  <c r="Q258" i="1"/>
  <c r="R258" i="1"/>
  <c r="S258" i="1"/>
  <c r="T258" i="1"/>
  <c r="U258" i="1"/>
  <c r="V258" i="1"/>
  <c r="Y258" i="1"/>
  <c r="B259" i="1"/>
  <c r="D259" i="1"/>
  <c r="E259" i="1"/>
  <c r="F259" i="1"/>
  <c r="G259" i="1"/>
  <c r="H259" i="1"/>
  <c r="I259" i="1"/>
  <c r="J259" i="1"/>
  <c r="K259" i="1"/>
  <c r="L259" i="1"/>
  <c r="N259" i="1"/>
  <c r="O259" i="1"/>
  <c r="P259" i="1"/>
  <c r="Q259" i="1"/>
  <c r="R259" i="1"/>
  <c r="S259" i="1"/>
  <c r="T259" i="1"/>
  <c r="U259" i="1"/>
  <c r="V259" i="1"/>
  <c r="Y259" i="1"/>
  <c r="B260" i="1"/>
  <c r="D260" i="1"/>
  <c r="E260" i="1"/>
  <c r="F260" i="1"/>
  <c r="G260" i="1"/>
  <c r="H260" i="1"/>
  <c r="I260" i="1"/>
  <c r="J260" i="1"/>
  <c r="K260" i="1"/>
  <c r="L260" i="1"/>
  <c r="N260" i="1"/>
  <c r="O260" i="1"/>
  <c r="P260" i="1"/>
  <c r="Q260" i="1"/>
  <c r="R260" i="1"/>
  <c r="S260" i="1"/>
  <c r="T260" i="1"/>
  <c r="U260" i="1"/>
  <c r="V260" i="1"/>
  <c r="Y260" i="1"/>
  <c r="B261" i="1"/>
  <c r="D261" i="1"/>
  <c r="E261" i="1"/>
  <c r="F261" i="1"/>
  <c r="G261" i="1"/>
  <c r="H261" i="1"/>
  <c r="I261" i="1"/>
  <c r="J261" i="1"/>
  <c r="K261" i="1"/>
  <c r="L261" i="1"/>
  <c r="N261" i="1"/>
  <c r="O261" i="1"/>
  <c r="P261" i="1"/>
  <c r="Q261" i="1"/>
  <c r="R261" i="1"/>
  <c r="S261" i="1"/>
  <c r="T261" i="1"/>
  <c r="U261" i="1"/>
  <c r="V261" i="1"/>
  <c r="Y261" i="1"/>
  <c r="B262" i="1"/>
  <c r="D262" i="1"/>
  <c r="E262" i="1"/>
  <c r="F262" i="1"/>
  <c r="G262" i="1"/>
  <c r="H262" i="1"/>
  <c r="I262" i="1"/>
  <c r="J262" i="1"/>
  <c r="K262" i="1"/>
  <c r="L262" i="1"/>
  <c r="N262" i="1"/>
  <c r="O262" i="1"/>
  <c r="P262" i="1"/>
  <c r="Q262" i="1"/>
  <c r="R262" i="1"/>
  <c r="S262" i="1"/>
  <c r="T262" i="1"/>
  <c r="U262" i="1"/>
  <c r="V262" i="1"/>
  <c r="Y262" i="1"/>
  <c r="B263" i="1"/>
  <c r="D263" i="1"/>
  <c r="E263" i="1"/>
  <c r="F263" i="1"/>
  <c r="G263" i="1"/>
  <c r="H263" i="1"/>
  <c r="I263" i="1"/>
  <c r="J263" i="1"/>
  <c r="K263" i="1"/>
  <c r="L263" i="1"/>
  <c r="N263" i="1"/>
  <c r="O263" i="1"/>
  <c r="P263" i="1"/>
  <c r="Q263" i="1"/>
  <c r="R263" i="1"/>
  <c r="S263" i="1"/>
  <c r="T263" i="1"/>
  <c r="U263" i="1"/>
  <c r="V263" i="1"/>
  <c r="Y263" i="1"/>
  <c r="B264" i="1"/>
  <c r="D264" i="1"/>
  <c r="E264" i="1"/>
  <c r="F264" i="1"/>
  <c r="G264" i="1"/>
  <c r="H264" i="1"/>
  <c r="I264" i="1"/>
  <c r="J264" i="1"/>
  <c r="K264" i="1"/>
  <c r="L264" i="1"/>
  <c r="N264" i="1"/>
  <c r="O264" i="1"/>
  <c r="P264" i="1"/>
  <c r="Q264" i="1"/>
  <c r="R264" i="1"/>
  <c r="S264" i="1"/>
  <c r="T264" i="1"/>
  <c r="U264" i="1"/>
  <c r="V264" i="1"/>
  <c r="Y264" i="1"/>
  <c r="B265" i="1"/>
  <c r="D265" i="1"/>
  <c r="E265" i="1"/>
  <c r="F265" i="1"/>
  <c r="G265" i="1"/>
  <c r="H265" i="1"/>
  <c r="I265" i="1"/>
  <c r="J265" i="1"/>
  <c r="K265" i="1"/>
  <c r="L265" i="1"/>
  <c r="N265" i="1"/>
  <c r="O265" i="1"/>
  <c r="P265" i="1"/>
  <c r="Q265" i="1"/>
  <c r="R265" i="1"/>
  <c r="S265" i="1"/>
  <c r="T265" i="1"/>
  <c r="U265" i="1"/>
  <c r="V265" i="1"/>
  <c r="Y265" i="1"/>
  <c r="B266" i="1"/>
  <c r="D266" i="1"/>
  <c r="E266" i="1"/>
  <c r="F266" i="1"/>
  <c r="G266" i="1"/>
  <c r="H266" i="1"/>
  <c r="I266" i="1"/>
  <c r="J266" i="1"/>
  <c r="K266" i="1"/>
  <c r="L266" i="1"/>
  <c r="N266" i="1"/>
  <c r="O266" i="1"/>
  <c r="P266" i="1"/>
  <c r="Q266" i="1"/>
  <c r="R266" i="1"/>
  <c r="S266" i="1"/>
  <c r="T266" i="1"/>
  <c r="U266" i="1"/>
  <c r="V266" i="1"/>
  <c r="Y266" i="1"/>
  <c r="B267" i="1"/>
  <c r="D267" i="1"/>
  <c r="E267" i="1"/>
  <c r="F267" i="1"/>
  <c r="G267" i="1"/>
  <c r="H267" i="1"/>
  <c r="I267" i="1"/>
  <c r="J267" i="1"/>
  <c r="K267" i="1"/>
  <c r="L267" i="1"/>
  <c r="N267" i="1"/>
  <c r="O267" i="1"/>
  <c r="P267" i="1"/>
  <c r="Q267" i="1"/>
  <c r="R267" i="1"/>
  <c r="S267" i="1"/>
  <c r="T267" i="1"/>
  <c r="U267" i="1"/>
  <c r="V267" i="1"/>
  <c r="Y267" i="1"/>
  <c r="B268" i="1"/>
  <c r="D268" i="1"/>
  <c r="E268" i="1"/>
  <c r="F268" i="1"/>
  <c r="G268" i="1"/>
  <c r="H268" i="1"/>
  <c r="I268" i="1"/>
  <c r="J268" i="1"/>
  <c r="K268" i="1"/>
  <c r="L268" i="1"/>
  <c r="N268" i="1"/>
  <c r="O268" i="1"/>
  <c r="P268" i="1"/>
  <c r="Q268" i="1"/>
  <c r="R268" i="1"/>
  <c r="S268" i="1"/>
  <c r="T268" i="1"/>
  <c r="U268" i="1"/>
  <c r="V268" i="1"/>
  <c r="Y268" i="1"/>
  <c r="B269" i="1"/>
  <c r="D269" i="1"/>
  <c r="E269" i="1"/>
  <c r="F269" i="1"/>
  <c r="G269" i="1"/>
  <c r="H269" i="1"/>
  <c r="I269" i="1"/>
  <c r="J269" i="1"/>
  <c r="K269" i="1"/>
  <c r="L269" i="1"/>
  <c r="N269" i="1"/>
  <c r="O269" i="1"/>
  <c r="P269" i="1"/>
  <c r="Q269" i="1"/>
  <c r="R269" i="1"/>
  <c r="S269" i="1"/>
  <c r="T269" i="1"/>
  <c r="U269" i="1"/>
  <c r="V269" i="1"/>
  <c r="Y269" i="1"/>
  <c r="B270" i="1"/>
  <c r="D270" i="1"/>
  <c r="E270" i="1"/>
  <c r="F270" i="1"/>
  <c r="G270" i="1"/>
  <c r="H270" i="1"/>
  <c r="I270" i="1"/>
  <c r="J270" i="1"/>
  <c r="K270" i="1"/>
  <c r="L270" i="1"/>
  <c r="N270" i="1"/>
  <c r="O270" i="1"/>
  <c r="P270" i="1"/>
  <c r="Q270" i="1"/>
  <c r="R270" i="1"/>
  <c r="S270" i="1"/>
  <c r="T270" i="1"/>
  <c r="U270" i="1"/>
  <c r="V270" i="1"/>
  <c r="Y270" i="1"/>
  <c r="B271" i="1"/>
  <c r="D271" i="1"/>
  <c r="E271" i="1"/>
  <c r="F271" i="1"/>
  <c r="G271" i="1"/>
  <c r="H271" i="1"/>
  <c r="I271" i="1"/>
  <c r="J271" i="1"/>
  <c r="K271" i="1"/>
  <c r="L271" i="1"/>
  <c r="N271" i="1"/>
  <c r="O271" i="1"/>
  <c r="P271" i="1"/>
  <c r="Q271" i="1"/>
  <c r="R271" i="1"/>
  <c r="S271" i="1"/>
  <c r="T271" i="1"/>
  <c r="U271" i="1"/>
  <c r="V271" i="1"/>
  <c r="Y271" i="1"/>
  <c r="B272" i="1"/>
  <c r="D272" i="1"/>
  <c r="E272" i="1"/>
  <c r="F272" i="1"/>
  <c r="G272" i="1"/>
  <c r="H272" i="1"/>
  <c r="I272" i="1"/>
  <c r="J272" i="1"/>
  <c r="K272" i="1"/>
  <c r="L272" i="1"/>
  <c r="N272" i="1"/>
  <c r="O272" i="1"/>
  <c r="P272" i="1"/>
  <c r="Q272" i="1"/>
  <c r="R272" i="1"/>
  <c r="S272" i="1"/>
  <c r="T272" i="1"/>
  <c r="U272" i="1"/>
  <c r="V272" i="1"/>
  <c r="Y272" i="1"/>
  <c r="B273" i="1"/>
  <c r="D273" i="1"/>
  <c r="E273" i="1"/>
  <c r="F273" i="1"/>
  <c r="G273" i="1"/>
  <c r="H273" i="1"/>
  <c r="I273" i="1"/>
  <c r="J273" i="1"/>
  <c r="K273" i="1"/>
  <c r="L273" i="1"/>
  <c r="N273" i="1"/>
  <c r="O273" i="1"/>
  <c r="P273" i="1"/>
  <c r="Q273" i="1"/>
  <c r="R273" i="1"/>
  <c r="S273" i="1"/>
  <c r="T273" i="1"/>
  <c r="U273" i="1"/>
  <c r="V273" i="1"/>
  <c r="Y273" i="1"/>
  <c r="B274" i="1"/>
  <c r="D274" i="1"/>
  <c r="E274" i="1"/>
  <c r="F274" i="1"/>
  <c r="G274" i="1"/>
  <c r="H274" i="1"/>
  <c r="I274" i="1"/>
  <c r="J274" i="1"/>
  <c r="K274" i="1"/>
  <c r="L274" i="1"/>
  <c r="N274" i="1"/>
  <c r="O274" i="1"/>
  <c r="P274" i="1"/>
  <c r="Q274" i="1"/>
  <c r="R274" i="1"/>
  <c r="S274" i="1"/>
  <c r="T274" i="1"/>
  <c r="U274" i="1"/>
  <c r="V274" i="1"/>
  <c r="Y274" i="1"/>
  <c r="B275" i="1"/>
  <c r="D275" i="1"/>
  <c r="E275" i="1"/>
  <c r="F275" i="1"/>
  <c r="G275" i="1"/>
  <c r="H275" i="1"/>
  <c r="I275" i="1"/>
  <c r="J275" i="1"/>
  <c r="K275" i="1"/>
  <c r="L275" i="1"/>
  <c r="N275" i="1"/>
  <c r="O275" i="1"/>
  <c r="P275" i="1"/>
  <c r="Q275" i="1"/>
  <c r="R275" i="1"/>
  <c r="S275" i="1"/>
  <c r="T275" i="1"/>
  <c r="U275" i="1"/>
  <c r="V275" i="1"/>
  <c r="Y275" i="1"/>
  <c r="B276" i="1"/>
  <c r="D276" i="1"/>
  <c r="E276" i="1"/>
  <c r="F276" i="1"/>
  <c r="G276" i="1"/>
  <c r="H276" i="1"/>
  <c r="I276" i="1"/>
  <c r="J276" i="1"/>
  <c r="K276" i="1"/>
  <c r="L276" i="1"/>
  <c r="N276" i="1"/>
  <c r="O276" i="1"/>
  <c r="P276" i="1"/>
  <c r="Q276" i="1"/>
  <c r="R276" i="1"/>
  <c r="S276" i="1"/>
  <c r="T276" i="1"/>
  <c r="U276" i="1"/>
  <c r="V276" i="1"/>
  <c r="Y276" i="1"/>
  <c r="B277" i="1"/>
  <c r="D277" i="1"/>
  <c r="E277" i="1"/>
  <c r="F277" i="1"/>
  <c r="G277" i="1"/>
  <c r="H277" i="1"/>
  <c r="I277" i="1"/>
  <c r="J277" i="1"/>
  <c r="K277" i="1"/>
  <c r="L277" i="1"/>
  <c r="N277" i="1"/>
  <c r="O277" i="1"/>
  <c r="P277" i="1"/>
  <c r="Q277" i="1"/>
  <c r="R277" i="1"/>
  <c r="S277" i="1"/>
  <c r="T277" i="1"/>
  <c r="U277" i="1"/>
  <c r="V277" i="1"/>
  <c r="Y277" i="1"/>
  <c r="B278" i="1"/>
  <c r="D278" i="1"/>
  <c r="E278" i="1"/>
  <c r="F278" i="1"/>
  <c r="G278" i="1"/>
  <c r="H278" i="1"/>
  <c r="I278" i="1"/>
  <c r="J278" i="1"/>
  <c r="K278" i="1"/>
  <c r="L278" i="1"/>
  <c r="N278" i="1"/>
  <c r="O278" i="1"/>
  <c r="P278" i="1"/>
  <c r="Q278" i="1"/>
  <c r="R278" i="1"/>
  <c r="S278" i="1"/>
  <c r="T278" i="1"/>
  <c r="U278" i="1"/>
  <c r="V278" i="1"/>
  <c r="Y278" i="1"/>
  <c r="B279" i="1"/>
  <c r="D279" i="1"/>
  <c r="E279" i="1"/>
  <c r="F279" i="1"/>
  <c r="G279" i="1"/>
  <c r="H279" i="1"/>
  <c r="I279" i="1"/>
  <c r="J279" i="1"/>
  <c r="K279" i="1"/>
  <c r="L279" i="1"/>
  <c r="N279" i="1"/>
  <c r="O279" i="1"/>
  <c r="P279" i="1"/>
  <c r="Q279" i="1"/>
  <c r="R279" i="1"/>
  <c r="S279" i="1"/>
  <c r="T279" i="1"/>
  <c r="U279" i="1"/>
  <c r="V279" i="1"/>
  <c r="Y279" i="1"/>
  <c r="B280" i="1"/>
  <c r="D280" i="1"/>
  <c r="E280" i="1"/>
  <c r="F280" i="1"/>
  <c r="G280" i="1"/>
  <c r="H280" i="1"/>
  <c r="I280" i="1"/>
  <c r="J280" i="1"/>
  <c r="K280" i="1"/>
  <c r="L280" i="1"/>
  <c r="N280" i="1"/>
  <c r="O280" i="1"/>
  <c r="P280" i="1"/>
  <c r="Q280" i="1"/>
  <c r="R280" i="1"/>
  <c r="S280" i="1"/>
  <c r="T280" i="1"/>
  <c r="U280" i="1"/>
  <c r="V280" i="1"/>
  <c r="Y280" i="1"/>
  <c r="B281" i="1"/>
  <c r="D281" i="1"/>
  <c r="E281" i="1"/>
  <c r="F281" i="1"/>
  <c r="G281" i="1"/>
  <c r="H281" i="1"/>
  <c r="I281" i="1"/>
  <c r="J281" i="1"/>
  <c r="K281" i="1"/>
  <c r="L281" i="1"/>
  <c r="N281" i="1"/>
  <c r="O281" i="1"/>
  <c r="P281" i="1"/>
  <c r="Q281" i="1"/>
  <c r="R281" i="1"/>
  <c r="S281" i="1"/>
  <c r="T281" i="1"/>
  <c r="U281" i="1"/>
  <c r="V281" i="1"/>
  <c r="Y281" i="1"/>
  <c r="B282" i="1"/>
  <c r="D282" i="1"/>
  <c r="E282" i="1"/>
  <c r="F282" i="1"/>
  <c r="G282" i="1"/>
  <c r="H282" i="1"/>
  <c r="I282" i="1"/>
  <c r="J282" i="1"/>
  <c r="K282" i="1"/>
  <c r="L282" i="1"/>
  <c r="N282" i="1"/>
  <c r="O282" i="1"/>
  <c r="P282" i="1"/>
  <c r="Q282" i="1"/>
  <c r="R282" i="1"/>
  <c r="S282" i="1"/>
  <c r="T282" i="1"/>
  <c r="U282" i="1"/>
  <c r="V282" i="1"/>
  <c r="Y282" i="1"/>
  <c r="B283" i="1"/>
  <c r="D283" i="1"/>
  <c r="E283" i="1"/>
  <c r="F283" i="1"/>
  <c r="G283" i="1"/>
  <c r="H283" i="1"/>
  <c r="I283" i="1"/>
  <c r="J283" i="1"/>
  <c r="K283" i="1"/>
  <c r="L283" i="1"/>
  <c r="N283" i="1"/>
  <c r="O283" i="1"/>
  <c r="P283" i="1"/>
  <c r="Q283" i="1"/>
  <c r="R283" i="1"/>
  <c r="S283" i="1"/>
  <c r="T283" i="1"/>
  <c r="U283" i="1"/>
  <c r="V283" i="1"/>
  <c r="Y283" i="1"/>
  <c r="B284" i="1"/>
  <c r="D284" i="1"/>
  <c r="E284" i="1"/>
  <c r="F284" i="1"/>
  <c r="G284" i="1"/>
  <c r="H284" i="1"/>
  <c r="I284" i="1"/>
  <c r="J284" i="1"/>
  <c r="K284" i="1"/>
  <c r="L284" i="1"/>
  <c r="N284" i="1"/>
  <c r="O284" i="1"/>
  <c r="P284" i="1"/>
  <c r="Q284" i="1"/>
  <c r="R284" i="1"/>
  <c r="S284" i="1"/>
  <c r="T284" i="1"/>
  <c r="U284" i="1"/>
  <c r="V284" i="1"/>
  <c r="Y284" i="1"/>
  <c r="B285" i="1"/>
  <c r="D285" i="1"/>
  <c r="E285" i="1"/>
  <c r="F285" i="1"/>
  <c r="G285" i="1"/>
  <c r="H285" i="1"/>
  <c r="I285" i="1"/>
  <c r="J285" i="1"/>
  <c r="K285" i="1"/>
  <c r="L285" i="1"/>
  <c r="N285" i="1"/>
  <c r="O285" i="1"/>
  <c r="P285" i="1"/>
  <c r="Q285" i="1"/>
  <c r="R285" i="1"/>
  <c r="S285" i="1"/>
  <c r="T285" i="1"/>
  <c r="U285" i="1"/>
  <c r="V285" i="1"/>
  <c r="Y285" i="1"/>
  <c r="B286" i="1"/>
  <c r="D286" i="1"/>
  <c r="E286" i="1"/>
  <c r="F286" i="1"/>
  <c r="G286" i="1"/>
  <c r="H286" i="1"/>
  <c r="I286" i="1"/>
  <c r="J286" i="1"/>
  <c r="K286" i="1"/>
  <c r="L286" i="1"/>
  <c r="N286" i="1"/>
  <c r="O286" i="1"/>
  <c r="P286" i="1"/>
  <c r="Q286" i="1"/>
  <c r="R286" i="1"/>
  <c r="S286" i="1"/>
  <c r="T286" i="1"/>
  <c r="U286" i="1"/>
  <c r="V286" i="1"/>
  <c r="Y286" i="1"/>
  <c r="B287" i="1"/>
  <c r="D287" i="1"/>
  <c r="E287" i="1"/>
  <c r="F287" i="1"/>
  <c r="G287" i="1"/>
  <c r="H287" i="1"/>
  <c r="I287" i="1"/>
  <c r="J287" i="1"/>
  <c r="K287" i="1"/>
  <c r="L287" i="1"/>
  <c r="N287" i="1"/>
  <c r="O287" i="1"/>
  <c r="P287" i="1"/>
  <c r="Q287" i="1"/>
  <c r="R287" i="1"/>
  <c r="S287" i="1"/>
  <c r="T287" i="1"/>
  <c r="U287" i="1"/>
  <c r="V287" i="1"/>
  <c r="Y287" i="1"/>
  <c r="B288" i="1"/>
  <c r="D288" i="1"/>
  <c r="E288" i="1"/>
  <c r="F288" i="1"/>
  <c r="G288" i="1"/>
  <c r="H288" i="1"/>
  <c r="I288" i="1"/>
  <c r="J288" i="1"/>
  <c r="K288" i="1"/>
  <c r="L288" i="1"/>
  <c r="N288" i="1"/>
  <c r="O288" i="1"/>
  <c r="P288" i="1"/>
  <c r="Q288" i="1"/>
  <c r="R288" i="1"/>
  <c r="S288" i="1"/>
  <c r="T288" i="1"/>
  <c r="U288" i="1"/>
  <c r="V288" i="1"/>
  <c r="Y288" i="1"/>
  <c r="B289" i="1"/>
  <c r="D289" i="1"/>
  <c r="E289" i="1"/>
  <c r="F289" i="1"/>
  <c r="G289" i="1"/>
  <c r="H289" i="1"/>
  <c r="I289" i="1"/>
  <c r="J289" i="1"/>
  <c r="K289" i="1"/>
  <c r="L289" i="1"/>
  <c r="N289" i="1"/>
  <c r="O289" i="1"/>
  <c r="P289" i="1"/>
  <c r="Q289" i="1"/>
  <c r="R289" i="1"/>
  <c r="S289" i="1"/>
  <c r="T289" i="1"/>
  <c r="U289" i="1"/>
  <c r="V289" i="1"/>
  <c r="Y289" i="1"/>
  <c r="B290" i="1"/>
  <c r="D290" i="1"/>
  <c r="E290" i="1"/>
  <c r="F290" i="1"/>
  <c r="G290" i="1"/>
  <c r="H290" i="1"/>
  <c r="I290" i="1"/>
  <c r="J290" i="1"/>
  <c r="K290" i="1"/>
  <c r="L290" i="1"/>
  <c r="N290" i="1"/>
  <c r="O290" i="1"/>
  <c r="P290" i="1"/>
  <c r="Q290" i="1"/>
  <c r="R290" i="1"/>
  <c r="S290" i="1"/>
  <c r="T290" i="1"/>
  <c r="U290" i="1"/>
  <c r="V290" i="1"/>
  <c r="Y290" i="1"/>
  <c r="B291" i="1"/>
  <c r="D291" i="1"/>
  <c r="E291" i="1"/>
  <c r="F291" i="1"/>
  <c r="G291" i="1"/>
  <c r="H291" i="1"/>
  <c r="I291" i="1"/>
  <c r="J291" i="1"/>
  <c r="K291" i="1"/>
  <c r="L291" i="1"/>
  <c r="N291" i="1"/>
  <c r="O291" i="1"/>
  <c r="P291" i="1"/>
  <c r="Q291" i="1"/>
  <c r="R291" i="1"/>
  <c r="S291" i="1"/>
  <c r="T291" i="1"/>
  <c r="U291" i="1"/>
  <c r="V291" i="1"/>
  <c r="Y291" i="1"/>
  <c r="B292" i="1"/>
  <c r="D292" i="1"/>
  <c r="E292" i="1"/>
  <c r="F292" i="1"/>
  <c r="G292" i="1"/>
  <c r="H292" i="1"/>
  <c r="I292" i="1"/>
  <c r="J292" i="1"/>
  <c r="K292" i="1"/>
  <c r="L292" i="1"/>
  <c r="N292" i="1"/>
  <c r="O292" i="1"/>
  <c r="P292" i="1"/>
  <c r="Q292" i="1"/>
  <c r="R292" i="1"/>
  <c r="S292" i="1"/>
  <c r="T292" i="1"/>
  <c r="U292" i="1"/>
  <c r="V292" i="1"/>
  <c r="Y292" i="1"/>
  <c r="B293" i="1"/>
  <c r="D293" i="1"/>
  <c r="E293" i="1"/>
  <c r="F293" i="1"/>
  <c r="G293" i="1"/>
  <c r="H293" i="1"/>
  <c r="I293" i="1"/>
  <c r="J293" i="1"/>
  <c r="K293" i="1"/>
  <c r="L293" i="1"/>
  <c r="N293" i="1"/>
  <c r="O293" i="1"/>
  <c r="P293" i="1"/>
  <c r="Q293" i="1"/>
  <c r="R293" i="1"/>
  <c r="S293" i="1"/>
  <c r="T293" i="1"/>
  <c r="U293" i="1"/>
  <c r="V293" i="1"/>
  <c r="Y293" i="1"/>
  <c r="B294" i="1"/>
  <c r="D294" i="1"/>
  <c r="E294" i="1"/>
  <c r="F294" i="1"/>
  <c r="G294" i="1"/>
  <c r="H294" i="1"/>
  <c r="I294" i="1"/>
  <c r="J294" i="1"/>
  <c r="K294" i="1"/>
  <c r="L294" i="1"/>
  <c r="N294" i="1"/>
  <c r="O294" i="1"/>
  <c r="P294" i="1"/>
  <c r="Q294" i="1"/>
  <c r="R294" i="1"/>
  <c r="S294" i="1"/>
  <c r="T294" i="1"/>
  <c r="U294" i="1"/>
  <c r="V294" i="1"/>
  <c r="Y294" i="1"/>
  <c r="B295" i="1"/>
  <c r="D295" i="1"/>
  <c r="E295" i="1"/>
  <c r="F295" i="1"/>
  <c r="G295" i="1"/>
  <c r="H295" i="1"/>
  <c r="I295" i="1"/>
  <c r="J295" i="1"/>
  <c r="K295" i="1"/>
  <c r="L295" i="1"/>
  <c r="N295" i="1"/>
  <c r="O295" i="1"/>
  <c r="P295" i="1"/>
  <c r="Q295" i="1"/>
  <c r="R295" i="1"/>
  <c r="S295" i="1"/>
  <c r="T295" i="1"/>
  <c r="U295" i="1"/>
  <c r="V295" i="1"/>
  <c r="Y295" i="1"/>
  <c r="B296" i="1"/>
  <c r="D296" i="1"/>
  <c r="E296" i="1"/>
  <c r="F296" i="1"/>
  <c r="G296" i="1"/>
  <c r="H296" i="1"/>
  <c r="I296" i="1"/>
  <c r="J296" i="1"/>
  <c r="K296" i="1"/>
  <c r="L296" i="1"/>
  <c r="N296" i="1"/>
  <c r="O296" i="1"/>
  <c r="P296" i="1"/>
  <c r="Q296" i="1"/>
  <c r="R296" i="1"/>
  <c r="S296" i="1"/>
  <c r="T296" i="1"/>
  <c r="U296" i="1"/>
  <c r="V296" i="1"/>
  <c r="Y296" i="1"/>
  <c r="B297" i="1"/>
  <c r="D297" i="1"/>
  <c r="E297" i="1"/>
  <c r="F297" i="1"/>
  <c r="G297" i="1"/>
  <c r="H297" i="1"/>
  <c r="I297" i="1"/>
  <c r="J297" i="1"/>
  <c r="K297" i="1"/>
  <c r="L297" i="1"/>
  <c r="N297" i="1"/>
  <c r="O297" i="1"/>
  <c r="P297" i="1"/>
  <c r="Q297" i="1"/>
  <c r="R297" i="1"/>
  <c r="S297" i="1"/>
  <c r="T297" i="1"/>
  <c r="U297" i="1"/>
  <c r="V297" i="1"/>
  <c r="Y297" i="1"/>
  <c r="B298" i="1"/>
  <c r="D298" i="1"/>
  <c r="E298" i="1"/>
  <c r="F298" i="1"/>
  <c r="G298" i="1"/>
  <c r="H298" i="1"/>
  <c r="I298" i="1"/>
  <c r="J298" i="1"/>
  <c r="K298" i="1"/>
  <c r="L298" i="1"/>
  <c r="N298" i="1"/>
  <c r="O298" i="1"/>
  <c r="P298" i="1"/>
  <c r="Q298" i="1"/>
  <c r="R298" i="1"/>
  <c r="S298" i="1"/>
  <c r="T298" i="1"/>
  <c r="U298" i="1"/>
  <c r="V298" i="1"/>
  <c r="Y298" i="1"/>
  <c r="B299" i="1"/>
  <c r="D299" i="1"/>
  <c r="E299" i="1"/>
  <c r="F299" i="1"/>
  <c r="G299" i="1"/>
  <c r="H299" i="1"/>
  <c r="I299" i="1"/>
  <c r="J299" i="1"/>
  <c r="K299" i="1"/>
  <c r="L299" i="1"/>
  <c r="N299" i="1"/>
  <c r="O299" i="1"/>
  <c r="P299" i="1"/>
  <c r="Q299" i="1"/>
  <c r="R299" i="1"/>
  <c r="S299" i="1"/>
  <c r="T299" i="1"/>
  <c r="U299" i="1"/>
  <c r="V299" i="1"/>
  <c r="Y299" i="1"/>
  <c r="B300" i="1"/>
  <c r="D300" i="1"/>
  <c r="E300" i="1"/>
  <c r="F300" i="1"/>
  <c r="G300" i="1"/>
  <c r="H300" i="1"/>
  <c r="I300" i="1"/>
  <c r="J300" i="1"/>
  <c r="K300" i="1"/>
  <c r="L300" i="1"/>
  <c r="N300" i="1"/>
  <c r="O300" i="1"/>
  <c r="P300" i="1"/>
  <c r="Q300" i="1"/>
  <c r="R300" i="1"/>
  <c r="S300" i="1"/>
  <c r="T300" i="1"/>
  <c r="U300" i="1"/>
  <c r="V300" i="1"/>
  <c r="Y300" i="1"/>
  <c r="B301" i="1"/>
  <c r="D301" i="1"/>
  <c r="E301" i="1"/>
  <c r="F301" i="1"/>
  <c r="G301" i="1"/>
  <c r="H301" i="1"/>
  <c r="I301" i="1"/>
  <c r="J301" i="1"/>
  <c r="K301" i="1"/>
  <c r="L301" i="1"/>
  <c r="N301" i="1"/>
  <c r="O301" i="1"/>
  <c r="P301" i="1"/>
  <c r="Q301" i="1"/>
  <c r="R301" i="1"/>
  <c r="S301" i="1"/>
  <c r="T301" i="1"/>
  <c r="U301" i="1"/>
  <c r="V301" i="1"/>
  <c r="Y301" i="1"/>
  <c r="B302" i="1"/>
  <c r="D302" i="1"/>
  <c r="E302" i="1"/>
  <c r="F302" i="1"/>
  <c r="G302" i="1"/>
  <c r="H302" i="1"/>
  <c r="I302" i="1"/>
  <c r="J302" i="1"/>
  <c r="K302" i="1"/>
  <c r="L302" i="1"/>
  <c r="N302" i="1"/>
  <c r="O302" i="1"/>
  <c r="P302" i="1"/>
  <c r="Q302" i="1"/>
  <c r="R302" i="1"/>
  <c r="S302" i="1"/>
  <c r="T302" i="1"/>
  <c r="U302" i="1"/>
  <c r="V302" i="1"/>
  <c r="Y302" i="1"/>
  <c r="B303" i="1"/>
  <c r="D303" i="1"/>
  <c r="E303" i="1"/>
  <c r="F303" i="1"/>
  <c r="G303" i="1"/>
  <c r="H303" i="1"/>
  <c r="I303" i="1"/>
  <c r="J303" i="1"/>
  <c r="K303" i="1"/>
  <c r="L303" i="1"/>
  <c r="N303" i="1"/>
  <c r="O303" i="1"/>
  <c r="P303" i="1"/>
  <c r="Q303" i="1"/>
  <c r="R303" i="1"/>
  <c r="S303" i="1"/>
  <c r="T303" i="1"/>
  <c r="U303" i="1"/>
  <c r="V303" i="1"/>
  <c r="Y303" i="1"/>
  <c r="B304" i="1"/>
  <c r="D304" i="1"/>
  <c r="E304" i="1"/>
  <c r="F304" i="1"/>
  <c r="G304" i="1"/>
  <c r="H304" i="1"/>
  <c r="I304" i="1"/>
  <c r="J304" i="1"/>
  <c r="K304" i="1"/>
  <c r="L304" i="1"/>
  <c r="N304" i="1"/>
  <c r="O304" i="1"/>
  <c r="P304" i="1"/>
  <c r="Q304" i="1"/>
  <c r="R304" i="1"/>
  <c r="S304" i="1"/>
  <c r="T304" i="1"/>
  <c r="U304" i="1"/>
  <c r="V304" i="1"/>
  <c r="Y304" i="1"/>
  <c r="B305" i="1"/>
  <c r="D305" i="1"/>
  <c r="E305" i="1"/>
  <c r="F305" i="1"/>
  <c r="G305" i="1"/>
  <c r="H305" i="1"/>
  <c r="I305" i="1"/>
  <c r="J305" i="1"/>
  <c r="K305" i="1"/>
  <c r="L305" i="1"/>
  <c r="N305" i="1"/>
  <c r="O305" i="1"/>
  <c r="P305" i="1"/>
  <c r="Q305" i="1"/>
  <c r="R305" i="1"/>
  <c r="S305" i="1"/>
  <c r="T305" i="1"/>
  <c r="U305" i="1"/>
  <c r="V305" i="1"/>
  <c r="Y305" i="1"/>
  <c r="B306" i="1"/>
  <c r="D306" i="1"/>
  <c r="E306" i="1"/>
  <c r="F306" i="1"/>
  <c r="G306" i="1"/>
  <c r="H306" i="1"/>
  <c r="I306" i="1"/>
  <c r="J306" i="1"/>
  <c r="K306" i="1"/>
  <c r="L306" i="1"/>
  <c r="N306" i="1"/>
  <c r="O306" i="1"/>
  <c r="P306" i="1"/>
  <c r="Q306" i="1"/>
  <c r="R306" i="1"/>
  <c r="S306" i="1"/>
  <c r="T306" i="1"/>
  <c r="U306" i="1"/>
  <c r="V306" i="1"/>
  <c r="Y306" i="1"/>
  <c r="B307" i="1"/>
  <c r="D307" i="1"/>
  <c r="E307" i="1"/>
  <c r="F307" i="1"/>
  <c r="G307" i="1"/>
  <c r="H307" i="1"/>
  <c r="I307" i="1"/>
  <c r="J307" i="1"/>
  <c r="K307" i="1"/>
  <c r="L307" i="1"/>
  <c r="N307" i="1"/>
  <c r="O307" i="1"/>
  <c r="P307" i="1"/>
  <c r="Q307" i="1"/>
  <c r="R307" i="1"/>
  <c r="S307" i="1"/>
  <c r="T307" i="1"/>
  <c r="U307" i="1"/>
  <c r="V307" i="1"/>
  <c r="Y307" i="1"/>
  <c r="B308" i="1"/>
  <c r="D308" i="1"/>
  <c r="E308" i="1"/>
  <c r="F308" i="1"/>
  <c r="G308" i="1"/>
  <c r="H308" i="1"/>
  <c r="I308" i="1"/>
  <c r="J308" i="1"/>
  <c r="K308" i="1"/>
  <c r="L308" i="1"/>
  <c r="N308" i="1"/>
  <c r="O308" i="1"/>
  <c r="P308" i="1"/>
  <c r="Q308" i="1"/>
  <c r="R308" i="1"/>
  <c r="S308" i="1"/>
  <c r="T308" i="1"/>
  <c r="U308" i="1"/>
  <c r="V308" i="1"/>
  <c r="Y308" i="1"/>
  <c r="B309" i="1"/>
  <c r="D309" i="1"/>
  <c r="E309" i="1"/>
  <c r="F309" i="1"/>
  <c r="G309" i="1"/>
  <c r="H309" i="1"/>
  <c r="I309" i="1"/>
  <c r="J309" i="1"/>
  <c r="K309" i="1"/>
  <c r="L309" i="1"/>
  <c r="N309" i="1"/>
  <c r="O309" i="1"/>
  <c r="P309" i="1"/>
  <c r="Q309" i="1"/>
  <c r="R309" i="1"/>
  <c r="S309" i="1"/>
  <c r="T309" i="1"/>
  <c r="U309" i="1"/>
  <c r="V309" i="1"/>
  <c r="Y309" i="1"/>
  <c r="B310" i="1"/>
  <c r="D310" i="1"/>
  <c r="E310" i="1"/>
  <c r="F310" i="1"/>
  <c r="G310" i="1"/>
  <c r="H310" i="1"/>
  <c r="I310" i="1"/>
  <c r="J310" i="1"/>
  <c r="K310" i="1"/>
  <c r="L310" i="1"/>
  <c r="N310" i="1"/>
  <c r="O310" i="1"/>
  <c r="P310" i="1"/>
  <c r="Q310" i="1"/>
  <c r="R310" i="1"/>
  <c r="S310" i="1"/>
  <c r="T310" i="1"/>
  <c r="U310" i="1"/>
  <c r="V310" i="1"/>
  <c r="Y310" i="1"/>
  <c r="B311" i="1"/>
  <c r="D311" i="1"/>
  <c r="E311" i="1"/>
  <c r="F311" i="1"/>
  <c r="G311" i="1"/>
  <c r="H311" i="1"/>
  <c r="I311" i="1"/>
  <c r="J311" i="1"/>
  <c r="K311" i="1"/>
  <c r="L311" i="1"/>
  <c r="N311" i="1"/>
  <c r="O311" i="1"/>
  <c r="P311" i="1"/>
  <c r="Q311" i="1"/>
  <c r="R311" i="1"/>
  <c r="S311" i="1"/>
  <c r="T311" i="1"/>
  <c r="U311" i="1"/>
  <c r="V311" i="1"/>
  <c r="Y311" i="1"/>
  <c r="B312" i="1"/>
  <c r="D312" i="1"/>
  <c r="E312" i="1"/>
  <c r="F312" i="1"/>
  <c r="G312" i="1"/>
  <c r="H312" i="1"/>
  <c r="I312" i="1"/>
  <c r="J312" i="1"/>
  <c r="K312" i="1"/>
  <c r="L312" i="1"/>
  <c r="N312" i="1"/>
  <c r="O312" i="1"/>
  <c r="P312" i="1"/>
  <c r="Q312" i="1"/>
  <c r="R312" i="1"/>
  <c r="S312" i="1"/>
  <c r="T312" i="1"/>
  <c r="U312" i="1"/>
  <c r="V312" i="1"/>
  <c r="Y312" i="1"/>
  <c r="B313" i="1"/>
  <c r="D313" i="1"/>
  <c r="E313" i="1"/>
  <c r="F313" i="1"/>
  <c r="G313" i="1"/>
  <c r="H313" i="1"/>
  <c r="I313" i="1"/>
  <c r="J313" i="1"/>
  <c r="K313" i="1"/>
  <c r="L313" i="1"/>
  <c r="N313" i="1"/>
  <c r="O313" i="1"/>
  <c r="P313" i="1"/>
  <c r="Q313" i="1"/>
  <c r="R313" i="1"/>
  <c r="S313" i="1"/>
  <c r="T313" i="1"/>
  <c r="U313" i="1"/>
  <c r="V313" i="1"/>
  <c r="Y313" i="1"/>
  <c r="B314" i="1"/>
  <c r="D314" i="1"/>
  <c r="E314" i="1"/>
  <c r="F314" i="1"/>
  <c r="G314" i="1"/>
  <c r="H314" i="1"/>
  <c r="I314" i="1"/>
  <c r="J314" i="1"/>
  <c r="K314" i="1"/>
  <c r="L314" i="1"/>
  <c r="N314" i="1"/>
  <c r="O314" i="1"/>
  <c r="P314" i="1"/>
  <c r="Q314" i="1"/>
  <c r="R314" i="1"/>
  <c r="S314" i="1"/>
  <c r="T314" i="1"/>
  <c r="U314" i="1"/>
  <c r="V314" i="1"/>
  <c r="Y314" i="1"/>
  <c r="B315" i="1"/>
  <c r="D315" i="1"/>
  <c r="E315" i="1"/>
  <c r="F315" i="1"/>
  <c r="G315" i="1"/>
  <c r="H315" i="1"/>
  <c r="I315" i="1"/>
  <c r="J315" i="1"/>
  <c r="K315" i="1"/>
  <c r="L315" i="1"/>
  <c r="N315" i="1"/>
  <c r="O315" i="1"/>
  <c r="P315" i="1"/>
  <c r="Q315" i="1"/>
  <c r="R315" i="1"/>
  <c r="S315" i="1"/>
  <c r="T315" i="1"/>
  <c r="U315" i="1"/>
  <c r="V315" i="1"/>
  <c r="Y315" i="1"/>
  <c r="B316" i="1"/>
  <c r="D316" i="1"/>
  <c r="E316" i="1"/>
  <c r="F316" i="1"/>
  <c r="G316" i="1"/>
  <c r="H316" i="1"/>
  <c r="I316" i="1"/>
  <c r="J316" i="1"/>
  <c r="K316" i="1"/>
  <c r="L316" i="1"/>
  <c r="N316" i="1"/>
  <c r="O316" i="1"/>
  <c r="P316" i="1"/>
  <c r="Q316" i="1"/>
  <c r="R316" i="1"/>
  <c r="S316" i="1"/>
  <c r="T316" i="1"/>
  <c r="U316" i="1"/>
  <c r="V316" i="1"/>
  <c r="Y316" i="1"/>
  <c r="B317" i="1"/>
  <c r="D317" i="1"/>
  <c r="E317" i="1"/>
  <c r="F317" i="1"/>
  <c r="G317" i="1"/>
  <c r="H317" i="1"/>
  <c r="I317" i="1"/>
  <c r="J317" i="1"/>
  <c r="K317" i="1"/>
  <c r="L317" i="1"/>
  <c r="N317" i="1"/>
  <c r="O317" i="1"/>
  <c r="P317" i="1"/>
  <c r="Q317" i="1"/>
  <c r="R317" i="1"/>
  <c r="S317" i="1"/>
  <c r="T317" i="1"/>
  <c r="U317" i="1"/>
  <c r="V317" i="1"/>
  <c r="Y317" i="1"/>
  <c r="B318" i="1"/>
  <c r="D318" i="1"/>
  <c r="E318" i="1"/>
  <c r="F318" i="1"/>
  <c r="G318" i="1"/>
  <c r="H318" i="1"/>
  <c r="I318" i="1"/>
  <c r="J318" i="1"/>
  <c r="K318" i="1"/>
  <c r="L318" i="1"/>
  <c r="N318" i="1"/>
  <c r="O318" i="1"/>
  <c r="P318" i="1"/>
  <c r="Q318" i="1"/>
  <c r="R318" i="1"/>
  <c r="S318" i="1"/>
  <c r="T318" i="1"/>
  <c r="U318" i="1"/>
  <c r="V318" i="1"/>
  <c r="Y318" i="1"/>
  <c r="B319" i="1"/>
  <c r="D319" i="1"/>
  <c r="E319" i="1"/>
  <c r="F319" i="1"/>
  <c r="G319" i="1"/>
  <c r="H319" i="1"/>
  <c r="I319" i="1"/>
  <c r="J319" i="1"/>
  <c r="K319" i="1"/>
  <c r="L319" i="1"/>
  <c r="N319" i="1"/>
  <c r="O319" i="1"/>
  <c r="P319" i="1"/>
  <c r="Q319" i="1"/>
  <c r="R319" i="1"/>
  <c r="S319" i="1"/>
  <c r="T319" i="1"/>
  <c r="U319" i="1"/>
  <c r="V319" i="1"/>
  <c r="Y319" i="1"/>
  <c r="B320" i="1"/>
  <c r="D320" i="1"/>
  <c r="E320" i="1"/>
  <c r="F320" i="1"/>
  <c r="G320" i="1"/>
  <c r="H320" i="1"/>
  <c r="I320" i="1"/>
  <c r="J320" i="1"/>
  <c r="K320" i="1"/>
  <c r="L320" i="1"/>
  <c r="N320" i="1"/>
  <c r="O320" i="1"/>
  <c r="P320" i="1"/>
  <c r="Q320" i="1"/>
  <c r="R320" i="1"/>
  <c r="S320" i="1"/>
  <c r="T320" i="1"/>
  <c r="U320" i="1"/>
  <c r="V320" i="1"/>
  <c r="Y320" i="1"/>
  <c r="B321" i="1"/>
  <c r="D321" i="1"/>
  <c r="E321" i="1"/>
  <c r="F321" i="1"/>
  <c r="G321" i="1"/>
  <c r="H321" i="1"/>
  <c r="I321" i="1"/>
  <c r="J321" i="1"/>
  <c r="K321" i="1"/>
  <c r="L321" i="1"/>
  <c r="N321" i="1"/>
  <c r="O321" i="1"/>
  <c r="P321" i="1"/>
  <c r="Q321" i="1"/>
  <c r="R321" i="1"/>
  <c r="S321" i="1"/>
  <c r="T321" i="1"/>
  <c r="U321" i="1"/>
  <c r="V321" i="1"/>
  <c r="Y321" i="1"/>
  <c r="B322" i="1"/>
  <c r="D322" i="1"/>
  <c r="E322" i="1"/>
  <c r="F322" i="1"/>
  <c r="G322" i="1"/>
  <c r="H322" i="1"/>
  <c r="I322" i="1"/>
  <c r="J322" i="1"/>
  <c r="K322" i="1"/>
  <c r="L322" i="1"/>
  <c r="N322" i="1"/>
  <c r="O322" i="1"/>
  <c r="P322" i="1"/>
  <c r="Q322" i="1"/>
  <c r="R322" i="1"/>
  <c r="S322" i="1"/>
  <c r="T322" i="1"/>
  <c r="U322" i="1"/>
  <c r="V322" i="1"/>
  <c r="Y322" i="1"/>
  <c r="B323" i="1"/>
  <c r="D323" i="1"/>
  <c r="E323" i="1"/>
  <c r="F323" i="1"/>
  <c r="G323" i="1"/>
  <c r="H323" i="1"/>
  <c r="I323" i="1"/>
  <c r="J323" i="1"/>
  <c r="K323" i="1"/>
  <c r="L323" i="1"/>
  <c r="N323" i="1"/>
  <c r="O323" i="1"/>
  <c r="P323" i="1"/>
  <c r="Q323" i="1"/>
  <c r="R323" i="1"/>
  <c r="S323" i="1"/>
  <c r="T323" i="1"/>
  <c r="U323" i="1"/>
  <c r="V323" i="1"/>
  <c r="Y323" i="1"/>
  <c r="B324" i="1"/>
  <c r="D324" i="1"/>
  <c r="E324" i="1"/>
  <c r="F324" i="1"/>
  <c r="G324" i="1"/>
  <c r="H324" i="1"/>
  <c r="I324" i="1"/>
  <c r="J324" i="1"/>
  <c r="K324" i="1"/>
  <c r="L324" i="1"/>
  <c r="N324" i="1"/>
  <c r="O324" i="1"/>
  <c r="P324" i="1"/>
  <c r="Q324" i="1"/>
  <c r="R324" i="1"/>
  <c r="S324" i="1"/>
  <c r="T324" i="1"/>
  <c r="U324" i="1"/>
  <c r="V324" i="1"/>
  <c r="Y324" i="1"/>
  <c r="B325" i="1"/>
  <c r="D325" i="1"/>
  <c r="E325" i="1"/>
  <c r="F325" i="1"/>
  <c r="G325" i="1"/>
  <c r="H325" i="1"/>
  <c r="I325" i="1"/>
  <c r="J325" i="1"/>
  <c r="K325" i="1"/>
  <c r="L325" i="1"/>
  <c r="N325" i="1"/>
  <c r="O325" i="1"/>
  <c r="P325" i="1"/>
  <c r="Q325" i="1"/>
  <c r="R325" i="1"/>
  <c r="S325" i="1"/>
  <c r="T325" i="1"/>
  <c r="U325" i="1"/>
  <c r="V325" i="1"/>
  <c r="Y325" i="1"/>
  <c r="B326" i="1"/>
  <c r="D326" i="1"/>
  <c r="E326" i="1"/>
  <c r="F326" i="1"/>
  <c r="G326" i="1"/>
  <c r="H326" i="1"/>
  <c r="I326" i="1"/>
  <c r="J326" i="1"/>
  <c r="K326" i="1"/>
  <c r="L326" i="1"/>
  <c r="N326" i="1"/>
  <c r="O326" i="1"/>
  <c r="P326" i="1"/>
  <c r="Q326" i="1"/>
  <c r="R326" i="1"/>
  <c r="S326" i="1"/>
  <c r="T326" i="1"/>
  <c r="U326" i="1"/>
  <c r="V326" i="1"/>
  <c r="Y326" i="1"/>
  <c r="B327" i="1"/>
  <c r="D327" i="1"/>
  <c r="E327" i="1"/>
  <c r="F327" i="1"/>
  <c r="G327" i="1"/>
  <c r="H327" i="1"/>
  <c r="I327" i="1"/>
  <c r="J327" i="1"/>
  <c r="K327" i="1"/>
  <c r="L327" i="1"/>
  <c r="N327" i="1"/>
  <c r="O327" i="1"/>
  <c r="P327" i="1"/>
  <c r="Q327" i="1"/>
  <c r="R327" i="1"/>
  <c r="S327" i="1"/>
  <c r="T327" i="1"/>
  <c r="U327" i="1"/>
  <c r="V327" i="1"/>
  <c r="Y327" i="1"/>
  <c r="B328" i="1"/>
  <c r="D328" i="1"/>
  <c r="E328" i="1"/>
  <c r="F328" i="1"/>
  <c r="G328" i="1"/>
  <c r="H328" i="1"/>
  <c r="I328" i="1"/>
  <c r="J328" i="1"/>
  <c r="K328" i="1"/>
  <c r="L328" i="1"/>
  <c r="N328" i="1"/>
  <c r="O328" i="1"/>
  <c r="P328" i="1"/>
  <c r="Q328" i="1"/>
  <c r="R328" i="1"/>
  <c r="S328" i="1"/>
  <c r="T328" i="1"/>
  <c r="U328" i="1"/>
  <c r="V328" i="1"/>
  <c r="Y328" i="1"/>
  <c r="B329" i="1"/>
  <c r="D329" i="1"/>
  <c r="E329" i="1"/>
  <c r="F329" i="1"/>
  <c r="G329" i="1"/>
  <c r="H329" i="1"/>
  <c r="I329" i="1"/>
  <c r="J329" i="1"/>
  <c r="K329" i="1"/>
  <c r="L329" i="1"/>
  <c r="N329" i="1"/>
  <c r="O329" i="1"/>
  <c r="P329" i="1"/>
  <c r="Q329" i="1"/>
  <c r="R329" i="1"/>
  <c r="S329" i="1"/>
  <c r="T329" i="1"/>
  <c r="U329" i="1"/>
  <c r="V329" i="1"/>
  <c r="Y329" i="1"/>
  <c r="B330" i="1"/>
  <c r="D330" i="1"/>
  <c r="E330" i="1"/>
  <c r="F330" i="1"/>
  <c r="G330" i="1"/>
  <c r="H330" i="1"/>
  <c r="I330" i="1"/>
  <c r="J330" i="1"/>
  <c r="K330" i="1"/>
  <c r="L330" i="1"/>
  <c r="N330" i="1"/>
  <c r="O330" i="1"/>
  <c r="P330" i="1"/>
  <c r="Q330" i="1"/>
  <c r="R330" i="1"/>
  <c r="S330" i="1"/>
  <c r="T330" i="1"/>
  <c r="U330" i="1"/>
  <c r="V330" i="1"/>
  <c r="Y330" i="1"/>
  <c r="B331" i="1"/>
  <c r="D331" i="1"/>
  <c r="E331" i="1"/>
  <c r="F331" i="1"/>
  <c r="G331" i="1"/>
  <c r="H331" i="1"/>
  <c r="I331" i="1"/>
  <c r="J331" i="1"/>
  <c r="K331" i="1"/>
  <c r="L331" i="1"/>
  <c r="N331" i="1"/>
  <c r="O331" i="1"/>
  <c r="P331" i="1"/>
  <c r="Q331" i="1"/>
  <c r="R331" i="1"/>
  <c r="S331" i="1"/>
  <c r="T331" i="1"/>
  <c r="U331" i="1"/>
  <c r="V331" i="1"/>
  <c r="Y331" i="1"/>
  <c r="B332" i="1"/>
  <c r="D332" i="1"/>
  <c r="E332" i="1"/>
  <c r="F332" i="1"/>
  <c r="G332" i="1"/>
  <c r="H332" i="1"/>
  <c r="I332" i="1"/>
  <c r="J332" i="1"/>
  <c r="K332" i="1"/>
  <c r="L332" i="1"/>
  <c r="N332" i="1"/>
  <c r="O332" i="1"/>
  <c r="P332" i="1"/>
  <c r="Q332" i="1"/>
  <c r="R332" i="1"/>
  <c r="S332" i="1"/>
  <c r="T332" i="1"/>
  <c r="U332" i="1"/>
  <c r="V332" i="1"/>
  <c r="Y332" i="1"/>
  <c r="B333" i="1"/>
  <c r="D333" i="1"/>
  <c r="E333" i="1"/>
  <c r="F333" i="1"/>
  <c r="G333" i="1"/>
  <c r="H333" i="1"/>
  <c r="I333" i="1"/>
  <c r="J333" i="1"/>
  <c r="K333" i="1"/>
  <c r="L333" i="1"/>
  <c r="N333" i="1"/>
  <c r="O333" i="1"/>
  <c r="P333" i="1"/>
  <c r="Q333" i="1"/>
  <c r="R333" i="1"/>
  <c r="S333" i="1"/>
  <c r="T333" i="1"/>
  <c r="U333" i="1"/>
  <c r="V333" i="1"/>
  <c r="Y333" i="1"/>
  <c r="B334" i="1"/>
  <c r="D334" i="1"/>
  <c r="E334" i="1"/>
  <c r="F334" i="1"/>
  <c r="G334" i="1"/>
  <c r="H334" i="1"/>
  <c r="I334" i="1"/>
  <c r="J334" i="1"/>
  <c r="K334" i="1"/>
  <c r="L334" i="1"/>
  <c r="N334" i="1"/>
  <c r="O334" i="1"/>
  <c r="P334" i="1"/>
  <c r="Q334" i="1"/>
  <c r="R334" i="1"/>
  <c r="S334" i="1"/>
  <c r="T334" i="1"/>
  <c r="U334" i="1"/>
  <c r="V334" i="1"/>
  <c r="Y334" i="1"/>
  <c r="B335" i="1"/>
  <c r="D335" i="1"/>
  <c r="E335" i="1"/>
  <c r="F335" i="1"/>
  <c r="G335" i="1"/>
  <c r="H335" i="1"/>
  <c r="I335" i="1"/>
  <c r="J335" i="1"/>
  <c r="K335" i="1"/>
  <c r="L335" i="1"/>
  <c r="N335" i="1"/>
  <c r="O335" i="1"/>
  <c r="P335" i="1"/>
  <c r="Q335" i="1"/>
  <c r="R335" i="1"/>
  <c r="S335" i="1"/>
  <c r="T335" i="1"/>
  <c r="U335" i="1"/>
  <c r="V335" i="1"/>
  <c r="Y335" i="1"/>
  <c r="B336" i="1"/>
  <c r="D336" i="1"/>
  <c r="E336" i="1"/>
  <c r="F336" i="1"/>
  <c r="G336" i="1"/>
  <c r="H336" i="1"/>
  <c r="I336" i="1"/>
  <c r="J336" i="1"/>
  <c r="K336" i="1"/>
  <c r="L336" i="1"/>
  <c r="N336" i="1"/>
  <c r="O336" i="1"/>
  <c r="P336" i="1"/>
  <c r="Q336" i="1"/>
  <c r="R336" i="1"/>
  <c r="S336" i="1"/>
  <c r="T336" i="1"/>
  <c r="U336" i="1"/>
  <c r="V336" i="1"/>
  <c r="Y336" i="1"/>
  <c r="B337" i="1"/>
  <c r="D337" i="1"/>
  <c r="E337" i="1"/>
  <c r="F337" i="1"/>
  <c r="G337" i="1"/>
  <c r="H337" i="1"/>
  <c r="I337" i="1"/>
  <c r="J337" i="1"/>
  <c r="K337" i="1"/>
  <c r="L337" i="1"/>
  <c r="N337" i="1"/>
  <c r="O337" i="1"/>
  <c r="P337" i="1"/>
  <c r="Q337" i="1"/>
  <c r="R337" i="1"/>
  <c r="S337" i="1"/>
  <c r="T337" i="1"/>
  <c r="U337" i="1"/>
  <c r="V337" i="1"/>
  <c r="Y337" i="1"/>
  <c r="B338" i="1"/>
  <c r="D338" i="1"/>
  <c r="E338" i="1"/>
  <c r="F338" i="1"/>
  <c r="G338" i="1"/>
  <c r="H338" i="1"/>
  <c r="I338" i="1"/>
  <c r="J338" i="1"/>
  <c r="K338" i="1"/>
  <c r="L338" i="1"/>
  <c r="N338" i="1"/>
  <c r="O338" i="1"/>
  <c r="P338" i="1"/>
  <c r="Q338" i="1"/>
  <c r="R338" i="1"/>
  <c r="S338" i="1"/>
  <c r="T338" i="1"/>
  <c r="U338" i="1"/>
  <c r="V338" i="1"/>
  <c r="Y338" i="1"/>
  <c r="B339" i="1"/>
  <c r="D339" i="1"/>
  <c r="E339" i="1"/>
  <c r="F339" i="1"/>
  <c r="G339" i="1"/>
  <c r="H339" i="1"/>
  <c r="I339" i="1"/>
  <c r="J339" i="1"/>
  <c r="K339" i="1"/>
  <c r="L339" i="1"/>
  <c r="N339" i="1"/>
  <c r="O339" i="1"/>
  <c r="P339" i="1"/>
  <c r="Q339" i="1"/>
  <c r="R339" i="1"/>
  <c r="S339" i="1"/>
  <c r="T339" i="1"/>
  <c r="U339" i="1"/>
  <c r="V339" i="1"/>
  <c r="Y339" i="1"/>
  <c r="B340" i="1"/>
  <c r="D340" i="1"/>
  <c r="E340" i="1"/>
  <c r="F340" i="1"/>
  <c r="G340" i="1"/>
  <c r="H340" i="1"/>
  <c r="I340" i="1"/>
  <c r="J340" i="1"/>
  <c r="K340" i="1"/>
  <c r="L340" i="1"/>
  <c r="N340" i="1"/>
  <c r="O340" i="1"/>
  <c r="P340" i="1"/>
  <c r="Q340" i="1"/>
  <c r="R340" i="1"/>
  <c r="S340" i="1"/>
  <c r="T340" i="1"/>
  <c r="U340" i="1"/>
  <c r="V340" i="1"/>
  <c r="Y340" i="1"/>
  <c r="B341" i="1"/>
  <c r="D341" i="1"/>
  <c r="E341" i="1"/>
  <c r="F341" i="1"/>
  <c r="G341" i="1"/>
  <c r="H341" i="1"/>
  <c r="I341" i="1"/>
  <c r="J341" i="1"/>
  <c r="K341" i="1"/>
  <c r="L341" i="1"/>
  <c r="N341" i="1"/>
  <c r="O341" i="1"/>
  <c r="P341" i="1"/>
  <c r="Q341" i="1"/>
  <c r="R341" i="1"/>
  <c r="S341" i="1"/>
  <c r="T341" i="1"/>
  <c r="U341" i="1"/>
  <c r="V341" i="1"/>
  <c r="Y341" i="1"/>
  <c r="B342" i="1"/>
  <c r="D342" i="1"/>
  <c r="E342" i="1"/>
  <c r="F342" i="1"/>
  <c r="G342" i="1"/>
  <c r="H342" i="1"/>
  <c r="I342" i="1"/>
  <c r="J342" i="1"/>
  <c r="K342" i="1"/>
  <c r="L342" i="1"/>
  <c r="N342" i="1"/>
  <c r="O342" i="1"/>
  <c r="P342" i="1"/>
  <c r="Q342" i="1"/>
  <c r="R342" i="1"/>
  <c r="S342" i="1"/>
  <c r="T342" i="1"/>
  <c r="U342" i="1"/>
  <c r="V342" i="1"/>
  <c r="Y342" i="1"/>
  <c r="B343" i="1"/>
  <c r="D343" i="1"/>
  <c r="E343" i="1"/>
  <c r="F343" i="1"/>
  <c r="G343" i="1"/>
  <c r="H343" i="1"/>
  <c r="I343" i="1"/>
  <c r="J343" i="1"/>
  <c r="K343" i="1"/>
  <c r="L343" i="1"/>
  <c r="N343" i="1"/>
  <c r="O343" i="1"/>
  <c r="P343" i="1"/>
  <c r="Q343" i="1"/>
  <c r="R343" i="1"/>
  <c r="S343" i="1"/>
  <c r="T343" i="1"/>
  <c r="U343" i="1"/>
  <c r="V343" i="1"/>
  <c r="Y343" i="1"/>
  <c r="B344" i="1"/>
  <c r="D344" i="1"/>
  <c r="E344" i="1"/>
  <c r="F344" i="1"/>
  <c r="G344" i="1"/>
  <c r="H344" i="1"/>
  <c r="I344" i="1"/>
  <c r="J344" i="1"/>
  <c r="K344" i="1"/>
  <c r="L344" i="1"/>
  <c r="N344" i="1"/>
  <c r="O344" i="1"/>
  <c r="P344" i="1"/>
  <c r="Q344" i="1"/>
  <c r="R344" i="1"/>
  <c r="S344" i="1"/>
  <c r="T344" i="1"/>
  <c r="U344" i="1"/>
  <c r="V344" i="1"/>
  <c r="Y344" i="1"/>
  <c r="B345" i="1"/>
  <c r="D345" i="1"/>
  <c r="E345" i="1"/>
  <c r="F345" i="1"/>
  <c r="G345" i="1"/>
  <c r="H345" i="1"/>
  <c r="I345" i="1"/>
  <c r="J345" i="1"/>
  <c r="K345" i="1"/>
  <c r="L345" i="1"/>
  <c r="N345" i="1"/>
  <c r="O345" i="1"/>
  <c r="P345" i="1"/>
  <c r="Q345" i="1"/>
  <c r="R345" i="1"/>
  <c r="S345" i="1"/>
  <c r="T345" i="1"/>
  <c r="U345" i="1"/>
  <c r="V345" i="1"/>
  <c r="Y345" i="1"/>
  <c r="B346" i="1"/>
  <c r="D346" i="1"/>
  <c r="E346" i="1"/>
  <c r="F346" i="1"/>
  <c r="G346" i="1"/>
  <c r="H346" i="1"/>
  <c r="I346" i="1"/>
  <c r="J346" i="1"/>
  <c r="K346" i="1"/>
  <c r="L346" i="1"/>
  <c r="N346" i="1"/>
  <c r="O346" i="1"/>
  <c r="P346" i="1"/>
  <c r="Q346" i="1"/>
  <c r="R346" i="1"/>
  <c r="S346" i="1"/>
  <c r="T346" i="1"/>
  <c r="U346" i="1"/>
  <c r="V346" i="1"/>
  <c r="Y346" i="1"/>
  <c r="B347" i="1"/>
  <c r="D347" i="1"/>
  <c r="E347" i="1"/>
  <c r="F347" i="1"/>
  <c r="G347" i="1"/>
  <c r="H347" i="1"/>
  <c r="I347" i="1"/>
  <c r="J347" i="1"/>
  <c r="K347" i="1"/>
  <c r="L347" i="1"/>
  <c r="N347" i="1"/>
  <c r="O347" i="1"/>
  <c r="P347" i="1"/>
  <c r="Q347" i="1"/>
  <c r="R347" i="1"/>
  <c r="S347" i="1"/>
  <c r="T347" i="1"/>
  <c r="U347" i="1"/>
  <c r="V347" i="1"/>
  <c r="Y347" i="1"/>
  <c r="B348" i="1"/>
  <c r="D348" i="1"/>
  <c r="E348" i="1"/>
  <c r="F348" i="1"/>
  <c r="G348" i="1"/>
  <c r="H348" i="1"/>
  <c r="I348" i="1"/>
  <c r="J348" i="1"/>
  <c r="K348" i="1"/>
  <c r="L348" i="1"/>
  <c r="N348" i="1"/>
  <c r="O348" i="1"/>
  <c r="P348" i="1"/>
  <c r="Q348" i="1"/>
  <c r="R348" i="1"/>
  <c r="S348" i="1"/>
  <c r="T348" i="1"/>
  <c r="U348" i="1"/>
  <c r="V348" i="1"/>
  <c r="Y348" i="1"/>
  <c r="B349" i="1"/>
  <c r="D349" i="1"/>
  <c r="E349" i="1"/>
  <c r="F349" i="1"/>
  <c r="G349" i="1"/>
  <c r="H349" i="1"/>
  <c r="I349" i="1"/>
  <c r="J349" i="1"/>
  <c r="K349" i="1"/>
  <c r="L349" i="1"/>
  <c r="N349" i="1"/>
  <c r="O349" i="1"/>
  <c r="P349" i="1"/>
  <c r="Q349" i="1"/>
  <c r="R349" i="1"/>
  <c r="S349" i="1"/>
  <c r="T349" i="1"/>
  <c r="U349" i="1"/>
  <c r="V349" i="1"/>
  <c r="Y349" i="1"/>
  <c r="B350" i="1"/>
  <c r="D350" i="1"/>
  <c r="E350" i="1"/>
  <c r="F350" i="1"/>
  <c r="G350" i="1"/>
  <c r="H350" i="1"/>
  <c r="I350" i="1"/>
  <c r="J350" i="1"/>
  <c r="K350" i="1"/>
  <c r="L350" i="1"/>
  <c r="N350" i="1"/>
  <c r="O350" i="1"/>
  <c r="P350" i="1"/>
  <c r="Q350" i="1"/>
  <c r="R350" i="1"/>
  <c r="S350" i="1"/>
  <c r="T350" i="1"/>
  <c r="U350" i="1"/>
  <c r="V350" i="1"/>
  <c r="Y350" i="1"/>
  <c r="B351" i="1"/>
  <c r="D351" i="1"/>
  <c r="E351" i="1"/>
  <c r="F351" i="1"/>
  <c r="G351" i="1"/>
  <c r="H351" i="1"/>
  <c r="I351" i="1"/>
  <c r="J351" i="1"/>
  <c r="K351" i="1"/>
  <c r="L351" i="1"/>
  <c r="N351" i="1"/>
  <c r="O351" i="1"/>
  <c r="P351" i="1"/>
  <c r="Q351" i="1"/>
  <c r="R351" i="1"/>
  <c r="S351" i="1"/>
  <c r="T351" i="1"/>
  <c r="U351" i="1"/>
  <c r="V351" i="1"/>
  <c r="Y351" i="1"/>
  <c r="B352" i="1"/>
  <c r="D352" i="1"/>
  <c r="E352" i="1"/>
  <c r="F352" i="1"/>
  <c r="G352" i="1"/>
  <c r="H352" i="1"/>
  <c r="I352" i="1"/>
  <c r="J352" i="1"/>
  <c r="K352" i="1"/>
  <c r="L352" i="1"/>
  <c r="N352" i="1"/>
  <c r="O352" i="1"/>
  <c r="P352" i="1"/>
  <c r="Q352" i="1"/>
  <c r="R352" i="1"/>
  <c r="S352" i="1"/>
  <c r="T352" i="1"/>
  <c r="U352" i="1"/>
  <c r="V352" i="1"/>
  <c r="Y352" i="1"/>
  <c r="B353" i="1"/>
  <c r="D353" i="1"/>
  <c r="E353" i="1"/>
  <c r="F353" i="1"/>
  <c r="G353" i="1"/>
  <c r="H353" i="1"/>
  <c r="I353" i="1"/>
  <c r="J353" i="1"/>
  <c r="K353" i="1"/>
  <c r="L353" i="1"/>
  <c r="N353" i="1"/>
  <c r="O353" i="1"/>
  <c r="P353" i="1"/>
  <c r="Q353" i="1"/>
  <c r="R353" i="1"/>
  <c r="S353" i="1"/>
  <c r="T353" i="1"/>
  <c r="U353" i="1"/>
  <c r="V353" i="1"/>
  <c r="Y353" i="1"/>
  <c r="B354" i="1"/>
  <c r="D354" i="1"/>
  <c r="E354" i="1"/>
  <c r="F354" i="1"/>
  <c r="G354" i="1"/>
  <c r="H354" i="1"/>
  <c r="I354" i="1"/>
  <c r="J354" i="1"/>
  <c r="K354" i="1"/>
  <c r="L354" i="1"/>
  <c r="N354" i="1"/>
  <c r="O354" i="1"/>
  <c r="P354" i="1"/>
  <c r="Q354" i="1"/>
  <c r="R354" i="1"/>
  <c r="S354" i="1"/>
  <c r="T354" i="1"/>
  <c r="U354" i="1"/>
  <c r="V354" i="1"/>
  <c r="Y354" i="1"/>
  <c r="B355" i="1"/>
  <c r="D355" i="1"/>
  <c r="E355" i="1"/>
  <c r="F355" i="1"/>
  <c r="G355" i="1"/>
  <c r="H355" i="1"/>
  <c r="I355" i="1"/>
  <c r="J355" i="1"/>
  <c r="K355" i="1"/>
  <c r="L355" i="1"/>
  <c r="N355" i="1"/>
  <c r="O355" i="1"/>
  <c r="P355" i="1"/>
  <c r="Q355" i="1"/>
  <c r="R355" i="1"/>
  <c r="S355" i="1"/>
  <c r="T355" i="1"/>
  <c r="U355" i="1"/>
  <c r="V355" i="1"/>
  <c r="Y355" i="1"/>
  <c r="B356" i="1"/>
  <c r="D356" i="1"/>
  <c r="E356" i="1"/>
  <c r="F356" i="1"/>
  <c r="G356" i="1"/>
  <c r="H356" i="1"/>
  <c r="I356" i="1"/>
  <c r="J356" i="1"/>
  <c r="K356" i="1"/>
  <c r="L356" i="1"/>
  <c r="N356" i="1"/>
  <c r="O356" i="1"/>
  <c r="P356" i="1"/>
  <c r="Q356" i="1"/>
  <c r="R356" i="1"/>
  <c r="S356" i="1"/>
  <c r="T356" i="1"/>
  <c r="U356" i="1"/>
  <c r="V356" i="1"/>
  <c r="Y356" i="1"/>
  <c r="B357" i="1"/>
  <c r="D357" i="1"/>
  <c r="E357" i="1"/>
  <c r="F357" i="1"/>
  <c r="G357" i="1"/>
  <c r="H357" i="1"/>
  <c r="I357" i="1"/>
  <c r="J357" i="1"/>
  <c r="K357" i="1"/>
  <c r="L357" i="1"/>
  <c r="N357" i="1"/>
  <c r="O357" i="1"/>
  <c r="P357" i="1"/>
  <c r="Q357" i="1"/>
  <c r="R357" i="1"/>
  <c r="S357" i="1"/>
  <c r="T357" i="1"/>
  <c r="U357" i="1"/>
  <c r="V357" i="1"/>
  <c r="Y357" i="1"/>
  <c r="B358" i="1"/>
  <c r="D358" i="1"/>
  <c r="E358" i="1"/>
  <c r="F358" i="1"/>
  <c r="G358" i="1"/>
  <c r="H358" i="1"/>
  <c r="I358" i="1"/>
  <c r="J358" i="1"/>
  <c r="K358" i="1"/>
  <c r="L358" i="1"/>
  <c r="N358" i="1"/>
  <c r="O358" i="1"/>
  <c r="P358" i="1"/>
  <c r="Q358" i="1"/>
  <c r="R358" i="1"/>
  <c r="S358" i="1"/>
  <c r="T358" i="1"/>
  <c r="U358" i="1"/>
  <c r="V358" i="1"/>
  <c r="Y358" i="1"/>
  <c r="B359" i="1"/>
  <c r="D359" i="1"/>
  <c r="E359" i="1"/>
  <c r="F359" i="1"/>
  <c r="G359" i="1"/>
  <c r="H359" i="1"/>
  <c r="I359" i="1"/>
  <c r="J359" i="1"/>
  <c r="K359" i="1"/>
  <c r="L359" i="1"/>
  <c r="N359" i="1"/>
  <c r="O359" i="1"/>
  <c r="P359" i="1"/>
  <c r="Q359" i="1"/>
  <c r="R359" i="1"/>
  <c r="S359" i="1"/>
  <c r="T359" i="1"/>
  <c r="U359" i="1"/>
  <c r="V359" i="1"/>
  <c r="Y359" i="1"/>
  <c r="B360" i="1"/>
  <c r="D360" i="1"/>
  <c r="E360" i="1"/>
  <c r="F360" i="1"/>
  <c r="G360" i="1"/>
  <c r="H360" i="1"/>
  <c r="I360" i="1"/>
  <c r="J360" i="1"/>
  <c r="K360" i="1"/>
  <c r="L360" i="1"/>
  <c r="N360" i="1"/>
  <c r="O360" i="1"/>
  <c r="P360" i="1"/>
  <c r="Q360" i="1"/>
  <c r="R360" i="1"/>
  <c r="S360" i="1"/>
  <c r="T360" i="1"/>
  <c r="U360" i="1"/>
  <c r="V360" i="1"/>
  <c r="Y360" i="1"/>
  <c r="B361" i="1"/>
  <c r="D361" i="1"/>
  <c r="E361" i="1"/>
  <c r="F361" i="1"/>
  <c r="G361" i="1"/>
  <c r="H361" i="1"/>
  <c r="I361" i="1"/>
  <c r="J361" i="1"/>
  <c r="K361" i="1"/>
  <c r="L361" i="1"/>
  <c r="N361" i="1"/>
  <c r="O361" i="1"/>
  <c r="P361" i="1"/>
  <c r="Q361" i="1"/>
  <c r="R361" i="1"/>
  <c r="S361" i="1"/>
  <c r="T361" i="1"/>
  <c r="U361" i="1"/>
  <c r="V361" i="1"/>
  <c r="Y361" i="1"/>
  <c r="B362" i="1"/>
  <c r="D362" i="1"/>
  <c r="E362" i="1"/>
  <c r="F362" i="1"/>
  <c r="G362" i="1"/>
  <c r="H362" i="1"/>
  <c r="I362" i="1"/>
  <c r="J362" i="1"/>
  <c r="K362" i="1"/>
  <c r="L362" i="1"/>
  <c r="N362" i="1"/>
  <c r="O362" i="1"/>
  <c r="P362" i="1"/>
  <c r="Q362" i="1"/>
  <c r="R362" i="1"/>
  <c r="S362" i="1"/>
  <c r="T362" i="1"/>
  <c r="U362" i="1"/>
  <c r="V362" i="1"/>
  <c r="Y362" i="1"/>
  <c r="B363" i="1"/>
  <c r="D363" i="1"/>
  <c r="E363" i="1"/>
  <c r="F363" i="1"/>
  <c r="G363" i="1"/>
  <c r="H363" i="1"/>
  <c r="I363" i="1"/>
  <c r="J363" i="1"/>
  <c r="K363" i="1"/>
  <c r="L363" i="1"/>
  <c r="N363" i="1"/>
  <c r="O363" i="1"/>
  <c r="P363" i="1"/>
  <c r="Q363" i="1"/>
  <c r="R363" i="1"/>
  <c r="S363" i="1"/>
  <c r="T363" i="1"/>
  <c r="U363" i="1"/>
  <c r="V363" i="1"/>
  <c r="Y363" i="1"/>
  <c r="B364" i="1"/>
  <c r="D364" i="1"/>
  <c r="E364" i="1"/>
  <c r="F364" i="1"/>
  <c r="G364" i="1"/>
  <c r="H364" i="1"/>
  <c r="I364" i="1"/>
  <c r="J364" i="1"/>
  <c r="K364" i="1"/>
  <c r="L364" i="1"/>
  <c r="N364" i="1"/>
  <c r="O364" i="1"/>
  <c r="P364" i="1"/>
  <c r="Q364" i="1"/>
  <c r="R364" i="1"/>
  <c r="S364" i="1"/>
  <c r="T364" i="1"/>
  <c r="U364" i="1"/>
  <c r="V364" i="1"/>
  <c r="Y364" i="1"/>
  <c r="B365" i="1"/>
  <c r="D365" i="1"/>
  <c r="E365" i="1"/>
  <c r="F365" i="1"/>
  <c r="G365" i="1"/>
  <c r="H365" i="1"/>
  <c r="I365" i="1"/>
  <c r="J365" i="1"/>
  <c r="K365" i="1"/>
  <c r="L365" i="1"/>
  <c r="N365" i="1"/>
  <c r="O365" i="1"/>
  <c r="P365" i="1"/>
  <c r="Q365" i="1"/>
  <c r="R365" i="1"/>
  <c r="S365" i="1"/>
  <c r="T365" i="1"/>
  <c r="U365" i="1"/>
  <c r="V365" i="1"/>
  <c r="Y365" i="1"/>
  <c r="B366" i="1"/>
  <c r="D366" i="1"/>
  <c r="E366" i="1"/>
  <c r="F366" i="1"/>
  <c r="G366" i="1"/>
  <c r="H366" i="1"/>
  <c r="I366" i="1"/>
  <c r="J366" i="1"/>
  <c r="K366" i="1"/>
  <c r="L366" i="1"/>
  <c r="N366" i="1"/>
  <c r="O366" i="1"/>
  <c r="P366" i="1"/>
  <c r="Q366" i="1"/>
  <c r="R366" i="1"/>
  <c r="S366" i="1"/>
  <c r="T366" i="1"/>
  <c r="U366" i="1"/>
  <c r="V366" i="1"/>
  <c r="Y366" i="1"/>
  <c r="B367" i="1"/>
  <c r="D367" i="1"/>
  <c r="E367" i="1"/>
  <c r="F367" i="1"/>
  <c r="G367" i="1"/>
  <c r="H367" i="1"/>
  <c r="I367" i="1"/>
  <c r="J367" i="1"/>
  <c r="K367" i="1"/>
  <c r="L367" i="1"/>
  <c r="N367" i="1"/>
  <c r="O367" i="1"/>
  <c r="P367" i="1"/>
  <c r="Q367" i="1"/>
  <c r="R367" i="1"/>
  <c r="S367" i="1"/>
  <c r="T367" i="1"/>
  <c r="U367" i="1"/>
  <c r="V367" i="1"/>
  <c r="Y367" i="1"/>
  <c r="B368" i="1"/>
  <c r="D368" i="1"/>
  <c r="E368" i="1"/>
  <c r="F368" i="1"/>
  <c r="G368" i="1"/>
  <c r="H368" i="1"/>
  <c r="I368" i="1"/>
  <c r="J368" i="1"/>
  <c r="K368" i="1"/>
  <c r="L368" i="1"/>
  <c r="N368" i="1"/>
  <c r="O368" i="1"/>
  <c r="P368" i="1"/>
  <c r="Q368" i="1"/>
  <c r="R368" i="1"/>
  <c r="S368" i="1"/>
  <c r="T368" i="1"/>
  <c r="U368" i="1"/>
  <c r="V368" i="1"/>
  <c r="Y368" i="1"/>
  <c r="B369" i="1"/>
  <c r="D369" i="1"/>
  <c r="E369" i="1"/>
  <c r="F369" i="1"/>
  <c r="G369" i="1"/>
  <c r="H369" i="1"/>
  <c r="I369" i="1"/>
  <c r="J369" i="1"/>
  <c r="K369" i="1"/>
  <c r="L369" i="1"/>
  <c r="N369" i="1"/>
  <c r="O369" i="1"/>
  <c r="P369" i="1"/>
  <c r="Q369" i="1"/>
  <c r="R369" i="1"/>
  <c r="S369" i="1"/>
  <c r="T369" i="1"/>
  <c r="U369" i="1"/>
  <c r="V369" i="1"/>
  <c r="Y369" i="1"/>
  <c r="B370" i="1"/>
  <c r="D370" i="1"/>
  <c r="E370" i="1"/>
  <c r="F370" i="1"/>
  <c r="G370" i="1"/>
  <c r="H370" i="1"/>
  <c r="I370" i="1"/>
  <c r="J370" i="1"/>
  <c r="K370" i="1"/>
  <c r="L370" i="1"/>
  <c r="N370" i="1"/>
  <c r="O370" i="1"/>
  <c r="P370" i="1"/>
  <c r="Q370" i="1"/>
  <c r="R370" i="1"/>
  <c r="S370" i="1"/>
  <c r="T370" i="1"/>
  <c r="U370" i="1"/>
  <c r="V370" i="1"/>
  <c r="Y370" i="1"/>
  <c r="B371" i="1"/>
  <c r="D371" i="1"/>
  <c r="E371" i="1"/>
  <c r="F371" i="1"/>
  <c r="G371" i="1"/>
  <c r="H371" i="1"/>
  <c r="I371" i="1"/>
  <c r="J371" i="1"/>
  <c r="K371" i="1"/>
  <c r="L371" i="1"/>
  <c r="N371" i="1"/>
  <c r="O371" i="1"/>
  <c r="P371" i="1"/>
  <c r="Q371" i="1"/>
  <c r="R371" i="1"/>
  <c r="S371" i="1"/>
  <c r="T371" i="1"/>
  <c r="U371" i="1"/>
  <c r="V371" i="1"/>
  <c r="Y371" i="1"/>
  <c r="B372" i="1"/>
  <c r="D372" i="1"/>
  <c r="E372" i="1"/>
  <c r="F372" i="1"/>
  <c r="G372" i="1"/>
  <c r="H372" i="1"/>
  <c r="I372" i="1"/>
  <c r="J372" i="1"/>
  <c r="K372" i="1"/>
  <c r="L372" i="1"/>
  <c r="N372" i="1"/>
  <c r="O372" i="1"/>
  <c r="P372" i="1"/>
  <c r="Q372" i="1"/>
  <c r="R372" i="1"/>
  <c r="S372" i="1"/>
  <c r="T372" i="1"/>
  <c r="U372" i="1"/>
  <c r="V372" i="1"/>
  <c r="Y372" i="1"/>
  <c r="B373" i="1"/>
  <c r="D373" i="1"/>
  <c r="E373" i="1"/>
  <c r="F373" i="1"/>
  <c r="G373" i="1"/>
  <c r="H373" i="1"/>
  <c r="I373" i="1"/>
  <c r="J373" i="1"/>
  <c r="K373" i="1"/>
  <c r="L373" i="1"/>
  <c r="N373" i="1"/>
  <c r="O373" i="1"/>
  <c r="P373" i="1"/>
  <c r="Q373" i="1"/>
  <c r="R373" i="1"/>
  <c r="S373" i="1"/>
  <c r="T373" i="1"/>
  <c r="U373" i="1"/>
  <c r="V373" i="1"/>
  <c r="Y373" i="1"/>
  <c r="B374" i="1"/>
  <c r="D374" i="1"/>
  <c r="E374" i="1"/>
  <c r="F374" i="1"/>
  <c r="G374" i="1"/>
  <c r="H374" i="1"/>
  <c r="I374" i="1"/>
  <c r="J374" i="1"/>
  <c r="K374" i="1"/>
  <c r="L374" i="1"/>
  <c r="N374" i="1"/>
  <c r="O374" i="1"/>
  <c r="P374" i="1"/>
  <c r="Q374" i="1"/>
  <c r="R374" i="1"/>
  <c r="S374" i="1"/>
  <c r="T374" i="1"/>
  <c r="U374" i="1"/>
  <c r="V374" i="1"/>
  <c r="Y374" i="1"/>
  <c r="B375" i="1"/>
  <c r="D375" i="1"/>
  <c r="E375" i="1"/>
  <c r="F375" i="1"/>
  <c r="G375" i="1"/>
  <c r="H375" i="1"/>
  <c r="I375" i="1"/>
  <c r="J375" i="1"/>
  <c r="K375" i="1"/>
  <c r="L375" i="1"/>
  <c r="N375" i="1"/>
  <c r="O375" i="1"/>
  <c r="P375" i="1"/>
  <c r="Q375" i="1"/>
  <c r="R375" i="1"/>
  <c r="S375" i="1"/>
  <c r="T375" i="1"/>
  <c r="U375" i="1"/>
  <c r="V375" i="1"/>
  <c r="Y375" i="1"/>
  <c r="B376" i="1"/>
  <c r="D376" i="1"/>
  <c r="E376" i="1"/>
  <c r="F376" i="1"/>
  <c r="G376" i="1"/>
  <c r="H376" i="1"/>
  <c r="I376" i="1"/>
  <c r="J376" i="1"/>
  <c r="K376" i="1"/>
  <c r="L376" i="1"/>
  <c r="N376" i="1"/>
  <c r="O376" i="1"/>
  <c r="P376" i="1"/>
  <c r="Q376" i="1"/>
  <c r="R376" i="1"/>
  <c r="S376" i="1"/>
  <c r="T376" i="1"/>
  <c r="U376" i="1"/>
  <c r="V376" i="1"/>
  <c r="Y376" i="1"/>
  <c r="B377" i="1"/>
  <c r="D377" i="1"/>
  <c r="E377" i="1"/>
  <c r="F377" i="1"/>
  <c r="G377" i="1"/>
  <c r="H377" i="1"/>
  <c r="I377" i="1"/>
  <c r="J377" i="1"/>
  <c r="K377" i="1"/>
  <c r="L377" i="1"/>
  <c r="N377" i="1"/>
  <c r="O377" i="1"/>
  <c r="P377" i="1"/>
  <c r="Q377" i="1"/>
  <c r="R377" i="1"/>
  <c r="S377" i="1"/>
  <c r="T377" i="1"/>
  <c r="U377" i="1"/>
  <c r="V377" i="1"/>
  <c r="Y3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7"/>
  <sheetViews>
    <sheetView tabSelected="1" topLeftCell="E1" workbookViewId="0">
      <selection activeCell="W1" sqref="W1:Y1"/>
    </sheetView>
  </sheetViews>
  <sheetFormatPr defaultRowHeight="15" x14ac:dyDescent="0.25"/>
  <cols>
    <col min="4" max="4" width="41.7109375" customWidth="1"/>
    <col min="5" max="5" width="15.85546875" customWidth="1"/>
    <col min="6" max="6" width="21" customWidth="1"/>
    <col min="9" max="9" width="16.42578125" customWidth="1"/>
    <col min="10" max="10" width="10.28515625" customWidth="1"/>
    <col min="11" max="11" width="17.85546875" customWidth="1"/>
    <col min="12" max="12" width="16" customWidth="1"/>
  </cols>
  <sheetData>
    <row r="1" spans="1:25" x14ac:dyDescent="0.25">
      <c r="A1" s="1" t="str">
        <f>"city_id"</f>
        <v>city_id</v>
      </c>
      <c r="B1" s="2" t="str">
        <f>"city_name"</f>
        <v>city_name</v>
      </c>
      <c r="C1" s="1" t="str">
        <f>"eqm_id"</f>
        <v>eqm_id</v>
      </c>
      <c r="D1" s="2" t="str">
        <f>"cross_name"</f>
        <v>cross_name</v>
      </c>
      <c r="E1" s="2" t="str">
        <f>"crs_type_name"</f>
        <v>crs_type_name</v>
      </c>
      <c r="F1" t="str">
        <f>"create_date"</f>
        <v>create_date</v>
      </c>
      <c r="G1" t="str">
        <f>"remark"</f>
        <v>remark</v>
      </c>
      <c r="H1" s="2" t="str">
        <f>"name_new"</f>
        <v>name_new</v>
      </c>
      <c r="I1" s="2" t="str">
        <f>"group_name"</f>
        <v>group_name</v>
      </c>
      <c r="J1" t="str">
        <f>"address"</f>
        <v>address</v>
      </c>
      <c r="K1" s="2" t="str">
        <f>"mesto_ustanovki"</f>
        <v>mesto_ustanovki</v>
      </c>
      <c r="L1" t="str">
        <f>"data_ustanovki"</f>
        <v>data_ustanovki</v>
      </c>
      <c r="M1" t="str">
        <f>"arm_id"</f>
        <v>arm_id</v>
      </c>
      <c r="N1" t="str">
        <f>"inventarnyj_nomer"</f>
        <v>inventarnyj_nomer</v>
      </c>
      <c r="O1" t="str">
        <f>"serijnyj_nomer"</f>
        <v>serijnyj_nomer</v>
      </c>
      <c r="P1" t="str">
        <f>"rent"</f>
        <v>rent</v>
      </c>
      <c r="Q1" t="str">
        <f>"object_1c"</f>
        <v>object_1c</v>
      </c>
      <c r="R1" t="str">
        <f>"old_name"</f>
        <v>old_name</v>
      </c>
      <c r="S1" t="str">
        <f>"project"</f>
        <v>project</v>
      </c>
      <c r="T1" t="str">
        <f>"company_name"</f>
        <v>company_name</v>
      </c>
      <c r="U1" t="str">
        <f>"old_serial"</f>
        <v>old_serial</v>
      </c>
      <c r="V1" t="str">
        <f>"influence_214"</f>
        <v>influence_214</v>
      </c>
      <c r="W1" s="1" t="str">
        <f>"latitude"</f>
        <v>latitude</v>
      </c>
      <c r="X1" s="1" t="str">
        <f>"longitude"</f>
        <v>longitude</v>
      </c>
      <c r="Y1" s="1" t="str">
        <f>"eo_sap_code"</f>
        <v>eo_sap_code</v>
      </c>
    </row>
    <row r="2" spans="1:25" x14ac:dyDescent="0.25">
      <c r="A2">
        <v>907</v>
      </c>
      <c r="B2" t="str">
        <f t="shared" ref="B2:B65" si="0">"Курск"</f>
        <v>Курск</v>
      </c>
      <c r="C2">
        <v>266057</v>
      </c>
      <c r="D2" t="str">
        <f>"МОК1.3.1 Курск, Добролюбова, 22 а п. 1"</f>
        <v>МОК1.3.1 Курск, Добролюбова, 22 а п. 1</v>
      </c>
      <c r="E2" t="str">
        <f>"КРС-128-SC"</f>
        <v>КРС-128-SC</v>
      </c>
      <c r="F2" t="str">
        <f>"21.10.2013"</f>
        <v>21.10.2013</v>
      </c>
      <c r="G2" t="str">
        <f>""</f>
        <v/>
      </c>
      <c r="H2" t="str">
        <f>"МОК1.3.1"</f>
        <v>МОК1.3.1</v>
      </c>
      <c r="I2" t="str">
        <f>"Стойка 07 спереди"</f>
        <v>Стойка 07 спереди</v>
      </c>
      <c r="J2" t="str">
        <f>"Курск, Добролюбова, 22 а"</f>
        <v>Курск, Добролюбова, 22 а</v>
      </c>
      <c r="K2" t="str">
        <f>"Подъезд"</f>
        <v>Подъезд</v>
      </c>
      <c r="L2" t="str">
        <f>"02-NOV-11"</f>
        <v>02-NOV-11</v>
      </c>
      <c r="M2">
        <v>0</v>
      </c>
      <c r="N2" t="str">
        <f>""</f>
        <v/>
      </c>
      <c r="O2" t="str">
        <f>"EmptySerial&lt;53686&gt;"</f>
        <v>EmptySerial&lt;53686&gt;</v>
      </c>
      <c r="P2" t="str">
        <f t="shared" ref="P2:P65" si="1">"Нет"</f>
        <v>Нет</v>
      </c>
      <c r="Q2" t="str">
        <f>"КСК00000000000000082"</f>
        <v>КСК00000000000000082</v>
      </c>
      <c r="R2" t="str">
        <f>"МОК1.3.1 МС1.3"</f>
        <v>МОК1.3.1 МС1.3</v>
      </c>
      <c r="S2" t="str">
        <f t="shared" ref="S2:S65" si="2">"Основной"</f>
        <v>Основной</v>
      </c>
      <c r="T2" t="str">
        <f t="shared" ref="T2:T65" si="3">"ГУТС"</f>
        <v>ГУТС</v>
      </c>
      <c r="U2" t="str">
        <f>""</f>
        <v/>
      </c>
      <c r="V2" t="str">
        <f t="shared" ref="V2:V65" si="4">"Нет"</f>
        <v>Нет</v>
      </c>
      <c r="W2">
        <v>51.723419487494702</v>
      </c>
      <c r="X2">
        <v>36.1881762742996</v>
      </c>
      <c r="Y2" t="str">
        <f>"20000004566542"</f>
        <v>20000004566542</v>
      </c>
    </row>
    <row r="3" spans="1:25" x14ac:dyDescent="0.25">
      <c r="A3">
        <v>907</v>
      </c>
      <c r="B3" t="str">
        <f t="shared" si="0"/>
        <v>Курск</v>
      </c>
      <c r="C3">
        <v>266061</v>
      </c>
      <c r="D3" t="str">
        <f>"МОК1.1.1 Курск, Добролюбова, 22 а п. 1"</f>
        <v>МОК1.1.1 Курск, Добролюбова, 22 а п. 1</v>
      </c>
      <c r="E3" t="str">
        <f>"КРС-128-SC"</f>
        <v>КРС-128-SC</v>
      </c>
      <c r="F3" t="str">
        <f>"21.10.2013"</f>
        <v>21.10.2013</v>
      </c>
      <c r="G3" t="str">
        <f>""</f>
        <v/>
      </c>
      <c r="H3" t="str">
        <f>"МОК1.1.1"</f>
        <v>МОК1.1.1</v>
      </c>
      <c r="I3" t="str">
        <f>"Стойка 07 сзади"</f>
        <v>Стойка 07 сзади</v>
      </c>
      <c r="J3" t="str">
        <f>"Курск, Добролюбова, 22 а"</f>
        <v>Курск, Добролюбова, 22 а</v>
      </c>
      <c r="K3" t="str">
        <f>"Серверная"</f>
        <v>Серверная</v>
      </c>
      <c r="L3" t="str">
        <f>"01-NOV-12"</f>
        <v>01-NOV-12</v>
      </c>
      <c r="M3">
        <v>0</v>
      </c>
      <c r="N3" t="str">
        <f>""</f>
        <v/>
      </c>
      <c r="O3" t="str">
        <f>"EmptySerial&lt;53684&gt;"</f>
        <v>EmptySerial&lt;53684&gt;</v>
      </c>
      <c r="P3" t="str">
        <f t="shared" si="1"/>
        <v>Нет</v>
      </c>
      <c r="Q3" t="str">
        <f>"КСК00000000000000247"</f>
        <v>КСК00000000000000247</v>
      </c>
      <c r="R3" t="str">
        <f>"МОК1.1.1 МС1.1"</f>
        <v>МОК1.1.1 МС1.1</v>
      </c>
      <c r="S3" t="str">
        <f t="shared" si="2"/>
        <v>Основной</v>
      </c>
      <c r="T3" t="str">
        <f t="shared" si="3"/>
        <v>ГУТС</v>
      </c>
      <c r="U3" t="str">
        <f>""</f>
        <v/>
      </c>
      <c r="V3" t="str">
        <f t="shared" si="4"/>
        <v>Нет</v>
      </c>
      <c r="W3">
        <v>51.723450229999997</v>
      </c>
      <c r="X3">
        <v>36.188207120000001</v>
      </c>
      <c r="Y3" t="str">
        <f>"20000004566575"</f>
        <v>20000004566575</v>
      </c>
    </row>
    <row r="4" spans="1:25" x14ac:dyDescent="0.25">
      <c r="A4">
        <v>907</v>
      </c>
      <c r="B4" t="str">
        <f t="shared" si="0"/>
        <v>Курск</v>
      </c>
      <c r="C4">
        <v>266637</v>
      </c>
      <c r="D4" t="str">
        <f>"ГОК1.1.2.1 Курск, Дзержинского, 86  п. 3"</f>
        <v>ГОК1.1.2.1 Курск, Дзержинского, 86  п. 3</v>
      </c>
      <c r="E4" t="str">
        <f>"КРС-8/16-SC"</f>
        <v>КРС-8/16-SC</v>
      </c>
      <c r="F4" t="str">
        <f>"29.01.2013"</f>
        <v>29.01.2013</v>
      </c>
      <c r="G4" t="str">
        <f>""</f>
        <v/>
      </c>
      <c r="H4" t="str">
        <f>"ГОК1.1.2.1"</f>
        <v>ГОК1.1.2.1</v>
      </c>
      <c r="I4" t="str">
        <f>"ДШ (под. 3, ОУ№ 1)"</f>
        <v>ДШ (под. 3, ОУ№ 1)</v>
      </c>
      <c r="J4" t="str">
        <f>"Курск, Дзержинского, 86"</f>
        <v>Курск, Дзержинского, 86</v>
      </c>
      <c r="K4" t="str">
        <f>"Подъезд"</f>
        <v>Подъезд</v>
      </c>
      <c r="L4" t="str">
        <f>"02-NOV-11"</f>
        <v>02-NOV-11</v>
      </c>
      <c r="M4">
        <v>0</v>
      </c>
      <c r="N4" t="str">
        <f>""</f>
        <v/>
      </c>
      <c r="O4" t="str">
        <f>"EmptySerial&lt;24960&gt;"</f>
        <v>EmptySerial&lt;24960&gt;</v>
      </c>
      <c r="P4" t="str">
        <f t="shared" si="1"/>
        <v>Нет</v>
      </c>
      <c r="Q4" t="str">
        <f>"КСК00000000000000028"</f>
        <v>КСК00000000000000028</v>
      </c>
      <c r="R4" t="str">
        <f>"ГОК1.1.2 МС1.2"</f>
        <v>ГОК1.1.2 МС1.2</v>
      </c>
      <c r="S4" t="str">
        <f t="shared" si="2"/>
        <v>Основной</v>
      </c>
      <c r="T4" t="str">
        <f t="shared" si="3"/>
        <v>ГУТС</v>
      </c>
      <c r="U4" t="str">
        <f>""</f>
        <v/>
      </c>
      <c r="V4" t="str">
        <f t="shared" si="4"/>
        <v>Нет</v>
      </c>
      <c r="W4">
        <v>51.722289642238003</v>
      </c>
      <c r="X4">
        <v>36.172512173652599</v>
      </c>
      <c r="Y4" t="str">
        <f>"20000004546440"</f>
        <v>20000004546440</v>
      </c>
    </row>
    <row r="5" spans="1:25" x14ac:dyDescent="0.25">
      <c r="A5">
        <v>907</v>
      </c>
      <c r="B5" t="str">
        <f t="shared" si="0"/>
        <v>Курск</v>
      </c>
      <c r="C5">
        <v>266657</v>
      </c>
      <c r="D5" t="str">
        <f>"ГОК1.1.4.1 Курск, Чехова, 2  п. 2"</f>
        <v>ГОК1.1.4.1 Курск, Чехова, 2  п. 2</v>
      </c>
      <c r="E5" t="str">
        <f>"КРС-8/16-SC"</f>
        <v>КРС-8/16-SC</v>
      </c>
      <c r="F5" t="str">
        <f>"29.01.2013"</f>
        <v>29.01.2013</v>
      </c>
      <c r="G5" t="str">
        <f>""</f>
        <v/>
      </c>
      <c r="H5" t="str">
        <f>"ГОК1.1.4.1"</f>
        <v>ГОК1.1.4.1</v>
      </c>
      <c r="I5" t="str">
        <f>"ДШ (под. 2, ОУ№ 1)"</f>
        <v>ДШ (под. 2, ОУ№ 1)</v>
      </c>
      <c r="J5" t="str">
        <f>"Курск, Чехова, 2"</f>
        <v>Курск, Чехова, 2</v>
      </c>
      <c r="K5" t="str">
        <f>"Подъезд"</f>
        <v>Подъезд</v>
      </c>
      <c r="L5" t="str">
        <f>"02-NOV-11"</f>
        <v>02-NOV-11</v>
      </c>
      <c r="M5">
        <v>0</v>
      </c>
      <c r="N5" t="str">
        <f>""</f>
        <v/>
      </c>
      <c r="O5" t="str">
        <f>"EmptySerial&lt;24965&gt;"</f>
        <v>EmptySerial&lt;24965&gt;</v>
      </c>
      <c r="P5" t="str">
        <f t="shared" si="1"/>
        <v>Нет</v>
      </c>
      <c r="Q5" t="str">
        <f>"КСК00000000000000030"</f>
        <v>КСК00000000000000030</v>
      </c>
      <c r="R5" t="str">
        <f>"ГОК1.1.4 МС1.1"</f>
        <v>ГОК1.1.4 МС1.1</v>
      </c>
      <c r="S5" t="str">
        <f t="shared" si="2"/>
        <v>Основной</v>
      </c>
      <c r="T5" t="str">
        <f t="shared" si="3"/>
        <v>ГУТС</v>
      </c>
      <c r="U5" t="str">
        <f>""</f>
        <v/>
      </c>
      <c r="V5" t="str">
        <f t="shared" si="4"/>
        <v>Нет</v>
      </c>
      <c r="W5">
        <v>51.723346380714801</v>
      </c>
      <c r="X5">
        <v>36.172024011611903</v>
      </c>
      <c r="Y5" t="str">
        <f>"20000004546445"</f>
        <v>20000004546445</v>
      </c>
    </row>
    <row r="6" spans="1:25" x14ac:dyDescent="0.25">
      <c r="A6">
        <v>907</v>
      </c>
      <c r="B6" t="str">
        <f t="shared" si="0"/>
        <v>Курск</v>
      </c>
      <c r="C6">
        <v>266661</v>
      </c>
      <c r="D6" t="str">
        <f>"ГОК1.1.3.1 Курск, Дзержинского, 65 /2 п. 4"</f>
        <v>ГОК1.1.3.1 Курск, Дзержинского, 65 /2 п. 4</v>
      </c>
      <c r="E6" t="str">
        <f>"КРС-8/16-SC"</f>
        <v>КРС-8/16-SC</v>
      </c>
      <c r="F6" t="str">
        <f>"29.01.2013"</f>
        <v>29.01.2013</v>
      </c>
      <c r="G6" t="str">
        <f>""</f>
        <v/>
      </c>
      <c r="H6" t="str">
        <f>"ГОК1.1.3.1"</f>
        <v>ГОК1.1.3.1</v>
      </c>
      <c r="I6" t="str">
        <f>"ДШ (под. 4, ОУ№ 1)"</f>
        <v>ДШ (под. 4, ОУ№ 1)</v>
      </c>
      <c r="J6" t="str">
        <f>"Курск, Дзержинского, 65 /2"</f>
        <v>Курск, Дзержинского, 65 /2</v>
      </c>
      <c r="K6" t="str">
        <f>"Подъезд"</f>
        <v>Подъезд</v>
      </c>
      <c r="L6" t="str">
        <f>"02-NOV-11"</f>
        <v>02-NOV-11</v>
      </c>
      <c r="M6">
        <v>0</v>
      </c>
      <c r="N6" t="str">
        <f>""</f>
        <v/>
      </c>
      <c r="O6" t="str">
        <f>"EmptySerial&lt;24966&gt;"</f>
        <v>EmptySerial&lt;24966&gt;</v>
      </c>
      <c r="P6" t="str">
        <f t="shared" si="1"/>
        <v>Нет</v>
      </c>
      <c r="Q6" t="str">
        <f>"КСК00000000000000029"</f>
        <v>КСК00000000000000029</v>
      </c>
      <c r="R6" t="str">
        <f>"ГОК1.1.3 МС1.1"</f>
        <v>ГОК1.1.3 МС1.1</v>
      </c>
      <c r="S6" t="str">
        <f t="shared" si="2"/>
        <v>Основной</v>
      </c>
      <c r="T6" t="str">
        <f t="shared" si="3"/>
        <v>ГУТС</v>
      </c>
      <c r="U6" t="str">
        <f>""</f>
        <v/>
      </c>
      <c r="V6" t="str">
        <f t="shared" si="4"/>
        <v>Нет</v>
      </c>
      <c r="W6">
        <v>51.723402872327803</v>
      </c>
      <c r="X6">
        <v>36.1739069223404</v>
      </c>
      <c r="Y6" t="str">
        <f>"20000004546446"</f>
        <v>20000004546446</v>
      </c>
    </row>
    <row r="7" spans="1:25" x14ac:dyDescent="0.25">
      <c r="A7">
        <v>907</v>
      </c>
      <c r="B7" t="str">
        <f t="shared" si="0"/>
        <v>Курск</v>
      </c>
      <c r="C7">
        <v>266700</v>
      </c>
      <c r="D7" t="str">
        <f>"ГОК1.2.3.1 Курск, Литовская, 16  п. 2"</f>
        <v>ГОК1.2.3.1 Курск, Литовская, 16  п. 2</v>
      </c>
      <c r="E7" t="str">
        <f>"КРС-8/16-SC"</f>
        <v>КРС-8/16-SC</v>
      </c>
      <c r="F7" t="str">
        <f t="shared" ref="F7:F15" si="5">"28.01.2013"</f>
        <v>28.01.2013</v>
      </c>
      <c r="G7" t="str">
        <f>""</f>
        <v/>
      </c>
      <c r="H7" t="str">
        <f>"ГОК1.2.3.1"</f>
        <v>ГОК1.2.3.1</v>
      </c>
      <c r="I7" t="str">
        <f>"ДШ (под. 2, ОУ№ 1)"</f>
        <v>ДШ (под. 2, ОУ№ 1)</v>
      </c>
      <c r="J7" t="str">
        <f>"Курск, Литовская, 16"</f>
        <v>Курск, Литовская, 16</v>
      </c>
      <c r="K7" t="str">
        <f>"Чердак"</f>
        <v>Чердак</v>
      </c>
      <c r="L7" t="str">
        <f>"14-NOV-11"</f>
        <v>14-NOV-11</v>
      </c>
      <c r="M7">
        <v>0</v>
      </c>
      <c r="N7" t="str">
        <f>""</f>
        <v/>
      </c>
      <c r="O7" t="str">
        <f>"EmptySerial&lt;24975&gt;"</f>
        <v>EmptySerial&lt;24975&gt;</v>
      </c>
      <c r="P7" t="str">
        <f t="shared" si="1"/>
        <v>Нет</v>
      </c>
      <c r="Q7" t="str">
        <f>"КСК00000000000000089"</f>
        <v>КСК00000000000000089</v>
      </c>
      <c r="R7" t="str">
        <f>"ГОК1.2.3 МС1.2"</f>
        <v>ГОК1.2.3 МС1.2</v>
      </c>
      <c r="S7" t="str">
        <f t="shared" si="2"/>
        <v>Основной</v>
      </c>
      <c r="T7" t="str">
        <f t="shared" si="3"/>
        <v>ГУТС</v>
      </c>
      <c r="U7" t="str">
        <f>""</f>
        <v/>
      </c>
      <c r="V7" t="str">
        <f t="shared" si="4"/>
        <v>Нет</v>
      </c>
      <c r="W7">
        <v>51.704381148824503</v>
      </c>
      <c r="X7">
        <v>36.1663269996643</v>
      </c>
      <c r="Y7" t="str">
        <f>"20000004546455"</f>
        <v>20000004546455</v>
      </c>
    </row>
    <row r="8" spans="1:25" x14ac:dyDescent="0.25">
      <c r="A8">
        <v>907</v>
      </c>
      <c r="B8" t="str">
        <f t="shared" si="0"/>
        <v>Курск</v>
      </c>
      <c r="C8">
        <v>266708</v>
      </c>
      <c r="D8" t="str">
        <f>"ГОК1.2.7.1 Курск, Ольшанского, 13  п. 2"</f>
        <v>ГОК1.2.7.1 Курск, Ольшанского, 13  п. 2</v>
      </c>
      <c r="E8" t="str">
        <f>"КРС-8/16-SC"</f>
        <v>КРС-8/16-SC</v>
      </c>
      <c r="F8" t="str">
        <f t="shared" si="5"/>
        <v>28.01.2013</v>
      </c>
      <c r="G8" t="str">
        <f>""</f>
        <v/>
      </c>
      <c r="H8" t="str">
        <f>"ГОК1.2.7.1"</f>
        <v>ГОК1.2.7.1</v>
      </c>
      <c r="I8" t="str">
        <f>"ДШ (под. 2, ОУ№ 1)"</f>
        <v>ДШ (под. 2, ОУ№ 1)</v>
      </c>
      <c r="J8" t="str">
        <f>"Курск, Ольшанского, 13"</f>
        <v>Курск, Ольшанского, 13</v>
      </c>
      <c r="K8" t="str">
        <f t="shared" ref="K8:K17" si="6">"Подъезд"</f>
        <v>Подъезд</v>
      </c>
      <c r="L8" t="str">
        <f>"11-NOV-11"</f>
        <v>11-NOV-11</v>
      </c>
      <c r="M8">
        <v>0</v>
      </c>
      <c r="N8" t="str">
        <f>""</f>
        <v/>
      </c>
      <c r="O8" t="str">
        <f>"EmptySerial&lt;24977&gt;"</f>
        <v>EmptySerial&lt;24977&gt;</v>
      </c>
      <c r="P8" t="str">
        <f t="shared" si="1"/>
        <v>Нет</v>
      </c>
      <c r="Q8" t="str">
        <f>"КСК00000000000000090"</f>
        <v>КСК00000000000000090</v>
      </c>
      <c r="R8" t="str">
        <f>"ГОК1.2.7 МС1.2"</f>
        <v>ГОК1.2.7 МС1.2</v>
      </c>
      <c r="S8" t="str">
        <f t="shared" si="2"/>
        <v>Основной</v>
      </c>
      <c r="T8" t="str">
        <f t="shared" si="3"/>
        <v>ГУТС</v>
      </c>
      <c r="U8" t="str">
        <f>""</f>
        <v/>
      </c>
      <c r="V8" t="str">
        <f t="shared" si="4"/>
        <v>Нет</v>
      </c>
      <c r="W8">
        <v>51.704946300000003</v>
      </c>
      <c r="X8">
        <v>36.151827650000001</v>
      </c>
      <c r="Y8" t="str">
        <f>"20000004546457"</f>
        <v>20000004546457</v>
      </c>
    </row>
    <row r="9" spans="1:25" x14ac:dyDescent="0.25">
      <c r="A9">
        <v>907</v>
      </c>
      <c r="B9" t="str">
        <f t="shared" si="0"/>
        <v>Курск</v>
      </c>
      <c r="C9">
        <v>268637</v>
      </c>
      <c r="D9" t="str">
        <f>"ГОК2.1.8.1 Курск, Орловская, 10  п. 4"</f>
        <v>ГОК2.1.8.1 Курск, Орловская, 10  п. 4</v>
      </c>
      <c r="E9" t="str">
        <f t="shared" ref="E9:E15" si="7">"КРН-16-SC"</f>
        <v>КРН-16-SC</v>
      </c>
      <c r="F9" t="str">
        <f t="shared" si="5"/>
        <v>28.01.2013</v>
      </c>
      <c r="G9" t="str">
        <f>""</f>
        <v/>
      </c>
      <c r="H9" t="str">
        <f>"ГОК2.1.8.1"</f>
        <v>ГОК2.1.8.1</v>
      </c>
      <c r="I9" t="str">
        <f>"ДШ (под. 4, ОУ№ 1)"</f>
        <v>ДШ (под. 4, ОУ№ 1)</v>
      </c>
      <c r="J9" t="str">
        <f>"Курск, Орловская, 10"</f>
        <v>Курск, Орловская, 10</v>
      </c>
      <c r="K9" t="str">
        <f t="shared" si="6"/>
        <v>Подъезд</v>
      </c>
      <c r="L9" t="str">
        <f>"18-JAN-12"</f>
        <v>18-JAN-12</v>
      </c>
      <c r="M9">
        <v>0</v>
      </c>
      <c r="N9" t="str">
        <f>""</f>
        <v/>
      </c>
      <c r="O9" t="str">
        <f>"EmptySerial&lt;25147&gt;"</f>
        <v>EmptySerial&lt;25147&gt;</v>
      </c>
      <c r="P9" t="str">
        <f t="shared" si="1"/>
        <v>Нет</v>
      </c>
      <c r="Q9" t="str">
        <f>"КСК00000000000000119"</f>
        <v>КСК00000000000000119</v>
      </c>
      <c r="R9" t="str">
        <f>"ГОК2.1.8 МС2.1"</f>
        <v>ГОК2.1.8 МС2.1</v>
      </c>
      <c r="S9" t="str">
        <f t="shared" si="2"/>
        <v>Основной</v>
      </c>
      <c r="T9" t="str">
        <f t="shared" si="3"/>
        <v>ГУТС</v>
      </c>
      <c r="U9" t="str">
        <f>""</f>
        <v/>
      </c>
      <c r="V9" t="str">
        <f t="shared" si="4"/>
        <v>Нет</v>
      </c>
      <c r="W9">
        <v>51.746867369627701</v>
      </c>
      <c r="X9">
        <v>36.1370319128036</v>
      </c>
      <c r="Y9" t="str">
        <f>"20000004546575"</f>
        <v>20000004546575</v>
      </c>
    </row>
    <row r="10" spans="1:25" x14ac:dyDescent="0.25">
      <c r="A10">
        <v>907</v>
      </c>
      <c r="B10" t="str">
        <f t="shared" si="0"/>
        <v>Курск</v>
      </c>
      <c r="C10">
        <v>268641</v>
      </c>
      <c r="D10" t="str">
        <f>"ГОК2.1.7.1 Курск, Веспремская, 7  п. 1"</f>
        <v>ГОК2.1.7.1 Курск, Веспремская, 7  п. 1</v>
      </c>
      <c r="E10" t="str">
        <f t="shared" si="7"/>
        <v>КРН-16-SC</v>
      </c>
      <c r="F10" t="str">
        <f t="shared" si="5"/>
        <v>28.01.2013</v>
      </c>
      <c r="G10" t="str">
        <f>""</f>
        <v/>
      </c>
      <c r="H10" t="str">
        <f>"ГОК2.1.7.1"</f>
        <v>ГОК2.1.7.1</v>
      </c>
      <c r="I10" t="str">
        <f>"ДШ (под. 1, ОУ№ 1)"</f>
        <v>ДШ (под. 1, ОУ№ 1)</v>
      </c>
      <c r="J10" t="str">
        <f>"Курск, Веспремская, 7"</f>
        <v>Курск, Веспремская, 7</v>
      </c>
      <c r="K10" t="str">
        <f t="shared" si="6"/>
        <v>Подъезд</v>
      </c>
      <c r="L10" t="str">
        <f>"19-JAN-12"</f>
        <v>19-JAN-12</v>
      </c>
      <c r="M10">
        <v>0</v>
      </c>
      <c r="N10" t="str">
        <f>""</f>
        <v/>
      </c>
      <c r="O10" t="str">
        <f>"EmptySerial&lt;25146&gt;"</f>
        <v>EmptySerial&lt;25146&gt;</v>
      </c>
      <c r="P10" t="str">
        <f t="shared" si="1"/>
        <v>Нет</v>
      </c>
      <c r="Q10" t="str">
        <f>"КСК00000000000000118"</f>
        <v>КСК00000000000000118</v>
      </c>
      <c r="R10" t="str">
        <f>"ГОК2.1.7 МС2.1"</f>
        <v>ГОК2.1.7 МС2.1</v>
      </c>
      <c r="S10" t="str">
        <f t="shared" si="2"/>
        <v>Основной</v>
      </c>
      <c r="T10" t="str">
        <f t="shared" si="3"/>
        <v>ГУТС</v>
      </c>
      <c r="U10" t="str">
        <f>""</f>
        <v/>
      </c>
      <c r="V10" t="str">
        <f t="shared" si="4"/>
        <v>Нет</v>
      </c>
      <c r="W10">
        <v>51.745870965917703</v>
      </c>
      <c r="X10">
        <v>36.1328959465027</v>
      </c>
      <c r="Y10" t="str">
        <f>"20000004546574"</f>
        <v>20000004546574</v>
      </c>
    </row>
    <row r="11" spans="1:25" x14ac:dyDescent="0.25">
      <c r="A11">
        <v>907</v>
      </c>
      <c r="B11" t="str">
        <f t="shared" si="0"/>
        <v>Курск</v>
      </c>
      <c r="C11">
        <v>268645</v>
      </c>
      <c r="D11" t="str">
        <f>"ГОК2.1.6.1 Курск, Орловская, 24  п. 2"</f>
        <v>ГОК2.1.6.1 Курск, Орловская, 24  п. 2</v>
      </c>
      <c r="E11" t="str">
        <f t="shared" si="7"/>
        <v>КРН-16-SC</v>
      </c>
      <c r="F11" t="str">
        <f t="shared" si="5"/>
        <v>28.01.2013</v>
      </c>
      <c r="G11" t="str">
        <f>""</f>
        <v/>
      </c>
      <c r="H11" t="str">
        <f>"ГОК2.1.6.1"</f>
        <v>ГОК2.1.6.1</v>
      </c>
      <c r="I11" t="str">
        <f>"ДШ (под. 2, ОУ№ 1)"</f>
        <v>ДШ (под. 2, ОУ№ 1)</v>
      </c>
      <c r="J11" t="str">
        <f>"Курск, Орловская, 24"</f>
        <v>Курск, Орловская, 24</v>
      </c>
      <c r="K11" t="str">
        <f t="shared" si="6"/>
        <v>Подъезд</v>
      </c>
      <c r="L11" t="str">
        <f>"19-JAN-12"</f>
        <v>19-JAN-12</v>
      </c>
      <c r="M11">
        <v>0</v>
      </c>
      <c r="N11" t="str">
        <f>""</f>
        <v/>
      </c>
      <c r="O11" t="str">
        <f>"EmptySerial&lt;25145&gt;"</f>
        <v>EmptySerial&lt;25145&gt;</v>
      </c>
      <c r="P11" t="str">
        <f t="shared" si="1"/>
        <v>Нет</v>
      </c>
      <c r="Q11" t="str">
        <f>"КСК00000000000000117"</f>
        <v>КСК00000000000000117</v>
      </c>
      <c r="R11" t="str">
        <f>"ГОК2.16 МС2.1"</f>
        <v>ГОК2.16 МС2.1</v>
      </c>
      <c r="S11" t="str">
        <f t="shared" si="2"/>
        <v>Основной</v>
      </c>
      <c r="T11" t="str">
        <f t="shared" si="3"/>
        <v>ГУТС</v>
      </c>
      <c r="U11" t="str">
        <f>""</f>
        <v/>
      </c>
      <c r="V11" t="str">
        <f t="shared" si="4"/>
        <v>Нет</v>
      </c>
      <c r="W11">
        <v>51.744084026883698</v>
      </c>
      <c r="X11">
        <v>36.124505996704102</v>
      </c>
      <c r="Y11" t="str">
        <f>"20000004546573"</f>
        <v>20000004546573</v>
      </c>
    </row>
    <row r="12" spans="1:25" x14ac:dyDescent="0.25">
      <c r="A12">
        <v>907</v>
      </c>
      <c r="B12" t="str">
        <f t="shared" si="0"/>
        <v>Курск</v>
      </c>
      <c r="C12">
        <v>268649</v>
      </c>
      <c r="D12" t="str">
        <f>"ГОК2.1.5.1 Курск, Орловская, 30  п. 1"</f>
        <v>ГОК2.1.5.1 Курск, Орловская, 30  п. 1</v>
      </c>
      <c r="E12" t="str">
        <f t="shared" si="7"/>
        <v>КРН-16-SC</v>
      </c>
      <c r="F12" t="str">
        <f t="shared" si="5"/>
        <v>28.01.2013</v>
      </c>
      <c r="G12" t="str">
        <f>""</f>
        <v/>
      </c>
      <c r="H12" t="str">
        <f>"ГОК2.1.5.1"</f>
        <v>ГОК2.1.5.1</v>
      </c>
      <c r="I12" t="str">
        <f>"ДШ (под. 1, ОУ№ 1)"</f>
        <v>ДШ (под. 1, ОУ№ 1)</v>
      </c>
      <c r="J12" t="str">
        <f>"Курск, Орловская, 30"</f>
        <v>Курск, Орловская, 30</v>
      </c>
      <c r="K12" t="str">
        <f t="shared" si="6"/>
        <v>Подъезд</v>
      </c>
      <c r="L12" t="str">
        <f>"12-JAN-12"</f>
        <v>12-JAN-12</v>
      </c>
      <c r="M12">
        <v>0</v>
      </c>
      <c r="N12" t="str">
        <f>""</f>
        <v/>
      </c>
      <c r="O12" t="str">
        <f>"EmptySerial&lt;25144&gt;"</f>
        <v>EmptySerial&lt;25144&gt;</v>
      </c>
      <c r="P12" t="str">
        <f t="shared" si="1"/>
        <v>Нет</v>
      </c>
      <c r="Q12" t="str">
        <f>"КСК00000000000000116"</f>
        <v>КСК00000000000000116</v>
      </c>
      <c r="R12" t="str">
        <f>"ГОК2.15 МС2.1"</f>
        <v>ГОК2.15 МС2.1</v>
      </c>
      <c r="S12" t="str">
        <f t="shared" si="2"/>
        <v>Основной</v>
      </c>
      <c r="T12" t="str">
        <f t="shared" si="3"/>
        <v>ГУТС</v>
      </c>
      <c r="U12" t="str">
        <f>""</f>
        <v/>
      </c>
      <c r="V12" t="str">
        <f t="shared" si="4"/>
        <v>Нет</v>
      </c>
      <c r="W12">
        <v>51.742861693303901</v>
      </c>
      <c r="X12">
        <v>36.123459935188301</v>
      </c>
      <c r="Y12" t="str">
        <f>"20000004546572"</f>
        <v>20000004546572</v>
      </c>
    </row>
    <row r="13" spans="1:25" x14ac:dyDescent="0.25">
      <c r="A13">
        <v>907</v>
      </c>
      <c r="B13" t="str">
        <f t="shared" si="0"/>
        <v>Курск</v>
      </c>
      <c r="C13">
        <v>268653</v>
      </c>
      <c r="D13" t="str">
        <f>"ГОК2.1.4.1 Курск, Дружбы Пр-Кт, 15  п. 2"</f>
        <v>ГОК2.1.4.1 Курск, Дружбы Пр-Кт, 15  п. 2</v>
      </c>
      <c r="E13" t="str">
        <f t="shared" si="7"/>
        <v>КРН-16-SC</v>
      </c>
      <c r="F13" t="str">
        <f t="shared" si="5"/>
        <v>28.01.2013</v>
      </c>
      <c r="G13" t="str">
        <f>""</f>
        <v/>
      </c>
      <c r="H13" t="str">
        <f>"ГОК2.1.4.1"</f>
        <v>ГОК2.1.4.1</v>
      </c>
      <c r="I13" t="str">
        <f>"ДШ (под. 2, ОУ№ 1)"</f>
        <v>ДШ (под. 2, ОУ№ 1)</v>
      </c>
      <c r="J13" t="str">
        <f>"Курск, Дружбы Пр-Кт, 15"</f>
        <v>Курск, Дружбы Пр-Кт, 15</v>
      </c>
      <c r="K13" t="str">
        <f t="shared" si="6"/>
        <v>Подъезд</v>
      </c>
      <c r="L13" t="str">
        <f>"17-NOV-11"</f>
        <v>17-NOV-11</v>
      </c>
      <c r="M13">
        <v>0</v>
      </c>
      <c r="N13" t="str">
        <f>""</f>
        <v/>
      </c>
      <c r="O13" t="str">
        <f>"EmptySerial&lt;25143&gt;"</f>
        <v>EmptySerial&lt;25143&gt;</v>
      </c>
      <c r="P13" t="str">
        <f t="shared" si="1"/>
        <v>Нет</v>
      </c>
      <c r="Q13" t="str">
        <f>"КСК00000000000000115"</f>
        <v>КСК00000000000000115</v>
      </c>
      <c r="R13" t="str">
        <f>"ГОК2.1.4 МС2.1"</f>
        <v>ГОК2.1.4 МС2.1</v>
      </c>
      <c r="S13" t="str">
        <f t="shared" si="2"/>
        <v>Основной</v>
      </c>
      <c r="T13" t="str">
        <f t="shared" si="3"/>
        <v>ГУТС</v>
      </c>
      <c r="U13" t="str">
        <f>""</f>
        <v/>
      </c>
      <c r="V13" t="str">
        <f t="shared" si="4"/>
        <v>Нет</v>
      </c>
      <c r="W13">
        <v>51.739772700000003</v>
      </c>
      <c r="X13">
        <v>36.126186070000003</v>
      </c>
      <c r="Y13" t="str">
        <f>"20000004546571"</f>
        <v>20000004546571</v>
      </c>
    </row>
    <row r="14" spans="1:25" x14ac:dyDescent="0.25">
      <c r="A14">
        <v>907</v>
      </c>
      <c r="B14" t="str">
        <f t="shared" si="0"/>
        <v>Курск</v>
      </c>
      <c r="C14">
        <v>268657</v>
      </c>
      <c r="D14" t="str">
        <f>"ГОК2.1.3.1 Курск, Дружбы Пр-Кт, 11 /2 п. 10"</f>
        <v>ГОК2.1.3.1 Курск, Дружбы Пр-Кт, 11 /2 п. 10</v>
      </c>
      <c r="E14" t="str">
        <f t="shared" si="7"/>
        <v>КРН-16-SC</v>
      </c>
      <c r="F14" t="str">
        <f t="shared" si="5"/>
        <v>28.01.2013</v>
      </c>
      <c r="G14" t="str">
        <f>""</f>
        <v/>
      </c>
      <c r="H14" t="str">
        <f>"ГОК2.1.3.1"</f>
        <v>ГОК2.1.3.1</v>
      </c>
      <c r="I14" t="str">
        <f>"ДШ (под. 10, ОУ№ 1)"</f>
        <v>ДШ (под. 10, ОУ№ 1)</v>
      </c>
      <c r="J14" t="str">
        <f>"Курск, Дружбы Пр-Кт, 11 /2"</f>
        <v>Курск, Дружбы Пр-Кт, 11 /2</v>
      </c>
      <c r="K14" t="str">
        <f t="shared" si="6"/>
        <v>Подъезд</v>
      </c>
      <c r="L14" t="str">
        <f>"10-NOV-11"</f>
        <v>10-NOV-11</v>
      </c>
      <c r="M14">
        <v>0</v>
      </c>
      <c r="N14" t="str">
        <f>""</f>
        <v/>
      </c>
      <c r="O14" t="str">
        <f>"EmptySerial&lt;25142&gt;"</f>
        <v>EmptySerial&lt;25142&gt;</v>
      </c>
      <c r="P14" t="str">
        <f t="shared" si="1"/>
        <v>Нет</v>
      </c>
      <c r="Q14" t="str">
        <f>"КСК00000000000000114"</f>
        <v>КСК00000000000000114</v>
      </c>
      <c r="R14" t="str">
        <f>"ГОК2.1.3 МС2.1"</f>
        <v>ГОК2.1.3 МС2.1</v>
      </c>
      <c r="S14" t="str">
        <f t="shared" si="2"/>
        <v>Основной</v>
      </c>
      <c r="T14" t="str">
        <f t="shared" si="3"/>
        <v>ГУТС</v>
      </c>
      <c r="U14" t="str">
        <f>""</f>
        <v/>
      </c>
      <c r="V14" t="str">
        <f t="shared" si="4"/>
        <v>Нет</v>
      </c>
      <c r="W14">
        <v>51.740091390994202</v>
      </c>
      <c r="X14">
        <v>36.1291408538818</v>
      </c>
      <c r="Y14" t="str">
        <f>"20000004546570"</f>
        <v>20000004546570</v>
      </c>
    </row>
    <row r="15" spans="1:25" x14ac:dyDescent="0.25">
      <c r="A15">
        <v>907</v>
      </c>
      <c r="B15" t="str">
        <f t="shared" si="0"/>
        <v>Курск</v>
      </c>
      <c r="C15">
        <v>268661</v>
      </c>
      <c r="D15" t="str">
        <f>"ГОК2.1.2.1 Курск, Дружбы Пр-Кт, 7  п. 9"</f>
        <v>ГОК2.1.2.1 Курск, Дружбы Пр-Кт, 7  п. 9</v>
      </c>
      <c r="E15" t="str">
        <f t="shared" si="7"/>
        <v>КРН-16-SC</v>
      </c>
      <c r="F15" t="str">
        <f t="shared" si="5"/>
        <v>28.01.2013</v>
      </c>
      <c r="G15" t="str">
        <f>""</f>
        <v/>
      </c>
      <c r="H15" t="str">
        <f>"ГОК2.1.2.1"</f>
        <v>ГОК2.1.2.1</v>
      </c>
      <c r="I15" t="str">
        <f>"ДШ (под. 9, ОУ№ 1)"</f>
        <v>ДШ (под. 9, ОУ№ 1)</v>
      </c>
      <c r="J15" t="str">
        <f>"Курск, Дружбы Пр-Кт, 7"</f>
        <v>Курск, Дружбы Пр-Кт, 7</v>
      </c>
      <c r="K15" t="str">
        <f t="shared" si="6"/>
        <v>Подъезд</v>
      </c>
      <c r="L15" t="str">
        <f>"12-JAN-12"</f>
        <v>12-JAN-12</v>
      </c>
      <c r="M15">
        <v>0</v>
      </c>
      <c r="N15" t="str">
        <f>""</f>
        <v/>
      </c>
      <c r="O15" t="str">
        <f>"EmptySerial&lt;25141&gt;"</f>
        <v>EmptySerial&lt;25141&gt;</v>
      </c>
      <c r="P15" t="str">
        <f t="shared" si="1"/>
        <v>Нет</v>
      </c>
      <c r="Q15" t="str">
        <f>"КСК00000000000000113"</f>
        <v>КСК00000000000000113</v>
      </c>
      <c r="R15" t="str">
        <f>"ГОК2.1.2 МС.21"</f>
        <v>ГОК2.1.2 МС.21</v>
      </c>
      <c r="S15" t="str">
        <f t="shared" si="2"/>
        <v>Основной</v>
      </c>
      <c r="T15" t="str">
        <f t="shared" si="3"/>
        <v>ГУТС</v>
      </c>
      <c r="U15" t="str">
        <f>""</f>
        <v/>
      </c>
      <c r="V15" t="str">
        <f t="shared" si="4"/>
        <v>Нет</v>
      </c>
      <c r="W15">
        <v>51.742443169315102</v>
      </c>
      <c r="X15">
        <v>36.136806607246399</v>
      </c>
      <c r="Y15" t="str">
        <f>"20000004546569"</f>
        <v>20000004546569</v>
      </c>
    </row>
    <row r="16" spans="1:25" x14ac:dyDescent="0.25">
      <c r="A16">
        <v>907</v>
      </c>
      <c r="B16" t="str">
        <f t="shared" si="0"/>
        <v>Курск</v>
      </c>
      <c r="C16">
        <v>311459</v>
      </c>
      <c r="D16" t="str">
        <f>"OK6.2 ППК 2.3.6 Курск, Звездная, 5  п. 2"</f>
        <v>OK6.2 ППК 2.3.6 Курск, Звездная, 5  п. 2</v>
      </c>
      <c r="E16" t="str">
        <f>"КРС-8/16-SC"</f>
        <v>КРС-8/16-SC</v>
      </c>
      <c r="F16" t="str">
        <f>"06.04.2012"</f>
        <v>06.04.2012</v>
      </c>
      <c r="G16" t="str">
        <f>""</f>
        <v/>
      </c>
      <c r="H16" t="str">
        <f>"OK6.2 ППК 2.3.6"</f>
        <v>OK6.2 ППК 2.3.6</v>
      </c>
      <c r="I16" t="str">
        <f>"ДШ (под. 2, ОУ№ 6)"</f>
        <v>ДШ (под. 2, ОУ№ 6)</v>
      </c>
      <c r="J16" t="str">
        <f>"Курск, Звездная, 5"</f>
        <v>Курск, Звездная, 5</v>
      </c>
      <c r="K16" t="str">
        <f t="shared" si="6"/>
        <v>Подъезд</v>
      </c>
      <c r="L16" t="str">
        <f>"17-FEB-12"</f>
        <v>17-FEB-12</v>
      </c>
      <c r="M16">
        <v>137329</v>
      </c>
      <c r="N16" t="str">
        <f>""</f>
        <v/>
      </c>
      <c r="O16" t="str">
        <f>"HSH-137329"</f>
        <v>HSH-137329</v>
      </c>
      <c r="P16" t="str">
        <f t="shared" si="1"/>
        <v>Нет</v>
      </c>
      <c r="Q16" t="str">
        <f>"КСК00000000000000131"</f>
        <v>КСК00000000000000131</v>
      </c>
      <c r="R16" t="str">
        <f>"звездная 5 - М 2.3.9"</f>
        <v>звездная 5 - М 2.3.9</v>
      </c>
      <c r="S16" t="str">
        <f t="shared" si="2"/>
        <v>Основной</v>
      </c>
      <c r="T16" t="str">
        <f t="shared" si="3"/>
        <v>ГУТС</v>
      </c>
      <c r="U16" t="str">
        <f>""</f>
        <v/>
      </c>
      <c r="V16" t="str">
        <f t="shared" si="4"/>
        <v>Нет</v>
      </c>
      <c r="W16">
        <v>51.727524070000001</v>
      </c>
      <c r="X16">
        <v>36.147809019999997</v>
      </c>
      <c r="Y16" t="str">
        <f>"20000004549466"</f>
        <v>20000004549466</v>
      </c>
    </row>
    <row r="17" spans="1:25" x14ac:dyDescent="0.25">
      <c r="A17">
        <v>907</v>
      </c>
      <c r="B17" t="str">
        <f t="shared" si="0"/>
        <v>Курск</v>
      </c>
      <c r="C17">
        <v>321054</v>
      </c>
      <c r="D17" t="str">
        <f>"ГОК2.3.7.1 Курск, Звездная, 15  п. 3"</f>
        <v>ГОК2.3.7.1 Курск, Звездная, 15  п. 3</v>
      </c>
      <c r="E17" t="str">
        <f>"КРН-16-SC"</f>
        <v>КРН-16-SC</v>
      </c>
      <c r="F17" t="str">
        <f>"29.01.2013"</f>
        <v>29.01.2013</v>
      </c>
      <c r="G17" t="str">
        <f>""</f>
        <v/>
      </c>
      <c r="H17" t="str">
        <f>"ГОК2.3.7.1"</f>
        <v>ГОК2.3.7.1</v>
      </c>
      <c r="I17" t="str">
        <f>"ДШ (под. 3, ОУ№ 1)"</f>
        <v>ДШ (под. 3, ОУ№ 1)</v>
      </c>
      <c r="J17" t="str">
        <f>"Курск, Звездная, 15"</f>
        <v>Курск, Звездная, 15</v>
      </c>
      <c r="K17" t="str">
        <f t="shared" si="6"/>
        <v>Подъезд</v>
      </c>
      <c r="L17" t="str">
        <f>"18-FEB-12"</f>
        <v>18-FEB-12</v>
      </c>
      <c r="M17">
        <v>0</v>
      </c>
      <c r="N17" t="str">
        <f>""</f>
        <v/>
      </c>
      <c r="O17" t="str">
        <f>"EmptySerial&lt;30385&gt;"</f>
        <v>EmptySerial&lt;30385&gt;</v>
      </c>
      <c r="P17" t="str">
        <f t="shared" si="1"/>
        <v>Нет</v>
      </c>
      <c r="Q17" t="str">
        <f>"КСК00000000000000132"</f>
        <v>КСК00000000000000132</v>
      </c>
      <c r="R17" t="str">
        <f>"ГОК2.3.7 МС2.3"</f>
        <v>ГОК2.3.7 МС2.3</v>
      </c>
      <c r="S17" t="str">
        <f t="shared" si="2"/>
        <v>Основной</v>
      </c>
      <c r="T17" t="str">
        <f t="shared" si="3"/>
        <v>ГУТС</v>
      </c>
      <c r="U17" t="str">
        <f>""</f>
        <v/>
      </c>
      <c r="V17" t="str">
        <f t="shared" si="4"/>
        <v>Нет</v>
      </c>
      <c r="W17">
        <v>51.724622409351703</v>
      </c>
      <c r="X17">
        <v>36.146054863929699</v>
      </c>
      <c r="Y17" t="str">
        <f>"20000004550241"</f>
        <v>20000004550241</v>
      </c>
    </row>
    <row r="18" spans="1:25" x14ac:dyDescent="0.25">
      <c r="A18">
        <v>907</v>
      </c>
      <c r="B18" t="str">
        <f t="shared" si="0"/>
        <v>Курск</v>
      </c>
      <c r="C18">
        <v>321096</v>
      </c>
      <c r="D18" t="str">
        <f>"ГОК2.3.6.1 Курск, Бойцов 9 Дивизии, 182  п. 3"</f>
        <v>ГОК2.3.6.1 Курск, Бойцов 9 Дивизии, 182  п. 3</v>
      </c>
      <c r="E18" t="str">
        <f>"КРН-16-SC"</f>
        <v>КРН-16-SC</v>
      </c>
      <c r="F18" t="str">
        <f>"29.01.2013"</f>
        <v>29.01.2013</v>
      </c>
      <c r="G18" t="str">
        <f>""</f>
        <v/>
      </c>
      <c r="H18" t="str">
        <f>"ГОК2.3.6.1"</f>
        <v>ГОК2.3.6.1</v>
      </c>
      <c r="I18" t="str">
        <f>"ДШ (под. 3, ОУ№ 1)"</f>
        <v>ДШ (под. 3, ОУ№ 1)</v>
      </c>
      <c r="J18" t="str">
        <f>"Курск, Бойцов 9 Дивизии, 182"</f>
        <v>Курск, Бойцов 9 Дивизии, 182</v>
      </c>
      <c r="K18" t="str">
        <f>"Чердак"</f>
        <v>Чердак</v>
      </c>
      <c r="L18" t="str">
        <f>"23-FEB-12"</f>
        <v>23-FEB-12</v>
      </c>
      <c r="M18">
        <v>0</v>
      </c>
      <c r="N18" t="str">
        <f>""</f>
        <v/>
      </c>
      <c r="O18" t="str">
        <f>"EmptySerial&lt;30387&gt;"</f>
        <v>EmptySerial&lt;30387&gt;</v>
      </c>
      <c r="P18" t="str">
        <f t="shared" si="1"/>
        <v>Нет</v>
      </c>
      <c r="Q18" t="str">
        <f>"КСК00000000000000131"</f>
        <v>КСК00000000000000131</v>
      </c>
      <c r="R18" t="str">
        <f>"ГОК2.3.6 МС2.3"</f>
        <v>ГОК2.3.6 МС2.3</v>
      </c>
      <c r="S18" t="str">
        <f t="shared" si="2"/>
        <v>Основной</v>
      </c>
      <c r="T18" t="str">
        <f t="shared" si="3"/>
        <v>ГУТС</v>
      </c>
      <c r="U18" t="str">
        <f>""</f>
        <v/>
      </c>
      <c r="V18" t="str">
        <f t="shared" si="4"/>
        <v>Нет</v>
      </c>
      <c r="W18">
        <v>51.730536860000001</v>
      </c>
      <c r="X18">
        <v>36.151548030000001</v>
      </c>
      <c r="Y18" t="str">
        <f>"20000004550243"</f>
        <v>20000004550243</v>
      </c>
    </row>
    <row r="19" spans="1:25" x14ac:dyDescent="0.25">
      <c r="A19">
        <v>907</v>
      </c>
      <c r="B19" t="str">
        <f t="shared" si="0"/>
        <v>Курск</v>
      </c>
      <c r="C19">
        <v>321159</v>
      </c>
      <c r="D19" t="str">
        <f>"ГОК2.3.1.1 Курск, Дружбы Пр-Кт, 4  п. 2"</f>
        <v>ГОК2.3.1.1 Курск, Дружбы Пр-Кт, 4  п. 2</v>
      </c>
      <c r="E19" t="str">
        <f>"КРН-16-SC"</f>
        <v>КРН-16-SC</v>
      </c>
      <c r="F19" t="str">
        <f>"29.01.2013"</f>
        <v>29.01.2013</v>
      </c>
      <c r="G19" t="str">
        <f>""</f>
        <v/>
      </c>
      <c r="H19" t="str">
        <f>"ГОК2.3.1.1"</f>
        <v>ГОК2.3.1.1</v>
      </c>
      <c r="I19" t="str">
        <f>"ДШ (под. 2, ОУ№ 1)"</f>
        <v>ДШ (под. 2, ОУ№ 1)</v>
      </c>
      <c r="J19" t="str">
        <f>"Курск, Дружбы Пр-Кт, 4"</f>
        <v>Курск, Дружбы Пр-Кт, 4</v>
      </c>
      <c r="K19" t="str">
        <f>"Подъезд"</f>
        <v>Подъезд</v>
      </c>
      <c r="L19" t="str">
        <f>"16-FEB-12"</f>
        <v>16-FEB-12</v>
      </c>
      <c r="M19">
        <v>0</v>
      </c>
      <c r="N19" t="str">
        <f>""</f>
        <v/>
      </c>
      <c r="O19" t="str">
        <f>"EmptySerial&lt;30390&gt;"</f>
        <v>EmptySerial&lt;30390&gt;</v>
      </c>
      <c r="P19" t="str">
        <f t="shared" si="1"/>
        <v>Нет</v>
      </c>
      <c r="Q19" t="str">
        <f>"КСК00000000000000126"</f>
        <v>КСК00000000000000126</v>
      </c>
      <c r="R19" t="str">
        <f>"ГОК2.3.1 МС2.3"</f>
        <v>ГОК2.3.1 МС2.3</v>
      </c>
      <c r="S19" t="str">
        <f t="shared" si="2"/>
        <v>Основной</v>
      </c>
      <c r="T19" t="str">
        <f t="shared" si="3"/>
        <v>ГУТС</v>
      </c>
      <c r="U19" t="str">
        <f>""</f>
        <v/>
      </c>
      <c r="V19" t="str">
        <f t="shared" si="4"/>
        <v>Нет</v>
      </c>
      <c r="W19">
        <v>51.743060989999996</v>
      </c>
      <c r="X19">
        <v>36.141430739999997</v>
      </c>
      <c r="Y19" t="str">
        <f>"20000004550246"</f>
        <v>20000004550246</v>
      </c>
    </row>
    <row r="20" spans="1:25" x14ac:dyDescent="0.25">
      <c r="A20">
        <v>907</v>
      </c>
      <c r="B20" t="str">
        <f t="shared" si="0"/>
        <v>Курск</v>
      </c>
      <c r="C20">
        <v>324833</v>
      </c>
      <c r="D20" t="str">
        <f>"OK5.1 ППК 3.1.4 Курск, Карла Маркса, 72 /4 п. 3"</f>
        <v>OK5.1 ППК 3.1.4 Курск, Карла Маркса, 72 /4 п. 3</v>
      </c>
      <c r="E20" t="str">
        <f t="shared" ref="E20:E44" si="8">"КРС-8/16-SC"</f>
        <v>КРС-8/16-SC</v>
      </c>
      <c r="F20" t="str">
        <f>"17.04.2012"</f>
        <v>17.04.2012</v>
      </c>
      <c r="G20" t="str">
        <f>""</f>
        <v/>
      </c>
      <c r="H20" t="str">
        <f>"OK5.1 ППК 3.1.4"</f>
        <v>OK5.1 ППК 3.1.4</v>
      </c>
      <c r="I20" t="str">
        <f>"ДШ (под. 3, ОУ№ 5)"</f>
        <v>ДШ (под. 3, ОУ№ 5)</v>
      </c>
      <c r="J20" t="str">
        <f>"Курск, Карла Маркса, 72 /4"</f>
        <v>Курск, Карла Маркса, 72 /4</v>
      </c>
      <c r="K20" t="str">
        <f>""</f>
        <v/>
      </c>
      <c r="L20" t="str">
        <f>""</f>
        <v/>
      </c>
      <c r="M20">
        <v>138712</v>
      </c>
      <c r="N20" t="str">
        <f>""</f>
        <v/>
      </c>
      <c r="O20" t="str">
        <f>"HSH-138712"</f>
        <v>HSH-138712</v>
      </c>
      <c r="P20" t="str">
        <f t="shared" si="1"/>
        <v>Нет</v>
      </c>
      <c r="Q20" t="str">
        <f>"КСК00000000000000181"</f>
        <v>КСК00000000000000181</v>
      </c>
      <c r="R20" t="str">
        <f>""</f>
        <v/>
      </c>
      <c r="S20" t="str">
        <f t="shared" si="2"/>
        <v>Основной</v>
      </c>
      <c r="T20" t="str">
        <f t="shared" si="3"/>
        <v>ГУТС</v>
      </c>
      <c r="U20" t="str">
        <f>""</f>
        <v/>
      </c>
      <c r="V20" t="str">
        <f t="shared" si="4"/>
        <v>Нет</v>
      </c>
      <c r="W20">
        <v>51.769981086170397</v>
      </c>
      <c r="X20">
        <v>36.1806607246399</v>
      </c>
      <c r="Y20" t="str">
        <f>"20000004550524"</f>
        <v>20000004550524</v>
      </c>
    </row>
    <row r="21" spans="1:25" x14ac:dyDescent="0.25">
      <c r="A21">
        <v>907</v>
      </c>
      <c r="B21" t="str">
        <f t="shared" si="0"/>
        <v>Курск</v>
      </c>
      <c r="C21">
        <v>326033</v>
      </c>
      <c r="D21" t="str">
        <f>"OK4.1 ППК 3.1.9 Курск, Светлый Проезд, 4  п. 3"</f>
        <v>OK4.1 ППК 3.1.9 Курск, Светлый Проезд, 4  п. 3</v>
      </c>
      <c r="E21" t="str">
        <f t="shared" si="8"/>
        <v>КРС-8/16-SC</v>
      </c>
      <c r="F21" t="str">
        <f t="shared" ref="F21:F26" si="9">"18.04.2012"</f>
        <v>18.04.2012</v>
      </c>
      <c r="G21" t="str">
        <f>""</f>
        <v/>
      </c>
      <c r="H21" t="str">
        <f>"OK4.1 ППК 3.1.9"</f>
        <v>OK4.1 ППК 3.1.9</v>
      </c>
      <c r="I21" t="str">
        <f>"ДШ (под. 3, ОУ№ 4)"</f>
        <v>ДШ (под. 3, ОУ№ 4)</v>
      </c>
      <c r="J21" t="str">
        <f>"Курск, Светлый Проезд, 4"</f>
        <v>Курск, Светлый Проезд, 4</v>
      </c>
      <c r="K21" t="str">
        <f>""</f>
        <v/>
      </c>
      <c r="L21" t="str">
        <f>""</f>
        <v/>
      </c>
      <c r="M21">
        <v>138842</v>
      </c>
      <c r="N21" t="str">
        <f>""</f>
        <v/>
      </c>
      <c r="O21" t="str">
        <f>"HSH-138842"</f>
        <v>HSH-138842</v>
      </c>
      <c r="P21" t="str">
        <f t="shared" si="1"/>
        <v>Нет</v>
      </c>
      <c r="Q21" t="str">
        <f t="shared" ref="Q21:Q26" si="10">"КСК00000000000000183"</f>
        <v>КСК00000000000000183</v>
      </c>
      <c r="R21" t="str">
        <f>""</f>
        <v/>
      </c>
      <c r="S21" t="str">
        <f t="shared" si="2"/>
        <v>Основной</v>
      </c>
      <c r="T21" t="str">
        <f t="shared" si="3"/>
        <v>ГУТС</v>
      </c>
      <c r="U21" t="str">
        <f>""</f>
        <v/>
      </c>
      <c r="V21" t="str">
        <f t="shared" si="4"/>
        <v>Нет</v>
      </c>
      <c r="W21">
        <v>51.7708508154534</v>
      </c>
      <c r="X21">
        <v>36.198851466178901</v>
      </c>
      <c r="Y21" t="str">
        <f>"20000004550609"</f>
        <v>20000004550609</v>
      </c>
    </row>
    <row r="22" spans="1:25" x14ac:dyDescent="0.25">
      <c r="A22">
        <v>907</v>
      </c>
      <c r="B22" t="str">
        <f t="shared" si="0"/>
        <v>Курск</v>
      </c>
      <c r="C22">
        <v>326046</v>
      </c>
      <c r="D22" t="str">
        <f>"OK3.1 ППК 3.1.9 Курск, Светлый Проезд, 4 а п. 2"</f>
        <v>OK3.1 ППК 3.1.9 Курск, Светлый Проезд, 4 а п. 2</v>
      </c>
      <c r="E22" t="str">
        <f t="shared" si="8"/>
        <v>КРС-8/16-SC</v>
      </c>
      <c r="F22" t="str">
        <f t="shared" si="9"/>
        <v>18.04.2012</v>
      </c>
      <c r="G22" t="str">
        <f>""</f>
        <v/>
      </c>
      <c r="H22" t="str">
        <f>"OK3.1 ППК 3.1.9"</f>
        <v>OK3.1 ППК 3.1.9</v>
      </c>
      <c r="I22" t="str">
        <f>"ДШ (под. 2, ОУ№ 3)"</f>
        <v>ДШ (под. 2, ОУ№ 3)</v>
      </c>
      <c r="J22" t="str">
        <f>"Курск, Светлый Проезд, 4 а"</f>
        <v>Курск, Светлый Проезд, 4 а</v>
      </c>
      <c r="K22" t="str">
        <f>""</f>
        <v/>
      </c>
      <c r="L22" t="str">
        <f>""</f>
        <v/>
      </c>
      <c r="M22">
        <v>138857</v>
      </c>
      <c r="N22" t="str">
        <f>""</f>
        <v/>
      </c>
      <c r="O22" t="str">
        <f>"HSH-138857"</f>
        <v>HSH-138857</v>
      </c>
      <c r="P22" t="str">
        <f t="shared" si="1"/>
        <v>Нет</v>
      </c>
      <c r="Q22" t="str">
        <f t="shared" si="10"/>
        <v>КСК00000000000000183</v>
      </c>
      <c r="R22" t="str">
        <f>""</f>
        <v/>
      </c>
      <c r="S22" t="str">
        <f t="shared" si="2"/>
        <v>Основной</v>
      </c>
      <c r="T22" t="str">
        <f t="shared" si="3"/>
        <v>ГУТС</v>
      </c>
      <c r="U22" t="str">
        <f>""</f>
        <v/>
      </c>
      <c r="V22" t="str">
        <f t="shared" si="4"/>
        <v>Нет</v>
      </c>
      <c r="W22">
        <v>51.7705885706023</v>
      </c>
      <c r="X22">
        <v>36.1981192231178</v>
      </c>
      <c r="Y22" t="str">
        <f>"20000004550623"</f>
        <v>20000004550623</v>
      </c>
    </row>
    <row r="23" spans="1:25" x14ac:dyDescent="0.25">
      <c r="A23">
        <v>907</v>
      </c>
      <c r="B23" t="str">
        <f t="shared" si="0"/>
        <v>Курск</v>
      </c>
      <c r="C23">
        <v>326072</v>
      </c>
      <c r="D23" t="str">
        <f>"OK5.1 ППК 3.1.9 Курск, Светлый Проезд, 13  п. 1"</f>
        <v>OK5.1 ППК 3.1.9 Курск, Светлый Проезд, 13  п. 1</v>
      </c>
      <c r="E23" t="str">
        <f t="shared" si="8"/>
        <v>КРС-8/16-SC</v>
      </c>
      <c r="F23" t="str">
        <f t="shared" si="9"/>
        <v>18.04.2012</v>
      </c>
      <c r="G23" t="str">
        <f>""</f>
        <v/>
      </c>
      <c r="H23" t="str">
        <f>"OK5.1 ППК 3.1.9"</f>
        <v>OK5.1 ППК 3.1.9</v>
      </c>
      <c r="I23" t="str">
        <f>"ДШ (под. 1, ОУ№ 5)"</f>
        <v>ДШ (под. 1, ОУ№ 5)</v>
      </c>
      <c r="J23" t="str">
        <f>"Курск, Светлый Проезд, 13"</f>
        <v>Курск, Светлый Проезд, 13</v>
      </c>
      <c r="K23" t="str">
        <f>""</f>
        <v/>
      </c>
      <c r="L23" t="str">
        <f>""</f>
        <v/>
      </c>
      <c r="M23">
        <v>138888</v>
      </c>
      <c r="N23" t="str">
        <f>""</f>
        <v/>
      </c>
      <c r="O23" t="str">
        <f>"HSH-138888"</f>
        <v>HSH-138888</v>
      </c>
      <c r="P23" t="str">
        <f t="shared" si="1"/>
        <v>Нет</v>
      </c>
      <c r="Q23" t="str">
        <f t="shared" si="10"/>
        <v>КСК00000000000000183</v>
      </c>
      <c r="R23" t="str">
        <f>""</f>
        <v/>
      </c>
      <c r="S23" t="str">
        <f t="shared" si="2"/>
        <v>Основной</v>
      </c>
      <c r="T23" t="str">
        <f t="shared" si="3"/>
        <v>ГУТС</v>
      </c>
      <c r="U23" t="str">
        <f>""</f>
        <v/>
      </c>
      <c r="V23" t="str">
        <f t="shared" si="4"/>
        <v>Нет</v>
      </c>
      <c r="W23">
        <v>51.771335466484501</v>
      </c>
      <c r="X23">
        <v>36.197883188724497</v>
      </c>
      <c r="Y23" t="str">
        <f>"20000004550651"</f>
        <v>20000004550651</v>
      </c>
    </row>
    <row r="24" spans="1:25" x14ac:dyDescent="0.25">
      <c r="A24">
        <v>907</v>
      </c>
      <c r="B24" t="str">
        <f t="shared" si="0"/>
        <v>Курск</v>
      </c>
      <c r="C24">
        <v>326085</v>
      </c>
      <c r="D24" t="str">
        <f>"ОК1.1 ППК 3.1.9 Курск, Светлый Проезд, 1  п. 2"</f>
        <v>ОК1.1 ППК 3.1.9 Курск, Светлый Проезд, 1  п. 2</v>
      </c>
      <c r="E24" t="str">
        <f t="shared" si="8"/>
        <v>КРС-8/16-SC</v>
      </c>
      <c r="F24" t="str">
        <f t="shared" si="9"/>
        <v>18.04.2012</v>
      </c>
      <c r="G24" t="str">
        <f>""</f>
        <v/>
      </c>
      <c r="H24" t="str">
        <f>"ОК1.1 ППК 3.1.9"</f>
        <v>ОК1.1 ППК 3.1.9</v>
      </c>
      <c r="I24" t="str">
        <f>"ДШ (под. 2, ОУ№ 1)"</f>
        <v>ДШ (под. 2, ОУ№ 1)</v>
      </c>
      <c r="J24" t="str">
        <f>"Курск, Светлый Проезд, 1"</f>
        <v>Курск, Светлый Проезд, 1</v>
      </c>
      <c r="K24" t="str">
        <f>"Подъезд"</f>
        <v>Подъезд</v>
      </c>
      <c r="L24" t="str">
        <f>"28-JAN-12"</f>
        <v>28-JAN-12</v>
      </c>
      <c r="M24">
        <v>138902</v>
      </c>
      <c r="N24" t="str">
        <f>""</f>
        <v/>
      </c>
      <c r="O24" t="str">
        <f>"HSH-138902"</f>
        <v>HSH-138902</v>
      </c>
      <c r="P24" t="str">
        <f t="shared" si="1"/>
        <v>Нет</v>
      </c>
      <c r="Q24" t="str">
        <f t="shared" si="10"/>
        <v>КСК00000000000000183</v>
      </c>
      <c r="R24" t="str">
        <f>""</f>
        <v/>
      </c>
      <c r="S24" t="str">
        <f t="shared" si="2"/>
        <v>Основной</v>
      </c>
      <c r="T24" t="str">
        <f t="shared" si="3"/>
        <v>ГУТС</v>
      </c>
      <c r="U24" t="str">
        <f>""</f>
        <v/>
      </c>
      <c r="V24" t="str">
        <f t="shared" si="4"/>
        <v>Нет</v>
      </c>
      <c r="W24">
        <v>51.770442509518297</v>
      </c>
      <c r="X24">
        <v>36.196142435073902</v>
      </c>
      <c r="Y24" t="str">
        <f>"20000004550662"</f>
        <v>20000004550662</v>
      </c>
    </row>
    <row r="25" spans="1:25" x14ac:dyDescent="0.25">
      <c r="A25">
        <v>907</v>
      </c>
      <c r="B25" t="str">
        <f t="shared" si="0"/>
        <v>Курск</v>
      </c>
      <c r="C25">
        <v>326098</v>
      </c>
      <c r="D25" t="str">
        <f>"OK2.1 ППК 3.1.9 Курск, Светлый Проезд, 2  п. 2"</f>
        <v>OK2.1 ППК 3.1.9 Курск, Светлый Проезд, 2  п. 2</v>
      </c>
      <c r="E25" t="str">
        <f t="shared" si="8"/>
        <v>КРС-8/16-SC</v>
      </c>
      <c r="F25" t="str">
        <f t="shared" si="9"/>
        <v>18.04.2012</v>
      </c>
      <c r="G25" t="str">
        <f>""</f>
        <v/>
      </c>
      <c r="H25" t="str">
        <f>"OK2.1 ППК 3.1.9"</f>
        <v>OK2.1 ППК 3.1.9</v>
      </c>
      <c r="I25" t="str">
        <f>"ДШ (под. 2, ОУ№ 2)"</f>
        <v>ДШ (под. 2, ОУ№ 2)</v>
      </c>
      <c r="J25" t="str">
        <f>"Курск, Светлый Проезд, 2"</f>
        <v>Курск, Светлый Проезд, 2</v>
      </c>
      <c r="K25" t="str">
        <f>""</f>
        <v/>
      </c>
      <c r="L25" t="str">
        <f>""</f>
        <v/>
      </c>
      <c r="M25">
        <v>138912</v>
      </c>
      <c r="N25" t="str">
        <f>""</f>
        <v/>
      </c>
      <c r="O25" t="str">
        <f>"HSH-138912"</f>
        <v>HSH-138912</v>
      </c>
      <c r="P25" t="str">
        <f t="shared" si="1"/>
        <v>Нет</v>
      </c>
      <c r="Q25" t="str">
        <f t="shared" si="10"/>
        <v>КСК00000000000000183</v>
      </c>
      <c r="R25" t="str">
        <f>""</f>
        <v/>
      </c>
      <c r="S25" t="str">
        <f t="shared" si="2"/>
        <v>Основной</v>
      </c>
      <c r="T25" t="str">
        <f t="shared" si="3"/>
        <v>ГУТС</v>
      </c>
      <c r="U25" t="str">
        <f>""</f>
        <v/>
      </c>
      <c r="V25" t="str">
        <f t="shared" si="4"/>
        <v>Нет</v>
      </c>
      <c r="W25">
        <v>51.7703993550167</v>
      </c>
      <c r="X25">
        <v>36.196759343147299</v>
      </c>
      <c r="Y25" t="str">
        <f>"20000004550675"</f>
        <v>20000004550675</v>
      </c>
    </row>
    <row r="26" spans="1:25" x14ac:dyDescent="0.25">
      <c r="A26">
        <v>907</v>
      </c>
      <c r="B26" t="str">
        <f t="shared" si="0"/>
        <v>Курск</v>
      </c>
      <c r="C26">
        <v>326111</v>
      </c>
      <c r="D26" t="str">
        <f>"OK2а.1 ППК 3.1.9 Курск, Светлый Проезд, 3  п. 2"</f>
        <v>OK2а.1 ППК 3.1.9 Курск, Светлый Проезд, 3  п. 2</v>
      </c>
      <c r="E26" t="str">
        <f t="shared" si="8"/>
        <v>КРС-8/16-SC</v>
      </c>
      <c r="F26" t="str">
        <f t="shared" si="9"/>
        <v>18.04.2012</v>
      </c>
      <c r="G26" t="str">
        <f>""</f>
        <v/>
      </c>
      <c r="H26" t="str">
        <f>"OK2а.1 ППК 3.1.9"</f>
        <v>OK2а.1 ППК 3.1.9</v>
      </c>
      <c r="I26" t="str">
        <f>"ДШ (под. 2, ОУ№ 2а)"</f>
        <v>ДШ (под. 2, ОУ№ 2а)</v>
      </c>
      <c r="J26" t="str">
        <f>"Курск, Светлый Проезд, 3"</f>
        <v>Курск, Светлый Проезд, 3</v>
      </c>
      <c r="K26" t="str">
        <f>""</f>
        <v/>
      </c>
      <c r="L26" t="str">
        <f>""</f>
        <v/>
      </c>
      <c r="M26">
        <v>138931</v>
      </c>
      <c r="N26" t="str">
        <f>""</f>
        <v/>
      </c>
      <c r="O26" t="str">
        <f>"HSH-138931"</f>
        <v>HSH-138931</v>
      </c>
      <c r="P26" t="str">
        <f t="shared" si="1"/>
        <v>Нет</v>
      </c>
      <c r="Q26" t="str">
        <f t="shared" si="10"/>
        <v>КСК00000000000000183</v>
      </c>
      <c r="R26" t="str">
        <f>""</f>
        <v/>
      </c>
      <c r="S26" t="str">
        <f t="shared" si="2"/>
        <v>Основной</v>
      </c>
      <c r="T26" t="str">
        <f t="shared" si="3"/>
        <v>ГУТС</v>
      </c>
      <c r="U26" t="str">
        <f>""</f>
        <v/>
      </c>
      <c r="V26" t="str">
        <f t="shared" si="4"/>
        <v>Нет</v>
      </c>
      <c r="W26">
        <v>51.770472385687597</v>
      </c>
      <c r="X26">
        <v>36.197445988655097</v>
      </c>
      <c r="Y26" t="str">
        <f>"20000004550688"</f>
        <v>20000004550688</v>
      </c>
    </row>
    <row r="27" spans="1:25" x14ac:dyDescent="0.25">
      <c r="A27">
        <v>907</v>
      </c>
      <c r="B27" t="str">
        <f t="shared" si="0"/>
        <v>Курск</v>
      </c>
      <c r="C27">
        <v>329033</v>
      </c>
      <c r="D27" t="str">
        <f>"ГОК2.2.7.1 Курск, Энтузиастов Пр-Кт, 1  п. 8"</f>
        <v>ГОК2.2.7.1 Курск, Энтузиастов Пр-Кт, 1  п. 8</v>
      </c>
      <c r="E27" t="str">
        <f t="shared" si="8"/>
        <v>КРС-8/16-SC</v>
      </c>
      <c r="F27" t="str">
        <f t="shared" ref="F27:F32" si="11">"29.01.2013"</f>
        <v>29.01.2013</v>
      </c>
      <c r="G27" t="str">
        <f>""</f>
        <v/>
      </c>
      <c r="H27" t="str">
        <f>"ГОК2.2.7.1"</f>
        <v>ГОК2.2.7.1</v>
      </c>
      <c r="I27" t="str">
        <f>"ДШ (под. 8, ОУ№ 1)"</f>
        <v>ДШ (под. 8, ОУ№ 1)</v>
      </c>
      <c r="J27" t="str">
        <f>"Курск, Энтузиастов Пр-Кт, 1"</f>
        <v>Курск, Энтузиастов Пр-Кт, 1</v>
      </c>
      <c r="K27" t="str">
        <f t="shared" ref="K27:K32" si="12">"Подъезд"</f>
        <v>Подъезд</v>
      </c>
      <c r="L27" t="str">
        <f>"22-FEB-12"</f>
        <v>22-FEB-12</v>
      </c>
      <c r="M27">
        <v>0</v>
      </c>
      <c r="N27" t="str">
        <f>""</f>
        <v/>
      </c>
      <c r="O27" t="str">
        <f>"EmptySerial&lt;31368&gt;"</f>
        <v>EmptySerial&lt;31368&gt;</v>
      </c>
      <c r="P27" t="str">
        <f t="shared" si="1"/>
        <v>Нет</v>
      </c>
      <c r="Q27" t="str">
        <f>"КСК00000000000000153"</f>
        <v>КСК00000000000000153</v>
      </c>
      <c r="R27" t="str">
        <f>"ГОК2.2.7 МС2.2"</f>
        <v>ГОК2.2.7 МС2.2</v>
      </c>
      <c r="S27" t="str">
        <f t="shared" si="2"/>
        <v>Основной</v>
      </c>
      <c r="T27" t="str">
        <f t="shared" si="3"/>
        <v>ГУТС</v>
      </c>
      <c r="U27" t="str">
        <f>""</f>
        <v/>
      </c>
      <c r="V27" t="str">
        <f t="shared" si="4"/>
        <v>Нет</v>
      </c>
      <c r="W27">
        <v>51.739015109999997</v>
      </c>
      <c r="X27">
        <v>36.136114599999999</v>
      </c>
      <c r="Y27" t="str">
        <f>"20000004550988"</f>
        <v>20000004550988</v>
      </c>
    </row>
    <row r="28" spans="1:25" x14ac:dyDescent="0.25">
      <c r="A28">
        <v>907</v>
      </c>
      <c r="B28" t="str">
        <f t="shared" si="0"/>
        <v>Курск</v>
      </c>
      <c r="C28">
        <v>329046</v>
      </c>
      <c r="D28" t="str">
        <f>"ГОК2.2.1.1 Курск, Энтузиастов Пр-Кт, 8 а п. 1"</f>
        <v>ГОК2.2.1.1 Курск, Энтузиастов Пр-Кт, 8 а п. 1</v>
      </c>
      <c r="E28" t="str">
        <f t="shared" si="8"/>
        <v>КРС-8/16-SC</v>
      </c>
      <c r="F28" t="str">
        <f t="shared" si="11"/>
        <v>29.01.2013</v>
      </c>
      <c r="G28" t="str">
        <f>""</f>
        <v/>
      </c>
      <c r="H28" t="str">
        <f>"ГОК2.2.1.1"</f>
        <v>ГОК2.2.1.1</v>
      </c>
      <c r="I28" t="str">
        <f>"ДШ (под. 1, ОУ№ 1)"</f>
        <v>ДШ (под. 1, ОУ№ 1)</v>
      </c>
      <c r="J28" t="str">
        <f>"Курск, Энтузиастов Пр-Кт, 8 а"</f>
        <v>Курск, Энтузиастов Пр-Кт, 8 а</v>
      </c>
      <c r="K28" t="str">
        <f t="shared" si="12"/>
        <v>Подъезд</v>
      </c>
      <c r="L28" t="str">
        <f>"18-FEB-12"</f>
        <v>18-FEB-12</v>
      </c>
      <c r="M28">
        <v>0</v>
      </c>
      <c r="N28" t="str">
        <f>""</f>
        <v/>
      </c>
      <c r="O28" t="str">
        <f>"EmptySerial&lt;31367&gt;"</f>
        <v>EmptySerial&lt;31367&gt;</v>
      </c>
      <c r="P28" t="str">
        <f t="shared" si="1"/>
        <v>Нет</v>
      </c>
      <c r="Q28" t="str">
        <f>"КСК00000000000000120"</f>
        <v>КСК00000000000000120</v>
      </c>
      <c r="R28" t="str">
        <f>"ГОК2.2.1 МС2.2"</f>
        <v>ГОК2.2.1 МС2.2</v>
      </c>
      <c r="S28" t="str">
        <f t="shared" si="2"/>
        <v>Основной</v>
      </c>
      <c r="T28" t="str">
        <f t="shared" si="3"/>
        <v>ГУТС</v>
      </c>
      <c r="U28" t="str">
        <f>""</f>
        <v/>
      </c>
      <c r="V28" t="str">
        <f t="shared" si="4"/>
        <v>Нет</v>
      </c>
      <c r="W28">
        <v>51.739838929999998</v>
      </c>
      <c r="X28">
        <v>36.134011749999999</v>
      </c>
      <c r="Y28" t="str">
        <f>"20000004550987"</f>
        <v>20000004550987</v>
      </c>
    </row>
    <row r="29" spans="1:25" x14ac:dyDescent="0.25">
      <c r="A29">
        <v>907</v>
      </c>
      <c r="B29" t="str">
        <f t="shared" si="0"/>
        <v>Курск</v>
      </c>
      <c r="C29">
        <v>329072</v>
      </c>
      <c r="D29" t="str">
        <f>"ГОК2.2.8.1 Курск, Дружбы Пр-Кт, 18  п. 1"</f>
        <v>ГОК2.2.8.1 Курск, Дружбы Пр-Кт, 18  п. 1</v>
      </c>
      <c r="E29" t="str">
        <f t="shared" si="8"/>
        <v>КРС-8/16-SC</v>
      </c>
      <c r="F29" t="str">
        <f t="shared" si="11"/>
        <v>29.01.2013</v>
      </c>
      <c r="G29" t="str">
        <f>""</f>
        <v/>
      </c>
      <c r="H29" t="str">
        <f>"ГОК2.2.8.1"</f>
        <v>ГОК2.2.8.1</v>
      </c>
      <c r="I29" t="str">
        <f>"ДШ (под. 1, ОУ№ 1)"</f>
        <v>ДШ (под. 1, ОУ№ 1)</v>
      </c>
      <c r="J29" t="str">
        <f>"Курск, Дружбы Пр-Кт, 18"</f>
        <v>Курск, Дружбы Пр-Кт, 18</v>
      </c>
      <c r="K29" t="str">
        <f t="shared" si="12"/>
        <v>Подъезд</v>
      </c>
      <c r="L29" t="str">
        <f>"25-FEB-12"</f>
        <v>25-FEB-12</v>
      </c>
      <c r="M29">
        <v>0</v>
      </c>
      <c r="N29" t="str">
        <f>""</f>
        <v/>
      </c>
      <c r="O29" t="str">
        <f>"EmptySerial&lt;31365&gt;"</f>
        <v>EmptySerial&lt;31365&gt;</v>
      </c>
      <c r="P29" t="str">
        <f t="shared" si="1"/>
        <v>Нет</v>
      </c>
      <c r="Q29" t="str">
        <f>"КСК00000000000000125"</f>
        <v>КСК00000000000000125</v>
      </c>
      <c r="R29" t="str">
        <f>"ГОК2.2.8 МС2.2"</f>
        <v>ГОК2.2.8 МС2.2</v>
      </c>
      <c r="S29" t="str">
        <f t="shared" si="2"/>
        <v>Основной</v>
      </c>
      <c r="T29" t="str">
        <f t="shared" si="3"/>
        <v>ГУТС</v>
      </c>
      <c r="U29" t="str">
        <f>""</f>
        <v/>
      </c>
      <c r="V29" t="str">
        <f t="shared" si="4"/>
        <v>Нет</v>
      </c>
      <c r="W29">
        <v>51.740862040000003</v>
      </c>
      <c r="X29">
        <v>36.135106090000001</v>
      </c>
      <c r="Y29" t="str">
        <f>"20000004550985"</f>
        <v>20000004550985</v>
      </c>
    </row>
    <row r="30" spans="1:25" x14ac:dyDescent="0.25">
      <c r="A30">
        <v>907</v>
      </c>
      <c r="B30" t="str">
        <f t="shared" si="0"/>
        <v>Курск</v>
      </c>
      <c r="C30">
        <v>329085</v>
      </c>
      <c r="D30" t="str">
        <f>"ГОК2.2.3.1 Курск, Косухина, 7  п. 2"</f>
        <v>ГОК2.2.3.1 Курск, Косухина, 7  п. 2</v>
      </c>
      <c r="E30" t="str">
        <f t="shared" si="8"/>
        <v>КРС-8/16-SC</v>
      </c>
      <c r="F30" t="str">
        <f t="shared" si="11"/>
        <v>29.01.2013</v>
      </c>
      <c r="G30" t="str">
        <f>""</f>
        <v/>
      </c>
      <c r="H30" t="str">
        <f>"ГОК2.2.3.1"</f>
        <v>ГОК2.2.3.1</v>
      </c>
      <c r="I30" t="str">
        <f>"ДШ (под. 2, ОУ№ 1)"</f>
        <v>ДШ (под. 2, ОУ№ 1)</v>
      </c>
      <c r="J30" t="str">
        <f>"Курск, Косухина, 7"</f>
        <v>Курск, Косухина, 7</v>
      </c>
      <c r="K30" t="str">
        <f t="shared" si="12"/>
        <v>Подъезд</v>
      </c>
      <c r="L30" t="str">
        <f>"17-FEB-12"</f>
        <v>17-FEB-12</v>
      </c>
      <c r="M30">
        <v>0</v>
      </c>
      <c r="N30" t="str">
        <f>""</f>
        <v/>
      </c>
      <c r="O30" t="str">
        <f>"EmptySerial&lt;31364&gt;"</f>
        <v>EmptySerial&lt;31364&gt;</v>
      </c>
      <c r="P30" t="str">
        <f t="shared" si="1"/>
        <v>Нет</v>
      </c>
      <c r="Q30" t="str">
        <f>"КСК00000000000000122"</f>
        <v>КСК00000000000000122</v>
      </c>
      <c r="R30" t="str">
        <f>"ГОК2.2.3 МС2.2"</f>
        <v>ГОК2.2.3 МС2.2</v>
      </c>
      <c r="S30" t="str">
        <f t="shared" si="2"/>
        <v>Основной</v>
      </c>
      <c r="T30" t="str">
        <f t="shared" si="3"/>
        <v>ГУТС</v>
      </c>
      <c r="U30" t="str">
        <f>""</f>
        <v/>
      </c>
      <c r="V30" t="str">
        <f t="shared" si="4"/>
        <v>Нет</v>
      </c>
      <c r="W30">
        <v>51.7366365793943</v>
      </c>
      <c r="X30">
        <v>36.132997869999997</v>
      </c>
      <c r="Y30" t="str">
        <f>"20000004550984"</f>
        <v>20000004550984</v>
      </c>
    </row>
    <row r="31" spans="1:25" x14ac:dyDescent="0.25">
      <c r="A31">
        <v>907</v>
      </c>
      <c r="B31" t="str">
        <f t="shared" si="0"/>
        <v>Курск</v>
      </c>
      <c r="C31">
        <v>329098</v>
      </c>
      <c r="D31" t="str">
        <f>"ГОК2.2.4.1 Курск, Косухина, 35  п. 3"</f>
        <v>ГОК2.2.4.1 Курск, Косухина, 35  п. 3</v>
      </c>
      <c r="E31" t="str">
        <f t="shared" si="8"/>
        <v>КРС-8/16-SC</v>
      </c>
      <c r="F31" t="str">
        <f t="shared" si="11"/>
        <v>29.01.2013</v>
      </c>
      <c r="G31" t="str">
        <f>""</f>
        <v/>
      </c>
      <c r="H31" t="str">
        <f>"ГОК2.2.4.1"</f>
        <v>ГОК2.2.4.1</v>
      </c>
      <c r="I31" t="str">
        <f>"ДШ (под. 3, ОУ№ 1)"</f>
        <v>ДШ (под. 3, ОУ№ 1)</v>
      </c>
      <c r="J31" t="str">
        <f>"Курск, Косухина, 35"</f>
        <v>Курск, Косухина, 35</v>
      </c>
      <c r="K31" t="str">
        <f t="shared" si="12"/>
        <v>Подъезд</v>
      </c>
      <c r="L31" t="str">
        <f>"19-FEB-12"</f>
        <v>19-FEB-12</v>
      </c>
      <c r="M31">
        <v>0</v>
      </c>
      <c r="N31" t="str">
        <f>""</f>
        <v/>
      </c>
      <c r="O31" t="str">
        <f>"EmptySerial&lt;31363&gt;"</f>
        <v>EmptySerial&lt;31363&gt;</v>
      </c>
      <c r="P31" t="str">
        <f t="shared" si="1"/>
        <v>Нет</v>
      </c>
      <c r="Q31" t="str">
        <f>"КСК00000000000000123"</f>
        <v>КСК00000000000000123</v>
      </c>
      <c r="R31" t="str">
        <f>"ГОК2.2.4 МС2.2"</f>
        <v>ГОК2.2.4 МС2.2</v>
      </c>
      <c r="S31" t="str">
        <f t="shared" si="2"/>
        <v>Основной</v>
      </c>
      <c r="T31" t="str">
        <f t="shared" si="3"/>
        <v>ГУТС</v>
      </c>
      <c r="U31" t="str">
        <f>""</f>
        <v/>
      </c>
      <c r="V31" t="str">
        <f t="shared" si="4"/>
        <v>Нет</v>
      </c>
      <c r="W31">
        <v>51.7328393038892</v>
      </c>
      <c r="X31">
        <v>36.128802895546002</v>
      </c>
      <c r="Y31" t="str">
        <f>"20000004550983"</f>
        <v>20000004550983</v>
      </c>
    </row>
    <row r="32" spans="1:25" x14ac:dyDescent="0.25">
      <c r="A32">
        <v>907</v>
      </c>
      <c r="B32" t="str">
        <f t="shared" si="0"/>
        <v>Курск</v>
      </c>
      <c r="C32">
        <v>329111</v>
      </c>
      <c r="D32" t="str">
        <f>"ГОК2.2.6.1 Курск, К.Воробьева, 7  п. 1"</f>
        <v>ГОК2.2.6.1 Курск, К.Воробьева, 7  п. 1</v>
      </c>
      <c r="E32" t="str">
        <f t="shared" si="8"/>
        <v>КРС-8/16-SC</v>
      </c>
      <c r="F32" t="str">
        <f t="shared" si="11"/>
        <v>29.01.2013</v>
      </c>
      <c r="G32" t="str">
        <f>""</f>
        <v/>
      </c>
      <c r="H32" t="str">
        <f>"ГОК2.2.6.1"</f>
        <v>ГОК2.2.6.1</v>
      </c>
      <c r="I32" t="str">
        <f>"ДШ (под. 1, ОУ№ 1)"</f>
        <v>ДШ (под. 1, ОУ№ 1)</v>
      </c>
      <c r="J32" t="str">
        <f>"Курск, К.Воробьева, 7"</f>
        <v>Курск, К.Воробьева, 7</v>
      </c>
      <c r="K32" t="str">
        <f t="shared" si="12"/>
        <v>Подъезд</v>
      </c>
      <c r="L32" t="str">
        <f>"19-FEB-12"</f>
        <v>19-FEB-12</v>
      </c>
      <c r="M32">
        <v>0</v>
      </c>
      <c r="N32" t="str">
        <f>""</f>
        <v/>
      </c>
      <c r="O32" t="str">
        <f>"EmptySerial&lt;31362&gt;"</f>
        <v>EmptySerial&lt;31362&gt;</v>
      </c>
      <c r="P32" t="str">
        <f t="shared" si="1"/>
        <v>Нет</v>
      </c>
      <c r="Q32" t="str">
        <f>"КСК00000000000000124"</f>
        <v>КСК00000000000000124</v>
      </c>
      <c r="R32" t="str">
        <f>"ГОК2.2.6 МС2.2"</f>
        <v>ГОК2.2.6 МС2.2</v>
      </c>
      <c r="S32" t="str">
        <f t="shared" si="2"/>
        <v>Основной</v>
      </c>
      <c r="T32" t="str">
        <f t="shared" si="3"/>
        <v>ГУТС</v>
      </c>
      <c r="U32" t="str">
        <f>""</f>
        <v/>
      </c>
      <c r="V32" t="str">
        <f t="shared" si="4"/>
        <v>Нет</v>
      </c>
      <c r="W32">
        <v>51.732776180000002</v>
      </c>
      <c r="X32">
        <v>36.126504240000003</v>
      </c>
      <c r="Y32" t="str">
        <f>"20000004550982"</f>
        <v>20000004550982</v>
      </c>
    </row>
    <row r="33" spans="1:25" x14ac:dyDescent="0.25">
      <c r="A33">
        <v>907</v>
      </c>
      <c r="B33" t="str">
        <f t="shared" si="0"/>
        <v>Курск</v>
      </c>
      <c r="C33">
        <v>332459</v>
      </c>
      <c r="D33" t="str">
        <f>"OK4.2 ППК 3.2.5 Курск, Карла Маркса, 55  п. 2"</f>
        <v>OK4.2 ППК 3.2.5 Курск, Карла Маркса, 55  п. 2</v>
      </c>
      <c r="E33" t="str">
        <f t="shared" si="8"/>
        <v>КРС-8/16-SC</v>
      </c>
      <c r="F33" t="str">
        <f>"23.04.2012"</f>
        <v>23.04.2012</v>
      </c>
      <c r="G33" t="str">
        <f>"№1"</f>
        <v>№1</v>
      </c>
      <c r="H33" t="str">
        <f>"OK4.2 ППК 3.2.5"</f>
        <v>OK4.2 ППК 3.2.5</v>
      </c>
      <c r="I33" t="str">
        <f>"ДШ (под. 2, ОУ№ 4)"</f>
        <v>ДШ (под. 2, ОУ№ 4)</v>
      </c>
      <c r="J33" t="str">
        <f>"Курск, Карла Маркса, 55"</f>
        <v>Курск, Карла Маркса, 55</v>
      </c>
      <c r="K33" t="str">
        <f>"Чердак"</f>
        <v>Чердак</v>
      </c>
      <c r="L33" t="str">
        <f>"23-APR-12"</f>
        <v>23-APR-12</v>
      </c>
      <c r="M33">
        <v>139631</v>
      </c>
      <c r="N33" t="str">
        <f>""</f>
        <v/>
      </c>
      <c r="O33" t="str">
        <f>"HSH-139631"</f>
        <v>HSH-139631</v>
      </c>
      <c r="P33" t="str">
        <f t="shared" si="1"/>
        <v>Нет</v>
      </c>
      <c r="Q33" t="str">
        <f>"КСК00000000000000186"</f>
        <v>КСК00000000000000186</v>
      </c>
      <c r="R33" t="str">
        <f>"ГОК3.2.5 МС3.2"</f>
        <v>ГОК3.2.5 МС3.2</v>
      </c>
      <c r="S33" t="str">
        <f t="shared" si="2"/>
        <v>Основной</v>
      </c>
      <c r="T33" t="str">
        <f t="shared" si="3"/>
        <v>ГУТС</v>
      </c>
      <c r="U33" t="str">
        <f>""</f>
        <v/>
      </c>
      <c r="V33" t="str">
        <f t="shared" si="4"/>
        <v>Нет</v>
      </c>
      <c r="W33">
        <v>51.757378090000003</v>
      </c>
      <c r="X33">
        <v>36.189356449999998</v>
      </c>
      <c r="Y33" t="str">
        <f>"20000004551285"</f>
        <v>20000004551285</v>
      </c>
    </row>
    <row r="34" spans="1:25" x14ac:dyDescent="0.25">
      <c r="A34">
        <v>907</v>
      </c>
      <c r="B34" t="str">
        <f t="shared" si="0"/>
        <v>Курск</v>
      </c>
      <c r="C34">
        <v>337844</v>
      </c>
      <c r="D34" t="str">
        <f>"ГОК2.4.2.1 Курск, Хрущева Пр-Кт, 28  п. 2"</f>
        <v>ГОК2.4.2.1 Курск, Хрущева Пр-Кт, 28  п. 2</v>
      </c>
      <c r="E34" t="str">
        <f t="shared" si="8"/>
        <v>КРС-8/16-SC</v>
      </c>
      <c r="F34" t="str">
        <f>"29.01.2013"</f>
        <v>29.01.2013</v>
      </c>
      <c r="G34" t="str">
        <f>""</f>
        <v/>
      </c>
      <c r="H34" t="str">
        <f>"ГОК2.4.2.1"</f>
        <v>ГОК2.4.2.1</v>
      </c>
      <c r="I34" t="str">
        <f>"ДШ (под. 2, ОУ№ 1)"</f>
        <v>ДШ (под. 2, ОУ№ 1)</v>
      </c>
      <c r="J34" t="str">
        <f>"Курск, Хрущева Пр-Кт, 28"</f>
        <v>Курск, Хрущева Пр-Кт, 28</v>
      </c>
      <c r="K34" t="str">
        <f t="shared" ref="K34:K39" si="13">"Подъезд"</f>
        <v>Подъезд</v>
      </c>
      <c r="L34" t="str">
        <f>"23-FEB-12"</f>
        <v>23-FEB-12</v>
      </c>
      <c r="M34">
        <v>0</v>
      </c>
      <c r="N34" t="str">
        <f>""</f>
        <v/>
      </c>
      <c r="O34" t="str">
        <f>"EmptySerial&lt;32328&gt;"</f>
        <v>EmptySerial&lt;32328&gt;</v>
      </c>
      <c r="P34" t="str">
        <f t="shared" si="1"/>
        <v>Нет</v>
      </c>
      <c r="Q34" t="str">
        <f>"КСК00000000000000176"</f>
        <v>КСК00000000000000176</v>
      </c>
      <c r="R34" t="str">
        <f>"ГОК2.4.2 МС2.4"</f>
        <v>ГОК2.4.2 МС2.4</v>
      </c>
      <c r="S34" t="str">
        <f t="shared" si="2"/>
        <v>Основной</v>
      </c>
      <c r="T34" t="str">
        <f t="shared" si="3"/>
        <v>ГУТС</v>
      </c>
      <c r="U34" t="str">
        <f>""</f>
        <v/>
      </c>
      <c r="V34" t="str">
        <f t="shared" si="4"/>
        <v>Нет</v>
      </c>
      <c r="W34">
        <v>51.732507068631698</v>
      </c>
      <c r="X34">
        <v>36.141972541809103</v>
      </c>
      <c r="Y34" t="str">
        <f>"20000004551736"</f>
        <v>20000004551736</v>
      </c>
    </row>
    <row r="35" spans="1:25" x14ac:dyDescent="0.25">
      <c r="A35">
        <v>907</v>
      </c>
      <c r="B35" t="str">
        <f t="shared" si="0"/>
        <v>Курск</v>
      </c>
      <c r="C35">
        <v>337857</v>
      </c>
      <c r="D35" t="str">
        <f>"ГОК2.4.7.1 Курск, Косухина, 22  п. 2"</f>
        <v>ГОК2.4.7.1 Курск, Косухина, 22  п. 2</v>
      </c>
      <c r="E35" t="str">
        <f t="shared" si="8"/>
        <v>КРС-8/16-SC</v>
      </c>
      <c r="F35" t="str">
        <f>"29.01.2013"</f>
        <v>29.01.2013</v>
      </c>
      <c r="G35" t="str">
        <f>""</f>
        <v/>
      </c>
      <c r="H35" t="str">
        <f>"ГОК2.4.7.1"</f>
        <v>ГОК2.4.7.1</v>
      </c>
      <c r="I35" t="str">
        <f>"ДШ (под. 2, ОУ№ 1)"</f>
        <v>ДШ (под. 2, ОУ№ 1)</v>
      </c>
      <c r="J35" t="str">
        <f>"Курск, Косухина, 22"</f>
        <v>Курск, Косухина, 22</v>
      </c>
      <c r="K35" t="str">
        <f t="shared" si="13"/>
        <v>Подъезд</v>
      </c>
      <c r="L35" t="str">
        <f>"23-FEB-12"</f>
        <v>23-FEB-12</v>
      </c>
      <c r="M35">
        <v>0</v>
      </c>
      <c r="N35" t="str">
        <f>""</f>
        <v/>
      </c>
      <c r="O35" t="str">
        <f>"EmptySerial&lt;32327&gt;"</f>
        <v>EmptySerial&lt;32327&gt;</v>
      </c>
      <c r="P35" t="str">
        <f t="shared" si="1"/>
        <v>Нет</v>
      </c>
      <c r="Q35" t="str">
        <f>"КСК00000000000000157"</f>
        <v>КСК00000000000000157</v>
      </c>
      <c r="R35" t="str">
        <f>"ГОК2.4.7 МС2.4"</f>
        <v>ГОК2.4.7 МС2.4</v>
      </c>
      <c r="S35" t="str">
        <f t="shared" si="2"/>
        <v>Основной</v>
      </c>
      <c r="T35" t="str">
        <f t="shared" si="3"/>
        <v>ГУТС</v>
      </c>
      <c r="U35" t="str">
        <f>""</f>
        <v/>
      </c>
      <c r="V35" t="str">
        <f t="shared" si="4"/>
        <v>Нет</v>
      </c>
      <c r="W35">
        <v>51.732975519638899</v>
      </c>
      <c r="X35">
        <v>36.132525801658602</v>
      </c>
      <c r="Y35" t="str">
        <f>"20000004551735"</f>
        <v>20000004551735</v>
      </c>
    </row>
    <row r="36" spans="1:25" x14ac:dyDescent="0.25">
      <c r="A36">
        <v>907</v>
      </c>
      <c r="B36" t="str">
        <f t="shared" si="0"/>
        <v>Курск</v>
      </c>
      <c r="C36">
        <v>337870</v>
      </c>
      <c r="D36" t="str">
        <f>"ГОК2.4.6.1 Курск, Косухина, 34  п. 1"</f>
        <v>ГОК2.4.6.1 Курск, Косухина, 34  п. 1</v>
      </c>
      <c r="E36" t="str">
        <f t="shared" si="8"/>
        <v>КРС-8/16-SC</v>
      </c>
      <c r="F36" t="str">
        <f>"29.01.2013"</f>
        <v>29.01.2013</v>
      </c>
      <c r="G36" t="str">
        <f>""</f>
        <v/>
      </c>
      <c r="H36" t="str">
        <f>"ГОК2.4.6.1"</f>
        <v>ГОК2.4.6.1</v>
      </c>
      <c r="I36" t="str">
        <f>"ДШ (под. 1, ОУ№ 1)"</f>
        <v>ДШ (под. 1, ОУ№ 1)</v>
      </c>
      <c r="J36" t="str">
        <f>"Курск, Косухина, 34"</f>
        <v>Курск, Косухина, 34</v>
      </c>
      <c r="K36" t="str">
        <f t="shared" si="13"/>
        <v>Подъезд</v>
      </c>
      <c r="L36" t="str">
        <f>"18-FEB-12"</f>
        <v>18-FEB-12</v>
      </c>
      <c r="M36">
        <v>0</v>
      </c>
      <c r="N36" t="str">
        <f>""</f>
        <v/>
      </c>
      <c r="O36" t="str">
        <f>"EmptySerial&lt;32326&gt;"</f>
        <v>EmptySerial&lt;32326&gt;</v>
      </c>
      <c r="P36" t="str">
        <f t="shared" si="1"/>
        <v>Нет</v>
      </c>
      <c r="Q36" t="str">
        <f>"КСК00000000000000217"</f>
        <v>КСК00000000000000217</v>
      </c>
      <c r="R36" t="str">
        <f>"ГОК2.4.6 МС2.4"</f>
        <v>ГОК2.4.6 МС2.4</v>
      </c>
      <c r="S36" t="str">
        <f t="shared" si="2"/>
        <v>Основной</v>
      </c>
      <c r="T36" t="str">
        <f t="shared" si="3"/>
        <v>ГУТС</v>
      </c>
      <c r="U36" t="str">
        <f>""</f>
        <v/>
      </c>
      <c r="V36" t="str">
        <f t="shared" si="4"/>
        <v>Нет</v>
      </c>
      <c r="W36">
        <v>51.732370851470201</v>
      </c>
      <c r="X36">
        <v>36.131865978241002</v>
      </c>
      <c r="Y36" t="str">
        <f>"20000004551734"</f>
        <v>20000004551734</v>
      </c>
    </row>
    <row r="37" spans="1:25" x14ac:dyDescent="0.25">
      <c r="A37">
        <v>907</v>
      </c>
      <c r="B37" t="str">
        <f t="shared" si="0"/>
        <v>Курск</v>
      </c>
      <c r="C37">
        <v>337883</v>
      </c>
      <c r="D37" t="str">
        <f>"ГОК2.4.5.1 Курск, Майский Б-Р, 22  п. 1"</f>
        <v>ГОК2.4.5.1 Курск, Майский Б-Р, 22  п. 1</v>
      </c>
      <c r="E37" t="str">
        <f t="shared" si="8"/>
        <v>КРС-8/16-SC</v>
      </c>
      <c r="F37" t="str">
        <f>"29.01.2013"</f>
        <v>29.01.2013</v>
      </c>
      <c r="G37" t="str">
        <f>""</f>
        <v/>
      </c>
      <c r="H37" t="str">
        <f>"ГОК2.4.5.1"</f>
        <v>ГОК2.4.5.1</v>
      </c>
      <c r="I37" t="str">
        <f>"ДШ (под. 1, ОУ№ 1)"</f>
        <v>ДШ (под. 1, ОУ№ 1)</v>
      </c>
      <c r="J37" t="str">
        <f>"Курск, Майский Б-Р, 22"</f>
        <v>Курск, Майский Б-Р, 22</v>
      </c>
      <c r="K37" t="str">
        <f t="shared" si="13"/>
        <v>Подъезд</v>
      </c>
      <c r="L37" t="str">
        <f>"18-FEB-12"</f>
        <v>18-FEB-12</v>
      </c>
      <c r="M37">
        <v>0</v>
      </c>
      <c r="N37" t="str">
        <f>""</f>
        <v/>
      </c>
      <c r="O37" t="str">
        <f>"EmptySerial&lt;32325&gt;"</f>
        <v>EmptySerial&lt;32325&gt;</v>
      </c>
      <c r="P37" t="str">
        <f t="shared" si="1"/>
        <v>Нет</v>
      </c>
      <c r="Q37" t="str">
        <f>"КСК00000000000000156"</f>
        <v>КСК00000000000000156</v>
      </c>
      <c r="R37" t="str">
        <f>"ГОК2.4.5 МС2.4"</f>
        <v>ГОК2.4.5 МС2.4</v>
      </c>
      <c r="S37" t="str">
        <f t="shared" si="2"/>
        <v>Основной</v>
      </c>
      <c r="T37" t="str">
        <f t="shared" si="3"/>
        <v>ГУТС</v>
      </c>
      <c r="U37" t="str">
        <f>""</f>
        <v/>
      </c>
      <c r="V37" t="str">
        <f t="shared" si="4"/>
        <v>Нет</v>
      </c>
      <c r="W37">
        <v>51.730081677264003</v>
      </c>
      <c r="X37">
        <v>36.1350417137146</v>
      </c>
      <c r="Y37" t="str">
        <f>"20000004551733"</f>
        <v>20000004551733</v>
      </c>
    </row>
    <row r="38" spans="1:25" x14ac:dyDescent="0.25">
      <c r="A38">
        <v>907</v>
      </c>
      <c r="B38" t="str">
        <f t="shared" si="0"/>
        <v>Курск</v>
      </c>
      <c r="C38">
        <v>337896</v>
      </c>
      <c r="D38" t="str">
        <f>"ГОК2.4.4.1 Курск, Хрущева Пр-Кт, 19  п. 1"</f>
        <v>ГОК2.4.4.1 Курск, Хрущева Пр-Кт, 19  п. 1</v>
      </c>
      <c r="E38" t="str">
        <f t="shared" si="8"/>
        <v>КРС-8/16-SC</v>
      </c>
      <c r="F38" t="str">
        <f>"28.01.2013"</f>
        <v>28.01.2013</v>
      </c>
      <c r="G38" t="str">
        <f>""</f>
        <v/>
      </c>
      <c r="H38" t="str">
        <f>"ГОК2.4.4.1"</f>
        <v>ГОК2.4.4.1</v>
      </c>
      <c r="I38" t="str">
        <f>"ДШ (под. 1, ОУ№ 1)"</f>
        <v>ДШ (под. 1, ОУ№ 1)</v>
      </c>
      <c r="J38" t="str">
        <f>"Курск, Хрущева Пр-Кт, 19"</f>
        <v>Курск, Хрущева Пр-Кт, 19</v>
      </c>
      <c r="K38" t="str">
        <f t="shared" si="13"/>
        <v>Подъезд</v>
      </c>
      <c r="L38" t="str">
        <f>"18-FEB-12"</f>
        <v>18-FEB-12</v>
      </c>
      <c r="M38">
        <v>0</v>
      </c>
      <c r="N38" t="str">
        <f>""</f>
        <v/>
      </c>
      <c r="O38" t="str">
        <f>"EmptySerial&lt;32324&gt;"</f>
        <v>EmptySerial&lt;32324&gt;</v>
      </c>
      <c r="P38" t="str">
        <f t="shared" si="1"/>
        <v>Нет</v>
      </c>
      <c r="Q38" t="str">
        <f>"КСК00000000000000155"</f>
        <v>КСК00000000000000155</v>
      </c>
      <c r="R38" t="str">
        <f>"ГОК 2.4.4 МС2.4 Хрущева 19 Магистральный"</f>
        <v>ГОК 2.4.4 МС2.4 Хрущева 19 Магистральный</v>
      </c>
      <c r="S38" t="str">
        <f t="shared" si="2"/>
        <v>Основной</v>
      </c>
      <c r="T38" t="str">
        <f t="shared" si="3"/>
        <v>ГУТС</v>
      </c>
      <c r="U38" t="str">
        <f>""</f>
        <v/>
      </c>
      <c r="V38" t="str">
        <f t="shared" si="4"/>
        <v>Нет</v>
      </c>
      <c r="W38">
        <v>51.7307295685195</v>
      </c>
      <c r="X38">
        <v>36.141698956489599</v>
      </c>
      <c r="Y38" t="str">
        <f>"20000004551732"</f>
        <v>20000004551732</v>
      </c>
    </row>
    <row r="39" spans="1:25" x14ac:dyDescent="0.25">
      <c r="A39">
        <v>907</v>
      </c>
      <c r="B39" t="str">
        <f t="shared" si="0"/>
        <v>Курск</v>
      </c>
      <c r="C39">
        <v>337909</v>
      </c>
      <c r="D39" t="str">
        <f>"ГОК2.4.3.1 Курск, Хрущева Пр-Кт, 15 а п. 2"</f>
        <v>ГОК2.4.3.1 Курск, Хрущева Пр-Кт, 15 а п. 2</v>
      </c>
      <c r="E39" t="str">
        <f t="shared" si="8"/>
        <v>КРС-8/16-SC</v>
      </c>
      <c r="F39" t="str">
        <f t="shared" ref="F39:F44" si="14">"29.01.2013"</f>
        <v>29.01.2013</v>
      </c>
      <c r="G39" t="str">
        <f>""</f>
        <v/>
      </c>
      <c r="H39" t="str">
        <f>"ГОК2.4.3.1"</f>
        <v>ГОК2.4.3.1</v>
      </c>
      <c r="I39" t="str">
        <f>"ДШ (под. 2, ОУ№ 1)"</f>
        <v>ДШ (под. 2, ОУ№ 1)</v>
      </c>
      <c r="J39" t="str">
        <f>"Курск, Хрущева Пр-Кт, 15 а"</f>
        <v>Курск, Хрущева Пр-Кт, 15 а</v>
      </c>
      <c r="K39" t="str">
        <f t="shared" si="13"/>
        <v>Подъезд</v>
      </c>
      <c r="L39" t="str">
        <f>"10-FEB-12"</f>
        <v>10-FEB-12</v>
      </c>
      <c r="M39">
        <v>0</v>
      </c>
      <c r="N39" t="str">
        <f>""</f>
        <v/>
      </c>
      <c r="O39" t="str">
        <f>"EmptySerial&lt;32323&gt;"</f>
        <v>EmptySerial&lt;32323&gt;</v>
      </c>
      <c r="P39" t="str">
        <f t="shared" si="1"/>
        <v>Нет</v>
      </c>
      <c r="Q39" t="str">
        <f>"КСК00000000000000177"</f>
        <v>КСК00000000000000177</v>
      </c>
      <c r="R39" t="str">
        <f>"ГОК2.4.3 МС2.4"</f>
        <v>ГОК2.4.3 МС2.4</v>
      </c>
      <c r="S39" t="str">
        <f t="shared" si="2"/>
        <v>Основной</v>
      </c>
      <c r="T39" t="str">
        <f t="shared" si="3"/>
        <v>ГУТС</v>
      </c>
      <c r="U39" t="str">
        <f>""</f>
        <v/>
      </c>
      <c r="V39" t="str">
        <f t="shared" si="4"/>
        <v>Нет</v>
      </c>
      <c r="W39">
        <v>51.731563510000001</v>
      </c>
      <c r="X39">
        <v>36.140980120000002</v>
      </c>
      <c r="Y39" t="str">
        <f>"20000004551731"</f>
        <v>20000004551731</v>
      </c>
    </row>
    <row r="40" spans="1:25" x14ac:dyDescent="0.25">
      <c r="A40">
        <v>907</v>
      </c>
      <c r="B40" t="str">
        <f t="shared" si="0"/>
        <v>Курск</v>
      </c>
      <c r="C40">
        <v>337922</v>
      </c>
      <c r="D40" t="str">
        <f>"ГОК2.4.8.1 Курск, Хрущева Пр-Кт, 1  п. 3"</f>
        <v>ГОК2.4.8.1 Курск, Хрущева Пр-Кт, 1  п. 3</v>
      </c>
      <c r="E40" t="str">
        <f t="shared" si="8"/>
        <v>КРС-8/16-SC</v>
      </c>
      <c r="F40" t="str">
        <f t="shared" si="14"/>
        <v>29.01.2013</v>
      </c>
      <c r="G40" t="str">
        <f>""</f>
        <v/>
      </c>
      <c r="H40" t="str">
        <f>"ГОК2.4.8.1"</f>
        <v>ГОК2.4.8.1</v>
      </c>
      <c r="I40" t="str">
        <f>"ДШ (под. 3, ОУ№ 1)"</f>
        <v>ДШ (под. 3, ОУ№ 1)</v>
      </c>
      <c r="J40" t="str">
        <f>"Курск, Хрущева Пр-Кт, 1"</f>
        <v>Курск, Хрущева Пр-Кт, 1</v>
      </c>
      <c r="K40" t="str">
        <f>"Чердак"</f>
        <v>Чердак</v>
      </c>
      <c r="L40" t="str">
        <f>"18-FEB-12"</f>
        <v>18-FEB-12</v>
      </c>
      <c r="M40">
        <v>0</v>
      </c>
      <c r="N40" t="str">
        <f>""</f>
        <v/>
      </c>
      <c r="O40" t="str">
        <f>"EmptySerial&lt;32322&gt;"</f>
        <v>EmptySerial&lt;32322&gt;</v>
      </c>
      <c r="P40" t="str">
        <f t="shared" si="1"/>
        <v>Нет</v>
      </c>
      <c r="Q40" t="str">
        <f>"КСК00000000000000158"</f>
        <v>КСК00000000000000158</v>
      </c>
      <c r="R40" t="str">
        <f>"ГОК2.4.8 МС2.4"</f>
        <v>ГОК2.4.8 МС2.4</v>
      </c>
      <c r="S40" t="str">
        <f t="shared" si="2"/>
        <v>Основной</v>
      </c>
      <c r="T40" t="str">
        <f t="shared" si="3"/>
        <v>ГУТС</v>
      </c>
      <c r="U40" t="str">
        <f>""</f>
        <v/>
      </c>
      <c r="V40" t="str">
        <f t="shared" si="4"/>
        <v>Нет</v>
      </c>
      <c r="W40">
        <v>51.735998739999999</v>
      </c>
      <c r="X40">
        <v>36.136764360000001</v>
      </c>
      <c r="Y40" t="str">
        <f>"20000004551730"</f>
        <v>20000004551730</v>
      </c>
    </row>
    <row r="41" spans="1:25" x14ac:dyDescent="0.25">
      <c r="A41">
        <v>907</v>
      </c>
      <c r="B41" t="str">
        <f t="shared" si="0"/>
        <v>Курск</v>
      </c>
      <c r="C41">
        <v>337935</v>
      </c>
      <c r="D41" t="str">
        <f>"ГОК2.4.1.1 Курск, Хрущева Пр-Кт, 6  п. 3"</f>
        <v>ГОК2.4.1.1 Курск, Хрущева Пр-Кт, 6  п. 3</v>
      </c>
      <c r="E41" t="str">
        <f t="shared" si="8"/>
        <v>КРС-8/16-SC</v>
      </c>
      <c r="F41" t="str">
        <f t="shared" si="14"/>
        <v>29.01.2013</v>
      </c>
      <c r="G41" t="str">
        <f>""</f>
        <v/>
      </c>
      <c r="H41" t="str">
        <f>"ГОК2.4.1.1"</f>
        <v>ГОК2.4.1.1</v>
      </c>
      <c r="I41" t="str">
        <f>"ДШ (под. 3, ОУ№ 1)"</f>
        <v>ДШ (под. 3, ОУ№ 1)</v>
      </c>
      <c r="J41" t="str">
        <f>"Курск, Хрущева Пр-Кт, 6"</f>
        <v>Курск, Хрущева Пр-Кт, 6</v>
      </c>
      <c r="K41" t="str">
        <f t="shared" ref="K41:K48" si="15">"Подъезд"</f>
        <v>Подъезд</v>
      </c>
      <c r="L41" t="str">
        <f>"16-FEB-12"</f>
        <v>16-FEB-12</v>
      </c>
      <c r="M41">
        <v>0</v>
      </c>
      <c r="N41" t="str">
        <f>""</f>
        <v/>
      </c>
      <c r="O41" t="str">
        <f>"EmptySerial&lt;32321&gt;"</f>
        <v>EmptySerial&lt;32321&gt;</v>
      </c>
      <c r="P41" t="str">
        <f t="shared" si="1"/>
        <v>Нет</v>
      </c>
      <c r="Q41" t="str">
        <f>"КСК00000000000000154"</f>
        <v>КСК00000000000000154</v>
      </c>
      <c r="R41" t="str">
        <f>"ГОК2.4.1 МС2.4"</f>
        <v>ГОК2.4.1 МС2.4</v>
      </c>
      <c r="S41" t="str">
        <f t="shared" si="2"/>
        <v>Основной</v>
      </c>
      <c r="T41" t="str">
        <f t="shared" si="3"/>
        <v>ГУТС</v>
      </c>
      <c r="U41" t="str">
        <f>""</f>
        <v/>
      </c>
      <c r="V41" t="str">
        <f t="shared" si="4"/>
        <v>Нет</v>
      </c>
      <c r="W41">
        <v>51.735706389999997</v>
      </c>
      <c r="X41">
        <v>36.139148179999999</v>
      </c>
      <c r="Y41" t="str">
        <f>"20000004551729"</f>
        <v>20000004551729</v>
      </c>
    </row>
    <row r="42" spans="1:25" x14ac:dyDescent="0.25">
      <c r="A42">
        <v>907</v>
      </c>
      <c r="B42" t="str">
        <f t="shared" si="0"/>
        <v>Курск</v>
      </c>
      <c r="C42">
        <v>340433</v>
      </c>
      <c r="D42" t="str">
        <f>"ГОК2.5.6.1 Курск, Бойцов 9 Дивизии, 193  п. 1"</f>
        <v>ГОК2.5.6.1 Курск, Бойцов 9 Дивизии, 193  п. 1</v>
      </c>
      <c r="E42" t="str">
        <f t="shared" si="8"/>
        <v>КРС-8/16-SC</v>
      </c>
      <c r="F42" t="str">
        <f t="shared" si="14"/>
        <v>29.01.2013</v>
      </c>
      <c r="G42" t="str">
        <f>""</f>
        <v/>
      </c>
      <c r="H42" t="str">
        <f>"ГОК2.5.6.1"</f>
        <v>ГОК2.5.6.1</v>
      </c>
      <c r="I42" t="str">
        <f>"ДШ (под. 1, ОУ№ 1)"</f>
        <v>ДШ (под. 1, ОУ№ 1)</v>
      </c>
      <c r="J42" t="str">
        <f>"Курск, Бойцов 9 Дивизии, 193"</f>
        <v>Курск, Бойцов 9 Дивизии, 193</v>
      </c>
      <c r="K42" t="str">
        <f t="shared" si="15"/>
        <v>Подъезд</v>
      </c>
      <c r="L42" t="str">
        <f>"26-FEB-12"</f>
        <v>26-FEB-12</v>
      </c>
      <c r="M42">
        <v>0</v>
      </c>
      <c r="N42" t="str">
        <f>""</f>
        <v/>
      </c>
      <c r="O42" t="str">
        <f>"EmptySerial&lt;32383&gt;"</f>
        <v>EmptySerial&lt;32383&gt;</v>
      </c>
      <c r="P42" t="str">
        <f t="shared" si="1"/>
        <v>Нет</v>
      </c>
      <c r="Q42" t="str">
        <f>"КСК00000000000000159"</f>
        <v>КСК00000000000000159</v>
      </c>
      <c r="R42" t="str">
        <f>"ГОК2.5.6 МС2.5"</f>
        <v>ГОК2.5.6 МС2.5</v>
      </c>
      <c r="S42" t="str">
        <f t="shared" si="2"/>
        <v>Основной</v>
      </c>
      <c r="T42" t="str">
        <f t="shared" si="3"/>
        <v>ГУТС</v>
      </c>
      <c r="U42" t="str">
        <f>""</f>
        <v/>
      </c>
      <c r="V42" t="str">
        <f t="shared" si="4"/>
        <v>Нет</v>
      </c>
      <c r="W42">
        <v>51.724093019999998</v>
      </c>
      <c r="X42">
        <v>36.136463620000001</v>
      </c>
      <c r="Y42" t="str">
        <f>"20000004551763"</f>
        <v>20000004551763</v>
      </c>
    </row>
    <row r="43" spans="1:25" x14ac:dyDescent="0.25">
      <c r="A43">
        <v>907</v>
      </c>
      <c r="B43" t="str">
        <f t="shared" si="0"/>
        <v>Курск</v>
      </c>
      <c r="C43">
        <v>340446</v>
      </c>
      <c r="D43" t="str">
        <f>"ГОК2.5.7.1 Курск, Бойцов 9 Дивизии, 187  п. 2"</f>
        <v>ГОК2.5.7.1 Курск, Бойцов 9 Дивизии, 187  п. 2</v>
      </c>
      <c r="E43" t="str">
        <f t="shared" si="8"/>
        <v>КРС-8/16-SC</v>
      </c>
      <c r="F43" t="str">
        <f t="shared" si="14"/>
        <v>29.01.2013</v>
      </c>
      <c r="G43" t="str">
        <f>""</f>
        <v/>
      </c>
      <c r="H43" t="str">
        <f>"ГОК2.5.7.1"</f>
        <v>ГОК2.5.7.1</v>
      </c>
      <c r="I43" t="str">
        <f>"ДШ (под. 2, ОУ№ 1)"</f>
        <v>ДШ (под. 2, ОУ№ 1)</v>
      </c>
      <c r="J43" t="str">
        <f>"Курск, Бойцов 9 Дивизии, 187"</f>
        <v>Курск, Бойцов 9 Дивизии, 187</v>
      </c>
      <c r="K43" t="str">
        <f t="shared" si="15"/>
        <v>Подъезд</v>
      </c>
      <c r="L43" t="str">
        <f>"25-FEB-12"</f>
        <v>25-FEB-12</v>
      </c>
      <c r="M43">
        <v>0</v>
      </c>
      <c r="N43" t="str">
        <f>""</f>
        <v/>
      </c>
      <c r="O43" t="str">
        <f>"EmptySerial&lt;32382&gt;"</f>
        <v>EmptySerial&lt;32382&gt;</v>
      </c>
      <c r="P43" t="str">
        <f t="shared" si="1"/>
        <v>Нет</v>
      </c>
      <c r="Q43" t="str">
        <f>"КСК00000000000000160"</f>
        <v>КСК00000000000000160</v>
      </c>
      <c r="R43" t="str">
        <f>"ГОК2.5.7 МС2.5"</f>
        <v>ГОК2.5.7 МС2.5</v>
      </c>
      <c r="S43" t="str">
        <f t="shared" si="2"/>
        <v>Основной</v>
      </c>
      <c r="T43" t="str">
        <f t="shared" si="3"/>
        <v>ГУТС</v>
      </c>
      <c r="U43" t="str">
        <f>""</f>
        <v/>
      </c>
      <c r="V43" t="str">
        <f t="shared" si="4"/>
        <v>Нет</v>
      </c>
      <c r="W43">
        <v>51.726408450000001</v>
      </c>
      <c r="X43">
        <v>36.137426869999999</v>
      </c>
      <c r="Y43" t="str">
        <f>"20000004551762"</f>
        <v>20000004551762</v>
      </c>
    </row>
    <row r="44" spans="1:25" x14ac:dyDescent="0.25">
      <c r="A44">
        <v>907</v>
      </c>
      <c r="B44" t="str">
        <f t="shared" si="0"/>
        <v>Курск</v>
      </c>
      <c r="C44">
        <v>340459</v>
      </c>
      <c r="D44" t="str">
        <f>"ГОК2.5.8.1 Курск, Майский Б-Р, 36  п. 2"</f>
        <v>ГОК2.5.8.1 Курск, Майский Б-Р, 36  п. 2</v>
      </c>
      <c r="E44" t="str">
        <f t="shared" si="8"/>
        <v>КРС-8/16-SC</v>
      </c>
      <c r="F44" t="str">
        <f t="shared" si="14"/>
        <v>29.01.2013</v>
      </c>
      <c r="G44" t="str">
        <f>""</f>
        <v/>
      </c>
      <c r="H44" t="str">
        <f>"ГОК2.5.8.1"</f>
        <v>ГОК2.5.8.1</v>
      </c>
      <c r="I44" t="str">
        <f>"ДШ (под. 2, ОУ№ 1)"</f>
        <v>ДШ (под. 2, ОУ№ 1)</v>
      </c>
      <c r="J44" t="str">
        <f>"Курск, Майский Б-Р, 36"</f>
        <v>Курск, Майский Б-Р, 36</v>
      </c>
      <c r="K44" t="str">
        <f t="shared" si="15"/>
        <v>Подъезд</v>
      </c>
      <c r="L44" t="str">
        <f>"21-FEB-12"</f>
        <v>21-FEB-12</v>
      </c>
      <c r="M44">
        <v>0</v>
      </c>
      <c r="N44" t="str">
        <f>""</f>
        <v/>
      </c>
      <c r="O44" t="str">
        <f>"EmptySerial&lt;32381&gt;"</f>
        <v>EmptySerial&lt;32381&gt;</v>
      </c>
      <c r="P44" t="str">
        <f t="shared" si="1"/>
        <v>Нет</v>
      </c>
      <c r="Q44" t="str">
        <f>"КСК00000000000000161"</f>
        <v>КСК00000000000000161</v>
      </c>
      <c r="R44" t="str">
        <f>"ГОК2.5.8 МС2.5"</f>
        <v>ГОК2.5.8 МС2.5</v>
      </c>
      <c r="S44" t="str">
        <f t="shared" si="2"/>
        <v>Основной</v>
      </c>
      <c r="T44" t="str">
        <f t="shared" si="3"/>
        <v>ГУТС</v>
      </c>
      <c r="U44" t="str">
        <f>""</f>
        <v/>
      </c>
      <c r="V44" t="str">
        <f t="shared" si="4"/>
        <v>Нет</v>
      </c>
      <c r="W44">
        <v>51.728682859999999</v>
      </c>
      <c r="X44">
        <v>36.139526369999999</v>
      </c>
      <c r="Y44" t="str">
        <f>"20000004551761"</f>
        <v>20000004551761</v>
      </c>
    </row>
    <row r="45" spans="1:25" x14ac:dyDescent="0.25">
      <c r="A45">
        <v>907</v>
      </c>
      <c r="B45" t="str">
        <f t="shared" si="0"/>
        <v>Курск</v>
      </c>
      <c r="C45">
        <v>342344</v>
      </c>
      <c r="D45" t="str">
        <f>"ТОК3.2 Курск, Карла Маркса, 62 /21 п. 1"</f>
        <v>ТОК3.2 Курск, Карла Маркса, 62 /21 п. 1</v>
      </c>
      <c r="E45" t="str">
        <f>"КРС-64-SC"</f>
        <v>КРС-64-SC</v>
      </c>
      <c r="F45" t="str">
        <f>"10.09.2013"</f>
        <v>10.09.2013</v>
      </c>
      <c r="G45" t="str">
        <f>""</f>
        <v/>
      </c>
      <c r="H45" t="str">
        <f>"ТОК3.2"</f>
        <v>ТОК3.2</v>
      </c>
      <c r="I45" t="str">
        <f>"Стойка 2 спереди"</f>
        <v>Стойка 2 спереди</v>
      </c>
      <c r="J45" t="str">
        <f>"Курск, Карла Маркса, 62 /21"</f>
        <v>Курск, Карла Маркса, 62 /21</v>
      </c>
      <c r="K45" t="str">
        <f t="shared" si="15"/>
        <v>Подъезд</v>
      </c>
      <c r="L45" t="str">
        <f>"18-FEB-12"</f>
        <v>18-FEB-12</v>
      </c>
      <c r="M45">
        <v>0</v>
      </c>
      <c r="N45" t="str">
        <f>""</f>
        <v/>
      </c>
      <c r="O45" t="str">
        <f>"EmptySerial&lt;52789&gt;"</f>
        <v>EmptySerial&lt;52789&gt;</v>
      </c>
      <c r="P45" t="str">
        <f t="shared" si="1"/>
        <v>Нет</v>
      </c>
      <c r="Q45" t="str">
        <f>"КСК00000000000000150"</f>
        <v>КСК00000000000000150</v>
      </c>
      <c r="R45" t="str">
        <f>"ТОК3.2 ТС2"</f>
        <v>ТОК3.2 ТС2</v>
      </c>
      <c r="S45" t="str">
        <f t="shared" si="2"/>
        <v>Основной</v>
      </c>
      <c r="T45" t="str">
        <f t="shared" si="3"/>
        <v>ГУТС</v>
      </c>
      <c r="U45" t="str">
        <f>""</f>
        <v/>
      </c>
      <c r="V45" t="str">
        <f t="shared" si="4"/>
        <v>Нет</v>
      </c>
      <c r="W45">
        <v>51.758032229999998</v>
      </c>
      <c r="X45">
        <v>36.186718489999997</v>
      </c>
      <c r="Y45" t="str">
        <f>"20000004565912"</f>
        <v>20000004565912</v>
      </c>
    </row>
    <row r="46" spans="1:25" x14ac:dyDescent="0.25">
      <c r="A46">
        <v>907</v>
      </c>
      <c r="B46" t="str">
        <f t="shared" si="0"/>
        <v>Курск</v>
      </c>
      <c r="C46">
        <v>344711</v>
      </c>
      <c r="D46" t="str">
        <f>"ГОК3.1.4.1 Курск, Карла Маркса, 72 /8 п. 2"</f>
        <v>ГОК3.1.4.1 Курск, Карла Маркса, 72 /8 п. 2</v>
      </c>
      <c r="E46" t="str">
        <f t="shared" ref="E46:E53" si="16">"КРС-8/16-SC"</f>
        <v>КРС-8/16-SC</v>
      </c>
      <c r="F46" t="str">
        <f>"28.01.2013"</f>
        <v>28.01.2013</v>
      </c>
      <c r="G46" t="str">
        <f>""</f>
        <v/>
      </c>
      <c r="H46" t="str">
        <f>"ГОК3.1.4.1"</f>
        <v>ГОК3.1.4.1</v>
      </c>
      <c r="I46" t="str">
        <f>"ДШ (под. 2, ОУ№ 1)"</f>
        <v>ДШ (под. 2, ОУ№ 1)</v>
      </c>
      <c r="J46" t="str">
        <f>"Курск, Карла Маркса, 72 /8"</f>
        <v>Курск, Карла Маркса, 72 /8</v>
      </c>
      <c r="K46" t="str">
        <f t="shared" si="15"/>
        <v>Подъезд</v>
      </c>
      <c r="L46" t="str">
        <f>"24-MAR-12"</f>
        <v>24-MAR-12</v>
      </c>
      <c r="M46">
        <v>0</v>
      </c>
      <c r="N46" t="str">
        <f>""</f>
        <v/>
      </c>
      <c r="O46" t="str">
        <f>"EmptySerial&lt;32978&gt;"</f>
        <v>EmptySerial&lt;32978&gt;</v>
      </c>
      <c r="P46" t="str">
        <f t="shared" si="1"/>
        <v>Нет</v>
      </c>
      <c r="Q46" t="str">
        <f>"КСК00000000000000181"</f>
        <v>КСК00000000000000181</v>
      </c>
      <c r="R46" t="str">
        <f>"ГОК3.1.4 МС3.1"</f>
        <v>ГОК3.1.4 МС3.1</v>
      </c>
      <c r="S46" t="str">
        <f t="shared" si="2"/>
        <v>Основной</v>
      </c>
      <c r="T46" t="str">
        <f t="shared" si="3"/>
        <v>ГУТС</v>
      </c>
      <c r="U46" t="str">
        <f>""</f>
        <v/>
      </c>
      <c r="V46" t="str">
        <f t="shared" si="4"/>
        <v>Нет</v>
      </c>
      <c r="W46">
        <v>51.767511229204999</v>
      </c>
      <c r="X46">
        <v>36.181352734565699</v>
      </c>
      <c r="Y46" t="str">
        <f>"20000004552181"</f>
        <v>20000004552181</v>
      </c>
    </row>
    <row r="47" spans="1:25" x14ac:dyDescent="0.25">
      <c r="A47">
        <v>907</v>
      </c>
      <c r="B47" t="str">
        <f t="shared" si="0"/>
        <v>Курск</v>
      </c>
      <c r="C47">
        <v>344737</v>
      </c>
      <c r="D47" t="str">
        <f>"ГОК3.1.3.1 Курск, Кавказская, 39  п. 2"</f>
        <v>ГОК3.1.3.1 Курск, Кавказская, 39  п. 2</v>
      </c>
      <c r="E47" t="str">
        <f t="shared" si="16"/>
        <v>КРС-8/16-SC</v>
      </c>
      <c r="F47" t="str">
        <f>"28.01.2013"</f>
        <v>28.01.2013</v>
      </c>
      <c r="G47" t="str">
        <f>""</f>
        <v/>
      </c>
      <c r="H47" t="str">
        <f>"ГОК3.1.3.1"</f>
        <v>ГОК3.1.3.1</v>
      </c>
      <c r="I47" t="str">
        <f>"ДШ (под. 2, ОУ№ 1)"</f>
        <v>ДШ (под. 2, ОУ№ 1)</v>
      </c>
      <c r="J47" t="str">
        <f>"Курск, Кавказская, 39"</f>
        <v>Курск, Кавказская, 39</v>
      </c>
      <c r="K47" t="str">
        <f t="shared" si="15"/>
        <v>Подъезд</v>
      </c>
      <c r="L47" t="str">
        <f>"17-MAR-12"</f>
        <v>17-MAR-12</v>
      </c>
      <c r="M47">
        <v>0</v>
      </c>
      <c r="N47" t="str">
        <f>""</f>
        <v/>
      </c>
      <c r="O47" t="str">
        <f>"EmptySerial&lt;32976&gt;"</f>
        <v>EmptySerial&lt;32976&gt;</v>
      </c>
      <c r="P47" t="str">
        <f t="shared" si="1"/>
        <v>Нет</v>
      </c>
      <c r="Q47" t="str">
        <f>"КСК00000000000000180"</f>
        <v>КСК00000000000000180</v>
      </c>
      <c r="R47" t="str">
        <f>"ГОК3.1.3 МС3.1"</f>
        <v>ГОК3.1.3 МС3.1</v>
      </c>
      <c r="S47" t="str">
        <f t="shared" si="2"/>
        <v>Основной</v>
      </c>
      <c r="T47" t="str">
        <f t="shared" si="3"/>
        <v>ГУТС</v>
      </c>
      <c r="U47" t="str">
        <f>""</f>
        <v/>
      </c>
      <c r="V47" t="str">
        <f t="shared" si="4"/>
        <v>Нет</v>
      </c>
      <c r="W47">
        <v>51.762056482973101</v>
      </c>
      <c r="X47">
        <v>36.172619462013202</v>
      </c>
      <c r="Y47" t="str">
        <f>"20000004552179"</f>
        <v>20000004552179</v>
      </c>
    </row>
    <row r="48" spans="1:25" x14ac:dyDescent="0.25">
      <c r="A48">
        <v>907</v>
      </c>
      <c r="B48" t="str">
        <f t="shared" si="0"/>
        <v>Курск</v>
      </c>
      <c r="C48">
        <v>344750</v>
      </c>
      <c r="D48" t="str">
        <f>"ГОК3.1.2.1 Курск, Школьная, 5 /10 п. 2"</f>
        <v>ГОК3.1.2.1 Курск, Школьная, 5 /10 п. 2</v>
      </c>
      <c r="E48" t="str">
        <f t="shared" si="16"/>
        <v>КРС-8/16-SC</v>
      </c>
      <c r="F48" t="str">
        <f>"28.01.2013"</f>
        <v>28.01.2013</v>
      </c>
      <c r="G48" t="str">
        <f>""</f>
        <v/>
      </c>
      <c r="H48" t="str">
        <f>"ГОК3.1.2.1"</f>
        <v>ГОК3.1.2.1</v>
      </c>
      <c r="I48" t="str">
        <f>"ДШ (под. 2, ОУ№ 1)"</f>
        <v>ДШ (под. 2, ОУ№ 1)</v>
      </c>
      <c r="J48" t="str">
        <f>"Курск, Школьная, 5 /10"</f>
        <v>Курск, Школьная, 5 /10</v>
      </c>
      <c r="K48" t="str">
        <f t="shared" si="15"/>
        <v>Подъезд</v>
      </c>
      <c r="L48" t="str">
        <f>"08-MAR-12"</f>
        <v>08-MAR-12</v>
      </c>
      <c r="M48">
        <v>0</v>
      </c>
      <c r="N48" t="str">
        <f>""</f>
        <v/>
      </c>
      <c r="O48" t="str">
        <f>"EmptySerial&lt;32975&gt;"</f>
        <v>EmptySerial&lt;32975&gt;</v>
      </c>
      <c r="P48" t="str">
        <f t="shared" si="1"/>
        <v>Нет</v>
      </c>
      <c r="Q48" t="str">
        <f>"КСК00000000000000179"</f>
        <v>КСК00000000000000179</v>
      </c>
      <c r="R48" t="str">
        <f>"ГОК3.1.2 МС3.1"</f>
        <v>ГОК3.1.2 МС3.1</v>
      </c>
      <c r="S48" t="str">
        <f t="shared" si="2"/>
        <v>Основной</v>
      </c>
      <c r="T48" t="str">
        <f t="shared" si="3"/>
        <v>ГУТС</v>
      </c>
      <c r="U48" t="str">
        <f>""</f>
        <v/>
      </c>
      <c r="V48" t="str">
        <f t="shared" si="4"/>
        <v>Нет</v>
      </c>
      <c r="W48">
        <v>51.761820748711699</v>
      </c>
      <c r="X48">
        <v>36.179823875427203</v>
      </c>
      <c r="Y48" t="str">
        <f>"20000004552178"</f>
        <v>20000004552178</v>
      </c>
    </row>
    <row r="49" spans="1:25" x14ac:dyDescent="0.25">
      <c r="A49">
        <v>907</v>
      </c>
      <c r="B49" t="str">
        <f t="shared" si="0"/>
        <v>Курск</v>
      </c>
      <c r="C49">
        <v>344763</v>
      </c>
      <c r="D49" t="str">
        <f>"ГОК3.1.1.1 Курск, Школьная, 5 /1 п. 2"</f>
        <v>ГОК3.1.1.1 Курск, Школьная, 5 /1 п. 2</v>
      </c>
      <c r="E49" t="str">
        <f t="shared" si="16"/>
        <v>КРС-8/16-SC</v>
      </c>
      <c r="F49" t="str">
        <f>"28.01.2013"</f>
        <v>28.01.2013</v>
      </c>
      <c r="G49" t="str">
        <f>""</f>
        <v/>
      </c>
      <c r="H49" t="str">
        <f>"ГОК3.1.1.1"</f>
        <v>ГОК3.1.1.1</v>
      </c>
      <c r="I49" t="str">
        <f>"ДШ (под. 2, ОУ№ 1)"</f>
        <v>ДШ (под. 2, ОУ№ 1)</v>
      </c>
      <c r="J49" t="str">
        <f>"Курск, Школьная, 5 /1"</f>
        <v>Курск, Школьная, 5 /1</v>
      </c>
      <c r="K49" t="str">
        <f>"ДШ-2"</f>
        <v>ДШ-2</v>
      </c>
      <c r="L49" t="str">
        <f>"29-FEB-12"</f>
        <v>29-FEB-12</v>
      </c>
      <c r="M49">
        <v>0</v>
      </c>
      <c r="N49" t="str">
        <f>""</f>
        <v/>
      </c>
      <c r="O49" t="str">
        <f>"EmptySerial&lt;32974&gt;"</f>
        <v>EmptySerial&lt;32974&gt;</v>
      </c>
      <c r="P49" t="str">
        <f t="shared" si="1"/>
        <v>Нет</v>
      </c>
      <c r="Q49" t="str">
        <f>"КСК00000000000000178"</f>
        <v>КСК00000000000000178</v>
      </c>
      <c r="R49" t="str">
        <f>"ГОК3.1.1 МС3.1"</f>
        <v>ГОК3.1.1 МС3.1</v>
      </c>
      <c r="S49" t="str">
        <f t="shared" si="2"/>
        <v>Основной</v>
      </c>
      <c r="T49" t="str">
        <f t="shared" si="3"/>
        <v>ГУТС</v>
      </c>
      <c r="U49" t="str">
        <f>""</f>
        <v/>
      </c>
      <c r="V49" t="str">
        <f t="shared" si="4"/>
        <v>Нет</v>
      </c>
      <c r="W49">
        <v>51.760658660420198</v>
      </c>
      <c r="X49">
        <v>36.182688474655201</v>
      </c>
      <c r="Y49" t="str">
        <f>"20000004552177"</f>
        <v>20000004552177</v>
      </c>
    </row>
    <row r="50" spans="1:25" x14ac:dyDescent="0.25">
      <c r="A50">
        <v>907</v>
      </c>
      <c r="B50" t="str">
        <f t="shared" si="0"/>
        <v>Курск</v>
      </c>
      <c r="C50">
        <v>350233</v>
      </c>
      <c r="D50" t="str">
        <f>"ГОК1.3.6.1 Курск, Малышева, 2 /23 п. 1"</f>
        <v>ГОК1.3.6.1 Курск, Малышева, 2 /23 п. 1</v>
      </c>
      <c r="E50" t="str">
        <f t="shared" si="16"/>
        <v>КРС-8/16-SC</v>
      </c>
      <c r="F50" t="str">
        <f>"29.01.2013"</f>
        <v>29.01.2013</v>
      </c>
      <c r="G50" t="str">
        <f>""</f>
        <v/>
      </c>
      <c r="H50" t="str">
        <f>"ГОК1.3.6.1"</f>
        <v>ГОК1.3.6.1</v>
      </c>
      <c r="I50" t="str">
        <f>"ДШ (под. 1, ОУ№ 1)"</f>
        <v>ДШ (под. 1, ОУ№ 1)</v>
      </c>
      <c r="J50" t="str">
        <f>"Курск, Малышева, 2 /23"</f>
        <v>Курск, Малышева, 2 /23</v>
      </c>
      <c r="K50" t="str">
        <f>"Подъезд"</f>
        <v>Подъезд</v>
      </c>
      <c r="L50" t="str">
        <f>"27-NOV-11"</f>
        <v>27-NOV-11</v>
      </c>
      <c r="M50">
        <v>0</v>
      </c>
      <c r="N50" t="str">
        <f>""</f>
        <v/>
      </c>
      <c r="O50" t="str">
        <f>"EmptySerial&lt;33623&gt;"</f>
        <v>EmptySerial&lt;33623&gt;</v>
      </c>
      <c r="P50" t="str">
        <f t="shared" si="1"/>
        <v>Нет</v>
      </c>
      <c r="Q50" t="str">
        <f>"КСК00000000000000087"</f>
        <v>КСК00000000000000087</v>
      </c>
      <c r="R50" t="str">
        <f>"ГОК1.3.6 МС1.3"</f>
        <v>ГОК1.3.6 МС1.3</v>
      </c>
      <c r="S50" t="str">
        <f t="shared" si="2"/>
        <v>Основной</v>
      </c>
      <c r="T50" t="str">
        <f t="shared" si="3"/>
        <v>ГУТС</v>
      </c>
      <c r="U50" t="str">
        <f>""</f>
        <v/>
      </c>
      <c r="V50" t="str">
        <f t="shared" si="4"/>
        <v>Нет</v>
      </c>
      <c r="W50">
        <v>51.699503944376197</v>
      </c>
      <c r="X50">
        <v>36.140647530555697</v>
      </c>
      <c r="Y50" t="str">
        <f>"20000004552626"</f>
        <v>20000004552626</v>
      </c>
    </row>
    <row r="51" spans="1:25" x14ac:dyDescent="0.25">
      <c r="A51">
        <v>907</v>
      </c>
      <c r="B51" t="str">
        <f t="shared" si="0"/>
        <v>Курск</v>
      </c>
      <c r="C51">
        <v>350246</v>
      </c>
      <c r="D51" t="str">
        <f>"ГОК1.3.5.1 Курск, Дейнеки, 35  п. 2"</f>
        <v>ГОК1.3.5.1 Курск, Дейнеки, 35  п. 2</v>
      </c>
      <c r="E51" t="str">
        <f t="shared" si="16"/>
        <v>КРС-8/16-SC</v>
      </c>
      <c r="F51" t="str">
        <f>"29.01.2013"</f>
        <v>29.01.2013</v>
      </c>
      <c r="G51" t="str">
        <f>""</f>
        <v/>
      </c>
      <c r="H51" t="str">
        <f>"ГОК1.3.5.1"</f>
        <v>ГОК1.3.5.1</v>
      </c>
      <c r="I51" t="str">
        <f>"ДШ (под. 2, ОУ№ 1)"</f>
        <v>ДШ (под. 2, ОУ№ 1)</v>
      </c>
      <c r="J51" t="str">
        <f>"Курск, Дейнеки, 35"</f>
        <v>Курск, Дейнеки, 35</v>
      </c>
      <c r="K51" t="str">
        <f>"Подъезд"</f>
        <v>Подъезд</v>
      </c>
      <c r="L51" t="str">
        <f>"28-NOV-11"</f>
        <v>28-NOV-11</v>
      </c>
      <c r="M51">
        <v>0</v>
      </c>
      <c r="N51" t="str">
        <f>""</f>
        <v/>
      </c>
      <c r="O51" t="str">
        <f>"EmptySerial&lt;33622&gt;"</f>
        <v>EmptySerial&lt;33622&gt;</v>
      </c>
      <c r="P51" t="str">
        <f t="shared" si="1"/>
        <v>Нет</v>
      </c>
      <c r="Q51" t="str">
        <f>"КСК00000000000000086"</f>
        <v>КСК00000000000000086</v>
      </c>
      <c r="R51" t="str">
        <f>"ГОК1.3.5 МС1.3"</f>
        <v>ГОК1.3.5 МС1.3</v>
      </c>
      <c r="S51" t="str">
        <f t="shared" si="2"/>
        <v>Основной</v>
      </c>
      <c r="T51" t="str">
        <f t="shared" si="3"/>
        <v>ГУТС</v>
      </c>
      <c r="U51" t="str">
        <f>""</f>
        <v/>
      </c>
      <c r="V51" t="str">
        <f t="shared" si="4"/>
        <v>Нет</v>
      </c>
      <c r="W51">
        <v>51.697183181264101</v>
      </c>
      <c r="X51">
        <v>36.141344904899597</v>
      </c>
      <c r="Y51" t="str">
        <f>"20000004552625"</f>
        <v>20000004552625</v>
      </c>
    </row>
    <row r="52" spans="1:25" x14ac:dyDescent="0.25">
      <c r="A52">
        <v>907</v>
      </c>
      <c r="B52" t="str">
        <f t="shared" si="0"/>
        <v>Курск</v>
      </c>
      <c r="C52">
        <v>350272</v>
      </c>
      <c r="D52" t="str">
        <f>"ГОК1.3.3.1 Курск, Заводская, 41 а п. 2"</f>
        <v>ГОК1.3.3.1 Курск, Заводская, 41 а п. 2</v>
      </c>
      <c r="E52" t="str">
        <f t="shared" si="16"/>
        <v>КРС-8/16-SC</v>
      </c>
      <c r="F52" t="str">
        <f>"29.01.2013"</f>
        <v>29.01.2013</v>
      </c>
      <c r="G52" t="str">
        <f>""</f>
        <v/>
      </c>
      <c r="H52" t="str">
        <f>"ГОК1.3.3.1"</f>
        <v>ГОК1.3.3.1</v>
      </c>
      <c r="I52" t="str">
        <f>"ДШ (под. 2, ОУ№ 1)"</f>
        <v>ДШ (под. 2, ОУ№ 1)</v>
      </c>
      <c r="J52" t="str">
        <f>"Курск, Заводская, 41 а"</f>
        <v>Курск, Заводская, 41 а</v>
      </c>
      <c r="K52" t="str">
        <f>"Чердак"</f>
        <v>Чердак</v>
      </c>
      <c r="L52" t="str">
        <f>"26-NOV-11"</f>
        <v>26-NOV-11</v>
      </c>
      <c r="M52">
        <v>0</v>
      </c>
      <c r="N52" t="str">
        <f>""</f>
        <v/>
      </c>
      <c r="O52" t="str">
        <f>"EmptySerial&lt;33620&gt;"</f>
        <v>EmptySerial&lt;33620&gt;</v>
      </c>
      <c r="P52" t="str">
        <f t="shared" si="1"/>
        <v>Нет</v>
      </c>
      <c r="Q52" t="str">
        <f>"КСК00000000000000111"</f>
        <v>КСК00000000000000111</v>
      </c>
      <c r="R52" t="str">
        <f>"ГОК1.3.3 МС1.3"</f>
        <v>ГОК1.3.3 МС1.3</v>
      </c>
      <c r="S52" t="str">
        <f t="shared" si="2"/>
        <v>Основной</v>
      </c>
      <c r="T52" t="str">
        <f t="shared" si="3"/>
        <v>ГУТС</v>
      </c>
      <c r="U52" t="str">
        <f>""</f>
        <v/>
      </c>
      <c r="V52" t="str">
        <f t="shared" si="4"/>
        <v>Нет</v>
      </c>
      <c r="W52">
        <v>51.699347678964202</v>
      </c>
      <c r="X52">
        <v>36.146194338798502</v>
      </c>
      <c r="Y52" t="str">
        <f>"20000004552623"</f>
        <v>20000004552623</v>
      </c>
    </row>
    <row r="53" spans="1:25" x14ac:dyDescent="0.25">
      <c r="A53">
        <v>907</v>
      </c>
      <c r="B53" t="str">
        <f t="shared" si="0"/>
        <v>Курск</v>
      </c>
      <c r="C53">
        <v>350285</v>
      </c>
      <c r="D53" t="str">
        <f>"ГОК1.3.1.1 Курск, Заводская, 27  п. 1"</f>
        <v>ГОК1.3.1.1 Курск, Заводская, 27  п. 1</v>
      </c>
      <c r="E53" t="str">
        <f t="shared" si="16"/>
        <v>КРС-8/16-SC</v>
      </c>
      <c r="F53" t="str">
        <f>"29.01.2013"</f>
        <v>29.01.2013</v>
      </c>
      <c r="G53" t="str">
        <f>""</f>
        <v/>
      </c>
      <c r="H53" t="str">
        <f>"ГОК1.3.1.1"</f>
        <v>ГОК1.3.1.1</v>
      </c>
      <c r="I53" t="str">
        <f>"ДШ (под. 1, ОУ№ 1)"</f>
        <v>ДШ (под. 1, ОУ№ 1)</v>
      </c>
      <c r="J53" t="str">
        <f>"Курск, Заводская, 27"</f>
        <v>Курск, Заводская, 27</v>
      </c>
      <c r="K53" t="str">
        <f>"Подъезд"</f>
        <v>Подъезд</v>
      </c>
      <c r="L53" t="str">
        <f>"19-NOV-11"</f>
        <v>19-NOV-11</v>
      </c>
      <c r="M53">
        <v>0</v>
      </c>
      <c r="N53" t="str">
        <f>""</f>
        <v/>
      </c>
      <c r="O53" t="str">
        <f>"EmptySerial&lt;33619&gt;"</f>
        <v>EmptySerial&lt;33619&gt;</v>
      </c>
      <c r="P53" t="str">
        <f t="shared" si="1"/>
        <v>Нет</v>
      </c>
      <c r="Q53" t="str">
        <f>"КСК00000000000000110"</f>
        <v>КСК00000000000000110</v>
      </c>
      <c r="R53" t="str">
        <f>"ГОК1.3.1 МС13."</f>
        <v>ГОК1.3.1 МС13.</v>
      </c>
      <c r="S53" t="str">
        <f t="shared" si="2"/>
        <v>Основной</v>
      </c>
      <c r="T53" t="str">
        <f t="shared" si="3"/>
        <v>ГУТС</v>
      </c>
      <c r="U53" t="str">
        <f>""</f>
        <v/>
      </c>
      <c r="V53" t="str">
        <f t="shared" si="4"/>
        <v>Нет</v>
      </c>
      <c r="W53">
        <v>51.7033354</v>
      </c>
      <c r="X53">
        <v>36.150051689999998</v>
      </c>
      <c r="Y53" t="str">
        <f>"20000004552622"</f>
        <v>20000004552622</v>
      </c>
    </row>
    <row r="54" spans="1:25" x14ac:dyDescent="0.25">
      <c r="A54">
        <v>907</v>
      </c>
      <c r="B54" t="str">
        <f t="shared" si="0"/>
        <v>Курск</v>
      </c>
      <c r="C54">
        <v>360633</v>
      </c>
      <c r="D54" t="str">
        <f>"МОК3.2.1 Курск, Карла Маркса, 62 /21 п. 1"</f>
        <v>МОК3.2.1 Курск, Карла Маркса, 62 /21 п. 1</v>
      </c>
      <c r="E54" t="str">
        <f t="shared" ref="E54:E59" si="17">"КРС-128-SC"</f>
        <v>КРС-128-SC</v>
      </c>
      <c r="F54" t="str">
        <f>"10.09.2013"</f>
        <v>10.09.2013</v>
      </c>
      <c r="G54" t="str">
        <f>""</f>
        <v/>
      </c>
      <c r="H54" t="str">
        <f>"МОК3.2.1"</f>
        <v>МОК3.2.1</v>
      </c>
      <c r="I54" t="str">
        <f t="shared" ref="I54:I59" si="18">"Стойка 2 спереди"</f>
        <v>Стойка 2 спереди</v>
      </c>
      <c r="J54" t="str">
        <f>"Курск, Карла Маркса, 62 /21"</f>
        <v>Курск, Карла Маркса, 62 /21</v>
      </c>
      <c r="K54" t="str">
        <f>"Подъезд"</f>
        <v>Подъезд</v>
      </c>
      <c r="L54" t="str">
        <f>"04-APR-12"</f>
        <v>04-APR-12</v>
      </c>
      <c r="M54">
        <v>0</v>
      </c>
      <c r="N54" t="str">
        <f>""</f>
        <v/>
      </c>
      <c r="O54" t="str">
        <f>"EmptySerial&lt;52795&gt;"</f>
        <v>EmptySerial&lt;52795&gt;</v>
      </c>
      <c r="P54" t="str">
        <f t="shared" si="1"/>
        <v>Нет</v>
      </c>
      <c r="Q54" t="str">
        <f>"КСК00000000000000368"</f>
        <v>КСК00000000000000368</v>
      </c>
      <c r="R54" t="str">
        <f>"МОК3.2.1 МС3.2"</f>
        <v>МОК3.2.1 МС3.2</v>
      </c>
      <c r="S54" t="str">
        <f t="shared" si="2"/>
        <v>Основной</v>
      </c>
      <c r="T54" t="str">
        <f t="shared" si="3"/>
        <v>ГУТС</v>
      </c>
      <c r="U54" t="str">
        <f>""</f>
        <v/>
      </c>
      <c r="V54" t="str">
        <f t="shared" si="4"/>
        <v>Нет</v>
      </c>
      <c r="W54">
        <v>51.758078717506997</v>
      </c>
      <c r="X54">
        <v>36.187076568603501</v>
      </c>
      <c r="Y54" t="str">
        <f>"20000004565922"</f>
        <v>20000004565922</v>
      </c>
    </row>
    <row r="55" spans="1:25" x14ac:dyDescent="0.25">
      <c r="A55">
        <v>907</v>
      </c>
      <c r="B55" t="str">
        <f t="shared" si="0"/>
        <v>Курск</v>
      </c>
      <c r="C55">
        <v>360899</v>
      </c>
      <c r="D55" t="str">
        <f>"МОК3.4.1 Курск, Карла Маркса, 62 /21 п. 1"</f>
        <v>МОК3.4.1 Курск, Карла Маркса, 62 /21 п. 1</v>
      </c>
      <c r="E55" t="str">
        <f t="shared" si="17"/>
        <v>КРС-128-SC</v>
      </c>
      <c r="F55" t="str">
        <f>"10.09.2013"</f>
        <v>10.09.2013</v>
      </c>
      <c r="G55" t="str">
        <f>""</f>
        <v/>
      </c>
      <c r="H55" t="str">
        <f>"МОК3.4.1"</f>
        <v>МОК3.4.1</v>
      </c>
      <c r="I55" t="str">
        <f t="shared" si="18"/>
        <v>Стойка 2 спереди</v>
      </c>
      <c r="J55" t="str">
        <f>"Курск, Карла Маркса, 62 /21"</f>
        <v>Курск, Карла Маркса, 62 /21</v>
      </c>
      <c r="K55" t="str">
        <f>"Подъезд"</f>
        <v>Подъезд</v>
      </c>
      <c r="L55" t="str">
        <f>"11-MAY-12"</f>
        <v>11-MAY-12</v>
      </c>
      <c r="M55">
        <v>0</v>
      </c>
      <c r="N55" t="str">
        <f>""</f>
        <v/>
      </c>
      <c r="O55" t="str">
        <f>"EmptySerial&lt;52793&gt;"</f>
        <v>EmptySerial&lt;52793&gt;</v>
      </c>
      <c r="P55" t="str">
        <f t="shared" si="1"/>
        <v>Нет</v>
      </c>
      <c r="Q55" t="str">
        <f>"КСК00000000000000150"</f>
        <v>КСК00000000000000150</v>
      </c>
      <c r="R55" t="str">
        <f>"КРС МС-3.4-3.3"</f>
        <v>КРС МС-3.4-3.3</v>
      </c>
      <c r="S55" t="str">
        <f t="shared" si="2"/>
        <v>Основной</v>
      </c>
      <c r="T55" t="str">
        <f t="shared" si="3"/>
        <v>ГУТС</v>
      </c>
      <c r="U55" t="str">
        <f>""</f>
        <v/>
      </c>
      <c r="V55" t="str">
        <f t="shared" si="4"/>
        <v>Нет</v>
      </c>
      <c r="W55">
        <v>51.758085358475903</v>
      </c>
      <c r="X55">
        <v>36.187055110931396</v>
      </c>
      <c r="Y55" t="str">
        <f>"20000004565920"</f>
        <v>20000004565920</v>
      </c>
    </row>
    <row r="56" spans="1:25" x14ac:dyDescent="0.25">
      <c r="A56">
        <v>907</v>
      </c>
      <c r="B56" t="str">
        <f t="shared" si="0"/>
        <v>Курск</v>
      </c>
      <c r="C56">
        <v>361032</v>
      </c>
      <c r="D56" t="str">
        <f>"МОК3.1.1 Курск, Карла Маркса, 62 /21 п. 1"</f>
        <v>МОК3.1.1 Курск, Карла Маркса, 62 /21 п. 1</v>
      </c>
      <c r="E56" t="str">
        <f t="shared" si="17"/>
        <v>КРС-128-SC</v>
      </c>
      <c r="F56" t="str">
        <f>"10.09.2013"</f>
        <v>10.09.2013</v>
      </c>
      <c r="G56" t="str">
        <f>""</f>
        <v/>
      </c>
      <c r="H56" t="str">
        <f>"МОК3.1.1"</f>
        <v>МОК3.1.1</v>
      </c>
      <c r="I56" t="str">
        <f t="shared" si="18"/>
        <v>Стойка 2 спереди</v>
      </c>
      <c r="J56" t="str">
        <f>"Курск, Карла Маркса, 62 /21"</f>
        <v>Курск, Карла Маркса, 62 /21</v>
      </c>
      <c r="K56" t="str">
        <f>"Подъезд"</f>
        <v>Подъезд</v>
      </c>
      <c r="L56" t="str">
        <f>"16-FEB-12"</f>
        <v>16-FEB-12</v>
      </c>
      <c r="M56">
        <v>0</v>
      </c>
      <c r="N56" t="str">
        <f>""</f>
        <v/>
      </c>
      <c r="O56" t="str">
        <f>"EmptySerial&lt;52792&gt;"</f>
        <v>EmptySerial&lt;52792&gt;</v>
      </c>
      <c r="P56" t="str">
        <f t="shared" si="1"/>
        <v>Нет</v>
      </c>
      <c r="Q56" t="str">
        <f>"КСК00000000000000215"</f>
        <v>КСК00000000000000215</v>
      </c>
      <c r="R56" t="str">
        <f>"МОК3.1.1 МС3.1"</f>
        <v>МОК3.1.1 МС3.1</v>
      </c>
      <c r="S56" t="str">
        <f t="shared" si="2"/>
        <v>Основной</v>
      </c>
      <c r="T56" t="str">
        <f t="shared" si="3"/>
        <v>ГУТС</v>
      </c>
      <c r="U56" t="str">
        <f>""</f>
        <v/>
      </c>
      <c r="V56" t="str">
        <f t="shared" si="4"/>
        <v>Нет</v>
      </c>
      <c r="W56">
        <v>51.758111922341897</v>
      </c>
      <c r="X56">
        <v>36.187063157558399</v>
      </c>
      <c r="Y56" t="str">
        <f>"20000004565919"</f>
        <v>20000004565919</v>
      </c>
    </row>
    <row r="57" spans="1:25" x14ac:dyDescent="0.25">
      <c r="A57">
        <v>907</v>
      </c>
      <c r="B57" t="str">
        <f t="shared" si="0"/>
        <v>Курск</v>
      </c>
      <c r="C57">
        <v>365833</v>
      </c>
      <c r="D57" t="str">
        <f>"МОК5.1.1 Курск, Гагарина, 26 а п. 1"</f>
        <v>МОК5.1.1 Курск, Гагарина, 26 а п. 1</v>
      </c>
      <c r="E57" t="str">
        <f t="shared" si="17"/>
        <v>КРС-128-SC</v>
      </c>
      <c r="F57" t="str">
        <f>"20.08.2013"</f>
        <v>20.08.2013</v>
      </c>
      <c r="G57" t="str">
        <f>""</f>
        <v/>
      </c>
      <c r="H57" t="str">
        <f>"МОК5.1.1"</f>
        <v>МОК5.1.1</v>
      </c>
      <c r="I57" t="str">
        <f t="shared" si="18"/>
        <v>Стойка 2 спереди</v>
      </c>
      <c r="J57" t="str">
        <f>"Курск, Гагарина, 26 а"</f>
        <v>Курск, Гагарина, 26 а</v>
      </c>
      <c r="K57" t="str">
        <f>"Серверная"</f>
        <v>Серверная</v>
      </c>
      <c r="L57" t="str">
        <f>"04-MAY-12"</f>
        <v>04-MAY-12</v>
      </c>
      <c r="M57">
        <v>0</v>
      </c>
      <c r="N57" t="str">
        <f>""</f>
        <v/>
      </c>
      <c r="O57" t="str">
        <f>"EmptySerial&lt;52338&gt;"</f>
        <v>EmptySerial&lt;52338&gt;</v>
      </c>
      <c r="P57" t="str">
        <f t="shared" si="1"/>
        <v>Нет</v>
      </c>
      <c r="Q57" t="str">
        <f>"КСК00000000000000425"</f>
        <v>КСК00000000000000425</v>
      </c>
      <c r="R57" t="str">
        <f>"МОК5.1.1 МС5.1"</f>
        <v>МОК5.1.1 МС5.1</v>
      </c>
      <c r="S57" t="str">
        <f t="shared" si="2"/>
        <v>Основной</v>
      </c>
      <c r="T57" t="str">
        <f t="shared" si="3"/>
        <v>ГУТС</v>
      </c>
      <c r="U57" t="str">
        <f>""</f>
        <v/>
      </c>
      <c r="V57" t="str">
        <f t="shared" si="4"/>
        <v>Нет</v>
      </c>
      <c r="W57">
        <v>51.669574264419801</v>
      </c>
      <c r="X57">
        <v>36.131903529167197</v>
      </c>
      <c r="Y57" t="str">
        <f>"20000004565639"</f>
        <v>20000004565639</v>
      </c>
    </row>
    <row r="58" spans="1:25" x14ac:dyDescent="0.25">
      <c r="A58">
        <v>907</v>
      </c>
      <c r="B58" t="str">
        <f t="shared" si="0"/>
        <v>Курск</v>
      </c>
      <c r="C58">
        <v>365966</v>
      </c>
      <c r="D58" t="str">
        <f>"МОК5.2.1 Курск, Гагарина, 26 а п. 1"</f>
        <v>МОК5.2.1 Курск, Гагарина, 26 а п. 1</v>
      </c>
      <c r="E58" t="str">
        <f t="shared" si="17"/>
        <v>КРС-128-SC</v>
      </c>
      <c r="F58" t="str">
        <f>"20.08.2013"</f>
        <v>20.08.2013</v>
      </c>
      <c r="G58" t="str">
        <f>""</f>
        <v/>
      </c>
      <c r="H58" t="str">
        <f>"МОК5.2.1"</f>
        <v>МОК5.2.1</v>
      </c>
      <c r="I58" t="str">
        <f t="shared" si="18"/>
        <v>Стойка 2 спереди</v>
      </c>
      <c r="J58" t="str">
        <f>"Курск, Гагарина, 26 а"</f>
        <v>Курск, Гагарина, 26 а</v>
      </c>
      <c r="K58" t="str">
        <f>"Подъезд"</f>
        <v>Подъезд</v>
      </c>
      <c r="L58" t="str">
        <f>"23-MAY-12"</f>
        <v>23-MAY-12</v>
      </c>
      <c r="M58">
        <v>0</v>
      </c>
      <c r="N58" t="str">
        <f>""</f>
        <v/>
      </c>
      <c r="O58" t="str">
        <f>"EmptySerial&lt;52337&gt;"</f>
        <v>EmptySerial&lt;52337&gt;</v>
      </c>
      <c r="P58" t="str">
        <f t="shared" si="1"/>
        <v>Нет</v>
      </c>
      <c r="Q58" t="str">
        <f>"КСК00000000000000363"</f>
        <v>КСК00000000000000363</v>
      </c>
      <c r="R58" t="str">
        <f>"ГОК5.2.1 - 5.3.1 МС5.2 - МС5.3"</f>
        <v>ГОК5.2.1 - 5.3.1 МС5.2 - МС5.3</v>
      </c>
      <c r="S58" t="str">
        <f t="shared" si="2"/>
        <v>Основной</v>
      </c>
      <c r="T58" t="str">
        <f t="shared" si="3"/>
        <v>ГУТС</v>
      </c>
      <c r="U58" t="str">
        <f>""</f>
        <v/>
      </c>
      <c r="V58" t="str">
        <f t="shared" si="4"/>
        <v>Нет</v>
      </c>
      <c r="W58">
        <v>51.669537667527003</v>
      </c>
      <c r="X58">
        <v>36.131989359855702</v>
      </c>
      <c r="Y58" t="str">
        <f>"20000004565638"</f>
        <v>20000004565638</v>
      </c>
    </row>
    <row r="59" spans="1:25" x14ac:dyDescent="0.25">
      <c r="A59">
        <v>907</v>
      </c>
      <c r="B59" t="str">
        <f t="shared" si="0"/>
        <v>Курск</v>
      </c>
      <c r="C59">
        <v>366232</v>
      </c>
      <c r="D59" t="str">
        <f>"МОК5.4.1 Курск, Гагарина, 26 а п. 1"</f>
        <v>МОК5.4.1 Курск, Гагарина, 26 а п. 1</v>
      </c>
      <c r="E59" t="str">
        <f t="shared" si="17"/>
        <v>КРС-128-SC</v>
      </c>
      <c r="F59" t="str">
        <f>"20.08.2013"</f>
        <v>20.08.2013</v>
      </c>
      <c r="G59" t="str">
        <f>""</f>
        <v/>
      </c>
      <c r="H59" t="str">
        <f>"МОК5.4.1"</f>
        <v>МОК5.4.1</v>
      </c>
      <c r="I59" t="str">
        <f t="shared" si="18"/>
        <v>Стойка 2 спереди</v>
      </c>
      <c r="J59" t="str">
        <f>"Курск, Гагарина, 26 а"</f>
        <v>Курск, Гагарина, 26 а</v>
      </c>
      <c r="K59" t="str">
        <f>"Подъезд"</f>
        <v>Подъезд</v>
      </c>
      <c r="L59" t="str">
        <f>"02-JUN-12"</f>
        <v>02-JUN-12</v>
      </c>
      <c r="M59">
        <v>0</v>
      </c>
      <c r="N59" t="str">
        <f>""</f>
        <v/>
      </c>
      <c r="O59" t="str">
        <f>"EmptySerial&lt;52339&gt;"</f>
        <v>EmptySerial&lt;52339&gt;</v>
      </c>
      <c r="P59" t="str">
        <f t="shared" si="1"/>
        <v>Нет</v>
      </c>
      <c r="Q59" t="str">
        <f>"КСК00000000000000426"</f>
        <v>КСК00000000000000426</v>
      </c>
      <c r="R59" t="str">
        <f>"МОК5.4.1 МС5.4"</f>
        <v>МОК5.4.1 МС5.4</v>
      </c>
      <c r="S59" t="str">
        <f t="shared" si="2"/>
        <v>Основной</v>
      </c>
      <c r="T59" t="str">
        <f t="shared" si="3"/>
        <v>ГУТС</v>
      </c>
      <c r="U59" t="str">
        <f>""</f>
        <v/>
      </c>
      <c r="V59" t="str">
        <f t="shared" si="4"/>
        <v>Нет</v>
      </c>
      <c r="W59">
        <v>51.669191660000003</v>
      </c>
      <c r="X59">
        <v>36.133051510000001</v>
      </c>
      <c r="Y59" t="str">
        <f>"20000004565640"</f>
        <v>20000004565640</v>
      </c>
    </row>
    <row r="60" spans="1:25" x14ac:dyDescent="0.25">
      <c r="A60">
        <v>907</v>
      </c>
      <c r="B60" t="str">
        <f t="shared" si="0"/>
        <v>Курск</v>
      </c>
      <c r="C60">
        <v>367033</v>
      </c>
      <c r="D60" t="str">
        <f>"ГОК1.4.3.1 Курск, Дейнеки, 19  п. 1"</f>
        <v>ГОК1.4.3.1 Курск, Дейнеки, 19  п. 1</v>
      </c>
      <c r="E60" t="str">
        <f t="shared" ref="E60:E74" si="19">"КРС-8/16-SC"</f>
        <v>КРС-8/16-SC</v>
      </c>
      <c r="F60" t="str">
        <f t="shared" ref="F60:F73" si="20">"29.01.2013"</f>
        <v>29.01.2013</v>
      </c>
      <c r="G60" t="str">
        <f>""</f>
        <v/>
      </c>
      <c r="H60" t="str">
        <f>"ГОК1.4.3.1"</f>
        <v>ГОК1.4.3.1</v>
      </c>
      <c r="I60" t="str">
        <f>"ДШ (под. 1, ОУ№ 1)"</f>
        <v>ДШ (под. 1, ОУ№ 1)</v>
      </c>
      <c r="J60" t="str">
        <f>"Курск, Дейнеки, 19"</f>
        <v>Курск, Дейнеки, 19</v>
      </c>
      <c r="K60" t="str">
        <f>"Чердак"</f>
        <v>Чердак</v>
      </c>
      <c r="L60" t="str">
        <f>"29-MAY-12"</f>
        <v>29-MAY-12</v>
      </c>
      <c r="M60">
        <v>0</v>
      </c>
      <c r="N60" t="str">
        <f>""</f>
        <v/>
      </c>
      <c r="O60" t="str">
        <f>"EmptySerial&lt;34745&gt;"</f>
        <v>EmptySerial&lt;34745&gt;</v>
      </c>
      <c r="P60" t="str">
        <f t="shared" si="1"/>
        <v>Нет</v>
      </c>
      <c r="Q60" t="str">
        <f>"КСК00000000000000093"</f>
        <v>КСК00000000000000093</v>
      </c>
      <c r="R60" t="str">
        <f>"ГОК1.4.3 МС1.4"</f>
        <v>ГОК1.4.3 МС1.4</v>
      </c>
      <c r="S60" t="str">
        <f t="shared" si="2"/>
        <v>Основной</v>
      </c>
      <c r="T60" t="str">
        <f t="shared" si="3"/>
        <v>ГУТС</v>
      </c>
      <c r="U60" t="str">
        <f>""</f>
        <v/>
      </c>
      <c r="V60" t="str">
        <f t="shared" si="4"/>
        <v>Нет</v>
      </c>
      <c r="W60">
        <v>51.704032079999998</v>
      </c>
      <c r="X60">
        <v>36.142444609999998</v>
      </c>
      <c r="Y60" t="str">
        <f>"20000004553340"</f>
        <v>20000004553340</v>
      </c>
    </row>
    <row r="61" spans="1:25" x14ac:dyDescent="0.25">
      <c r="A61">
        <v>907</v>
      </c>
      <c r="B61" t="str">
        <f t="shared" si="0"/>
        <v>Курск</v>
      </c>
      <c r="C61">
        <v>367046</v>
      </c>
      <c r="D61" t="str">
        <f>"ГОК1.4.2.1 Курск, Ольшанского, 16 /11 п. 1"</f>
        <v>ГОК1.4.2.1 Курск, Ольшанского, 16 /11 п. 1</v>
      </c>
      <c r="E61" t="str">
        <f t="shared" si="19"/>
        <v>КРС-8/16-SC</v>
      </c>
      <c r="F61" t="str">
        <f t="shared" si="20"/>
        <v>29.01.2013</v>
      </c>
      <c r="G61" t="str">
        <f>""</f>
        <v/>
      </c>
      <c r="H61" t="str">
        <f>"ГОК1.4.2.1"</f>
        <v>ГОК1.4.2.1</v>
      </c>
      <c r="I61" t="str">
        <f>"ДШ (под. 1, ОУ№ 1)"</f>
        <v>ДШ (под. 1, ОУ№ 1)</v>
      </c>
      <c r="J61" t="str">
        <f>"Курск, Ольшанского, 16 /11"</f>
        <v>Курск, Ольшанского, 16 /11</v>
      </c>
      <c r="K61" t="str">
        <f>"Чердак"</f>
        <v>Чердак</v>
      </c>
      <c r="L61" t="str">
        <f>"24-MAY-12"</f>
        <v>24-MAY-12</v>
      </c>
      <c r="M61">
        <v>0</v>
      </c>
      <c r="N61" t="str">
        <f>""</f>
        <v/>
      </c>
      <c r="O61" t="str">
        <f>"EmptySerial&lt;34744&gt;"</f>
        <v>EmptySerial&lt;34744&gt;</v>
      </c>
      <c r="P61" t="str">
        <f t="shared" si="1"/>
        <v>Нет</v>
      </c>
      <c r="Q61" t="str">
        <f>"КСК00000000000000083"</f>
        <v>КСК00000000000000083</v>
      </c>
      <c r="R61" t="str">
        <f>"ГОК1.4.2 МС1.4"</f>
        <v>ГОК1.4.2 МС1.4</v>
      </c>
      <c r="S61" t="str">
        <f t="shared" si="2"/>
        <v>Основной</v>
      </c>
      <c r="T61" t="str">
        <f t="shared" si="3"/>
        <v>ГУТС</v>
      </c>
      <c r="U61" t="str">
        <f>""</f>
        <v/>
      </c>
      <c r="V61" t="str">
        <f t="shared" si="4"/>
        <v>Нет</v>
      </c>
      <c r="W61">
        <v>51.706249649999997</v>
      </c>
      <c r="X61">
        <v>36.144410329999999</v>
      </c>
      <c r="Y61" t="str">
        <f>"20000004553339"</f>
        <v>20000004553339</v>
      </c>
    </row>
    <row r="62" spans="1:25" x14ac:dyDescent="0.25">
      <c r="A62">
        <v>907</v>
      </c>
      <c r="B62" t="str">
        <f t="shared" si="0"/>
        <v>Курск</v>
      </c>
      <c r="C62">
        <v>367059</v>
      </c>
      <c r="D62" t="str">
        <f>"ГОК1.4.4.1 Курск, Ольшанского, 26 а п. 2"</f>
        <v>ГОК1.4.4.1 Курск, Ольшанского, 26 а п. 2</v>
      </c>
      <c r="E62" t="str">
        <f t="shared" si="19"/>
        <v>КРС-8/16-SC</v>
      </c>
      <c r="F62" t="str">
        <f t="shared" si="20"/>
        <v>29.01.2013</v>
      </c>
      <c r="G62" t="str">
        <f>""</f>
        <v/>
      </c>
      <c r="H62" t="str">
        <f>"ГОК1.4.4.1"</f>
        <v>ГОК1.4.4.1</v>
      </c>
      <c r="I62" t="str">
        <f>"ДШ (под. 2, ОУ№ 1)"</f>
        <v>ДШ (под. 2, ОУ№ 1)</v>
      </c>
      <c r="J62" t="str">
        <f>"Курск, Ольшанского, 26 а"</f>
        <v>Курск, Ольшанского, 26 а</v>
      </c>
      <c r="K62" t="str">
        <f>"Чердак"</f>
        <v>Чердак</v>
      </c>
      <c r="L62" t="str">
        <f>"21-MAY-12"</f>
        <v>21-MAY-12</v>
      </c>
      <c r="M62">
        <v>0</v>
      </c>
      <c r="N62" t="str">
        <f>""</f>
        <v/>
      </c>
      <c r="O62" t="str">
        <f>"EmptySerial&lt;34743&gt;"</f>
        <v>EmptySerial&lt;34743&gt;</v>
      </c>
      <c r="P62" t="str">
        <f t="shared" si="1"/>
        <v>Нет</v>
      </c>
      <c r="Q62" t="str">
        <f>"КСК00000000000000094"</f>
        <v>КСК00000000000000094</v>
      </c>
      <c r="R62" t="str">
        <f>"ГОК1.4.4 МС1.4"</f>
        <v>ГОК1.4.4 МС1.4</v>
      </c>
      <c r="S62" t="str">
        <f t="shared" si="2"/>
        <v>Основной</v>
      </c>
      <c r="T62" t="str">
        <f t="shared" si="3"/>
        <v>ГУТС</v>
      </c>
      <c r="U62" t="str">
        <f>""</f>
        <v/>
      </c>
      <c r="V62" t="str">
        <f t="shared" si="4"/>
        <v>Нет</v>
      </c>
      <c r="W62">
        <v>51.705794010317597</v>
      </c>
      <c r="X62">
        <v>36.140234470367403</v>
      </c>
      <c r="Y62" t="str">
        <f>"20000004553338"</f>
        <v>20000004553338</v>
      </c>
    </row>
    <row r="63" spans="1:25" x14ac:dyDescent="0.25">
      <c r="A63">
        <v>907</v>
      </c>
      <c r="B63" t="str">
        <f t="shared" si="0"/>
        <v>Курск</v>
      </c>
      <c r="C63">
        <v>367072</v>
      </c>
      <c r="D63" t="str">
        <f>"ГОК1.4.7.1 Курск, Сумская, 42 а п. 2"</f>
        <v>ГОК1.4.7.1 Курск, Сумская, 42 а п. 2</v>
      </c>
      <c r="E63" t="str">
        <f t="shared" si="19"/>
        <v>КРС-8/16-SC</v>
      </c>
      <c r="F63" t="str">
        <f t="shared" si="20"/>
        <v>29.01.2013</v>
      </c>
      <c r="G63" t="str">
        <f>"Растояние до ЦГС 6 236 по рефке"</f>
        <v>Растояние до ЦГС 6 236 по рефке</v>
      </c>
      <c r="H63" t="str">
        <f>"ГОК1.4.7.1"</f>
        <v>ГОК1.4.7.1</v>
      </c>
      <c r="I63" t="str">
        <f>"ДШ (под. 2, ОУ№ 1)"</f>
        <v>ДШ (под. 2, ОУ№ 1)</v>
      </c>
      <c r="J63" t="str">
        <f>"Курск, Сумская, 42 а"</f>
        <v>Курск, Сумская, 42 а</v>
      </c>
      <c r="K63" t="str">
        <f>"ДШ-2"</f>
        <v>ДШ-2</v>
      </c>
      <c r="L63" t="str">
        <f>"14-MAY-12"</f>
        <v>14-MAY-12</v>
      </c>
      <c r="M63">
        <v>0</v>
      </c>
      <c r="N63" t="str">
        <f>""</f>
        <v/>
      </c>
      <c r="O63" t="str">
        <f>"EmptySerial&lt;34742&gt;"</f>
        <v>EmptySerial&lt;34742&gt;</v>
      </c>
      <c r="P63" t="str">
        <f t="shared" si="1"/>
        <v>Нет</v>
      </c>
      <c r="Q63" t="str">
        <f>"КСК00000000000000084"</f>
        <v>КСК00000000000000084</v>
      </c>
      <c r="R63" t="str">
        <f>"ГОК1.4.7 МС1.4"</f>
        <v>ГОК1.4.7 МС1.4</v>
      </c>
      <c r="S63" t="str">
        <f t="shared" si="2"/>
        <v>Основной</v>
      </c>
      <c r="T63" t="str">
        <f t="shared" si="3"/>
        <v>ГУТС</v>
      </c>
      <c r="U63" t="str">
        <f>""</f>
        <v/>
      </c>
      <c r="V63" t="str">
        <f t="shared" si="4"/>
        <v>Нет</v>
      </c>
      <c r="W63">
        <v>51.710334814564298</v>
      </c>
      <c r="X63">
        <v>36.142326593398998</v>
      </c>
      <c r="Y63" t="str">
        <f>"20000004553337"</f>
        <v>20000004553337</v>
      </c>
    </row>
    <row r="64" spans="1:25" x14ac:dyDescent="0.25">
      <c r="A64">
        <v>907</v>
      </c>
      <c r="B64" t="str">
        <f t="shared" si="0"/>
        <v>Курск</v>
      </c>
      <c r="C64">
        <v>367085</v>
      </c>
      <c r="D64" t="str">
        <f>"ГОК1.4.8.1 Курск, Сумская, 37 б/1 п. 2"</f>
        <v>ГОК1.4.8.1 Курск, Сумская, 37 б/1 п. 2</v>
      </c>
      <c r="E64" t="str">
        <f t="shared" si="19"/>
        <v>КРС-8/16-SC</v>
      </c>
      <c r="F64" t="str">
        <f t="shared" si="20"/>
        <v>29.01.2013</v>
      </c>
      <c r="G64" t="str">
        <f>""</f>
        <v/>
      </c>
      <c r="H64" t="str">
        <f>"ГОК1.4.8.1"</f>
        <v>ГОК1.4.8.1</v>
      </c>
      <c r="I64" t="str">
        <f>"ДШ (под. 2, ОУ№ 1)"</f>
        <v>ДШ (под. 2, ОУ№ 1)</v>
      </c>
      <c r="J64" t="str">
        <f>"Курск, Сумская, 37 б/1"</f>
        <v>Курск, Сумская, 37 б/1</v>
      </c>
      <c r="K64" t="str">
        <f>"ДШ-2"</f>
        <v>ДШ-2</v>
      </c>
      <c r="L64" t="str">
        <f>"12-MAY-12"</f>
        <v>12-MAY-12</v>
      </c>
      <c r="M64">
        <v>0</v>
      </c>
      <c r="N64" t="str">
        <f>""</f>
        <v/>
      </c>
      <c r="O64" t="str">
        <f>"EmptySerial&lt;34741&gt;"</f>
        <v>EmptySerial&lt;34741&gt;</v>
      </c>
      <c r="P64" t="str">
        <f t="shared" si="1"/>
        <v>Нет</v>
      </c>
      <c r="Q64" t="str">
        <f>"КСК00000000000000092"</f>
        <v>КСК00000000000000092</v>
      </c>
      <c r="R64" t="str">
        <f>"ГОК1.4.8 МС1.4"</f>
        <v>ГОК1.4.8 МС1.4</v>
      </c>
      <c r="S64" t="str">
        <f t="shared" si="2"/>
        <v>Основной</v>
      </c>
      <c r="T64" t="str">
        <f t="shared" si="3"/>
        <v>ГУТС</v>
      </c>
      <c r="U64" t="str">
        <f>""</f>
        <v/>
      </c>
      <c r="V64" t="str">
        <f t="shared" si="4"/>
        <v>Нет</v>
      </c>
      <c r="W64">
        <v>51.711401804180902</v>
      </c>
      <c r="X64">
        <v>36.143485307693503</v>
      </c>
      <c r="Y64" t="str">
        <f>"20000004553336"</f>
        <v>20000004553336</v>
      </c>
    </row>
    <row r="65" spans="1:25" x14ac:dyDescent="0.25">
      <c r="A65">
        <v>907</v>
      </c>
      <c r="B65" t="str">
        <f t="shared" si="0"/>
        <v>Курск</v>
      </c>
      <c r="C65">
        <v>367126</v>
      </c>
      <c r="D65" t="str">
        <f>"ГОК3.4.6.1 Курск, Кати Зеленко, 6 г п. 1"</f>
        <v>ГОК3.4.6.1 Курск, Кати Зеленко, 6 г п. 1</v>
      </c>
      <c r="E65" t="str">
        <f t="shared" si="19"/>
        <v>КРС-8/16-SC</v>
      </c>
      <c r="F65" t="str">
        <f t="shared" si="20"/>
        <v>29.01.2013</v>
      </c>
      <c r="G65" t="str">
        <f>""</f>
        <v/>
      </c>
      <c r="H65" t="str">
        <f>"ГОК3.4.6.1"</f>
        <v>ГОК3.4.6.1</v>
      </c>
      <c r="I65" t="str">
        <f>"ДШ (под. 1, ОУ№ 1)"</f>
        <v>ДШ (под. 1, ОУ№ 1)</v>
      </c>
      <c r="J65" t="str">
        <f>"Курск, Кати Зеленко, 6 г"</f>
        <v>Курск, Кати Зеленко, 6 г</v>
      </c>
      <c r="K65" t="str">
        <f>"Подъезд"</f>
        <v>Подъезд</v>
      </c>
      <c r="L65" t="str">
        <f>"19-MAY-12"</f>
        <v>19-MAY-12</v>
      </c>
      <c r="M65">
        <v>0</v>
      </c>
      <c r="N65" t="str">
        <f>""</f>
        <v/>
      </c>
      <c r="O65" t="str">
        <f>"EmptySerial&lt;34754&gt;"</f>
        <v>EmptySerial&lt;34754&gt;</v>
      </c>
      <c r="P65" t="str">
        <f t="shared" si="1"/>
        <v>Нет</v>
      </c>
      <c r="Q65" t="str">
        <f>"КСК00000000000000218"</f>
        <v>КСК00000000000000218</v>
      </c>
      <c r="R65" t="str">
        <f>"ГОК3.4.6 МС3.4"</f>
        <v>ГОК3.4.6 МС3.4</v>
      </c>
      <c r="S65" t="str">
        <f t="shared" si="2"/>
        <v>Основной</v>
      </c>
      <c r="T65" t="str">
        <f t="shared" si="3"/>
        <v>ГУТС</v>
      </c>
      <c r="U65" t="str">
        <f>""</f>
        <v/>
      </c>
      <c r="V65" t="str">
        <f t="shared" si="4"/>
        <v>Нет</v>
      </c>
      <c r="W65">
        <v>51.739848899999998</v>
      </c>
      <c r="X65">
        <v>36.195306590000001</v>
      </c>
      <c r="Y65" t="str">
        <f>"20000004553349"</f>
        <v>20000004553349</v>
      </c>
    </row>
    <row r="66" spans="1:25" x14ac:dyDescent="0.25">
      <c r="A66">
        <v>907</v>
      </c>
      <c r="B66" t="str">
        <f t="shared" ref="B66:B129" si="21">"Курск"</f>
        <v>Курск</v>
      </c>
      <c r="C66">
        <v>371833</v>
      </c>
      <c r="D66" t="str">
        <f>"ГОК5.1.8.1 Курск, Гагарина, 22 а п. 3"</f>
        <v>ГОК5.1.8.1 Курск, Гагарина, 22 а п. 3</v>
      </c>
      <c r="E66" t="str">
        <f t="shared" si="19"/>
        <v>КРС-8/16-SC</v>
      </c>
      <c r="F66" t="str">
        <f t="shared" si="20"/>
        <v>29.01.2013</v>
      </c>
      <c r="G66" t="str">
        <f>""</f>
        <v/>
      </c>
      <c r="H66" t="str">
        <f>"ГОК5.1.8.1"</f>
        <v>ГОК5.1.8.1</v>
      </c>
      <c r="I66" t="str">
        <f>"ДШ (под. 3, ОУ№ 1)"</f>
        <v>ДШ (под. 3, ОУ№ 1)</v>
      </c>
      <c r="J66" t="str">
        <f>"Курск, Гагарина, 22 а"</f>
        <v>Курск, Гагарина, 22 а</v>
      </c>
      <c r="K66" t="str">
        <f>"Подъезд"</f>
        <v>Подъезд</v>
      </c>
      <c r="L66" t="str">
        <f>"21-MAY-12"</f>
        <v>21-MAY-12</v>
      </c>
      <c r="M66">
        <v>0</v>
      </c>
      <c r="N66" t="str">
        <f>""</f>
        <v/>
      </c>
      <c r="O66" t="str">
        <f>"EmptySerial&lt;35428&gt;"</f>
        <v>EmptySerial&lt;35428&gt;</v>
      </c>
      <c r="P66" t="str">
        <f t="shared" ref="P66:P129" si="22">"Нет"</f>
        <v>Нет</v>
      </c>
      <c r="Q66" t="str">
        <f>"КСК00000000000000225"</f>
        <v>КСК00000000000000225</v>
      </c>
      <c r="R66" t="str">
        <f>"ГОК5.1.8 МС5.1"</f>
        <v>ГОК5.1.8 МС5.1</v>
      </c>
      <c r="S66" t="str">
        <f t="shared" ref="S66:S129" si="23">"Основной"</f>
        <v>Основной</v>
      </c>
      <c r="T66" t="str">
        <f t="shared" ref="T66:T129" si="24">"ГУТС"</f>
        <v>ГУТС</v>
      </c>
      <c r="U66" t="str">
        <f>""</f>
        <v/>
      </c>
      <c r="V66" t="str">
        <f t="shared" ref="V66:V129" si="25">"Нет"</f>
        <v>Нет</v>
      </c>
      <c r="W66">
        <v>51.67124106</v>
      </c>
      <c r="X66">
        <v>36.133341190000003</v>
      </c>
      <c r="Y66" t="str">
        <f>"20000004553898"</f>
        <v>20000004553898</v>
      </c>
    </row>
    <row r="67" spans="1:25" x14ac:dyDescent="0.25">
      <c r="A67">
        <v>907</v>
      </c>
      <c r="B67" t="str">
        <f t="shared" si="21"/>
        <v>Курск</v>
      </c>
      <c r="C67">
        <v>371846</v>
      </c>
      <c r="D67" t="str">
        <f>"ГОК5.1.7.1 Курск, Серегина, 18 б п. 2"</f>
        <v>ГОК5.1.7.1 Курск, Серегина, 18 б п. 2</v>
      </c>
      <c r="E67" t="str">
        <f t="shared" si="19"/>
        <v>КРС-8/16-SC</v>
      </c>
      <c r="F67" t="str">
        <f t="shared" si="20"/>
        <v>29.01.2013</v>
      </c>
      <c r="G67" t="str">
        <f>""</f>
        <v/>
      </c>
      <c r="H67" t="str">
        <f>"ГОК5.1.7.1"</f>
        <v>ГОК5.1.7.1</v>
      </c>
      <c r="I67" t="str">
        <f>"ДШ (под. 2, ОУ№ 1)"</f>
        <v>ДШ (под. 2, ОУ№ 1)</v>
      </c>
      <c r="J67" t="str">
        <f>"Курск, Серегина, 18 б"</f>
        <v>Курск, Серегина, 18 б</v>
      </c>
      <c r="K67" t="str">
        <f>"Подъезд"</f>
        <v>Подъезд</v>
      </c>
      <c r="L67" t="str">
        <f>"21-MAY-12"</f>
        <v>21-MAY-12</v>
      </c>
      <c r="M67">
        <v>0</v>
      </c>
      <c r="N67" t="str">
        <f>""</f>
        <v/>
      </c>
      <c r="O67" t="str">
        <f>"EmptySerial&lt;35427&gt;"</f>
        <v>EmptySerial&lt;35427&gt;</v>
      </c>
      <c r="P67" t="str">
        <f t="shared" si="22"/>
        <v>Нет</v>
      </c>
      <c r="Q67" t="str">
        <f>"КСК00000000000000301"</f>
        <v>КСК00000000000000301</v>
      </c>
      <c r="R67" t="str">
        <f>"ГОК5.1.7 МС5.1"</f>
        <v>ГОК5.1.7 МС5.1</v>
      </c>
      <c r="S67" t="str">
        <f t="shared" si="23"/>
        <v>Основной</v>
      </c>
      <c r="T67" t="str">
        <f t="shared" si="24"/>
        <v>ГУТС</v>
      </c>
      <c r="U67" t="str">
        <f>""</f>
        <v/>
      </c>
      <c r="V67" t="str">
        <f t="shared" si="25"/>
        <v>Нет</v>
      </c>
      <c r="W67">
        <v>51.671876482238297</v>
      </c>
      <c r="X67">
        <v>36.133850812912002</v>
      </c>
      <c r="Y67" t="str">
        <f>"20000004553897"</f>
        <v>20000004553897</v>
      </c>
    </row>
    <row r="68" spans="1:25" x14ac:dyDescent="0.25">
      <c r="A68">
        <v>907</v>
      </c>
      <c r="B68" t="str">
        <f t="shared" si="21"/>
        <v>Курск</v>
      </c>
      <c r="C68">
        <v>371859</v>
      </c>
      <c r="D68" t="str">
        <f>"ГОК5.1.6.1 Курск, Серегина, 19  п. 3"</f>
        <v>ГОК5.1.6.1 Курск, Серегина, 19  п. 3</v>
      </c>
      <c r="E68" t="str">
        <f t="shared" si="19"/>
        <v>КРС-8/16-SC</v>
      </c>
      <c r="F68" t="str">
        <f t="shared" si="20"/>
        <v>29.01.2013</v>
      </c>
      <c r="G68" t="str">
        <f>""</f>
        <v/>
      </c>
      <c r="H68" t="str">
        <f>"ГОК5.1.6.1"</f>
        <v>ГОК5.1.6.1</v>
      </c>
      <c r="I68" t="str">
        <f>"ДШ (под. 3, ОУ№ 1)"</f>
        <v>ДШ (под. 3, ОУ№ 1)</v>
      </c>
      <c r="J68" t="str">
        <f>"Курск, Серегина, 19"</f>
        <v>Курск, Серегина, 19</v>
      </c>
      <c r="K68" t="str">
        <f>"Чердак"</f>
        <v>Чердак</v>
      </c>
      <c r="L68" t="str">
        <f>"15-MAY-12"</f>
        <v>15-MAY-12</v>
      </c>
      <c r="M68">
        <v>0</v>
      </c>
      <c r="N68" t="str">
        <f>""</f>
        <v/>
      </c>
      <c r="O68" t="str">
        <f>"EmptySerial&lt;35426&gt;"</f>
        <v>EmptySerial&lt;35426&gt;</v>
      </c>
      <c r="P68" t="str">
        <f t="shared" si="22"/>
        <v>Нет</v>
      </c>
      <c r="Q68" t="str">
        <f>"КСК00000000000000224"</f>
        <v>КСК00000000000000224</v>
      </c>
      <c r="R68" t="str">
        <f>"ГОК5.1.6 МС5.1"</f>
        <v>ГОК5.1.6 МС5.1</v>
      </c>
      <c r="S68" t="str">
        <f t="shared" si="23"/>
        <v>Основной</v>
      </c>
      <c r="T68" t="str">
        <f t="shared" si="24"/>
        <v>ГУТС</v>
      </c>
      <c r="U68" t="str">
        <f>""</f>
        <v/>
      </c>
      <c r="V68" t="str">
        <f t="shared" si="25"/>
        <v>Нет</v>
      </c>
      <c r="W68">
        <v>51.670459234824499</v>
      </c>
      <c r="X68">
        <v>36.137198209762602</v>
      </c>
      <c r="Y68" t="str">
        <f>"20000004553896"</f>
        <v>20000004553896</v>
      </c>
    </row>
    <row r="69" spans="1:25" x14ac:dyDescent="0.25">
      <c r="A69">
        <v>907</v>
      </c>
      <c r="B69" t="str">
        <f t="shared" si="21"/>
        <v>Курск</v>
      </c>
      <c r="C69">
        <v>371872</v>
      </c>
      <c r="D69" t="str">
        <f>"ГОК5.1.5.1 Курск, Кулакова Пр-Кт, 7  п. 8"</f>
        <v>ГОК5.1.5.1 Курск, Кулакова Пр-Кт, 7  п. 8</v>
      </c>
      <c r="E69" t="str">
        <f t="shared" si="19"/>
        <v>КРС-8/16-SC</v>
      </c>
      <c r="F69" t="str">
        <f t="shared" si="20"/>
        <v>29.01.2013</v>
      </c>
      <c r="G69" t="str">
        <f>""</f>
        <v/>
      </c>
      <c r="H69" t="str">
        <f>"ГОК5.1.5.1"</f>
        <v>ГОК5.1.5.1</v>
      </c>
      <c r="I69" t="str">
        <f>"ДШ (под. 8, ОУ№ 1)"</f>
        <v>ДШ (под. 8, ОУ№ 1)</v>
      </c>
      <c r="J69" t="str">
        <f>"Курск, Кулакова Пр-Кт, 7"</f>
        <v>Курск, Кулакова Пр-Кт, 7</v>
      </c>
      <c r="K69" t="str">
        <f>"Чердак"</f>
        <v>Чердак</v>
      </c>
      <c r="L69" t="str">
        <f>"11-MAY-12"</f>
        <v>11-MAY-12</v>
      </c>
      <c r="M69">
        <v>0</v>
      </c>
      <c r="N69" t="str">
        <f>""</f>
        <v/>
      </c>
      <c r="O69" t="str">
        <f>"EmptySerial&lt;35425&gt;"</f>
        <v>EmptySerial&lt;35425&gt;</v>
      </c>
      <c r="P69" t="str">
        <f t="shared" si="22"/>
        <v>Нет</v>
      </c>
      <c r="Q69" t="str">
        <f>"КСК00000000000000223"</f>
        <v>КСК00000000000000223</v>
      </c>
      <c r="R69" t="str">
        <f>"ГОК5.1.5 МС5.1"</f>
        <v>ГОК5.1.5 МС5.1</v>
      </c>
      <c r="S69" t="str">
        <f t="shared" si="23"/>
        <v>Основной</v>
      </c>
      <c r="T69" t="str">
        <f t="shared" si="24"/>
        <v>ГУТС</v>
      </c>
      <c r="U69" t="str">
        <f>""</f>
        <v/>
      </c>
      <c r="V69" t="str">
        <f t="shared" si="25"/>
        <v>Нет</v>
      </c>
      <c r="W69">
        <v>51.6698936542289</v>
      </c>
      <c r="X69">
        <v>36.1408513784409</v>
      </c>
      <c r="Y69" t="str">
        <f>"20000004553895"</f>
        <v>20000004553895</v>
      </c>
    </row>
    <row r="70" spans="1:25" x14ac:dyDescent="0.25">
      <c r="A70">
        <v>907</v>
      </c>
      <c r="B70" t="str">
        <f t="shared" si="21"/>
        <v>Курск</v>
      </c>
      <c r="C70">
        <v>371885</v>
      </c>
      <c r="D70" t="str">
        <f>"ГОК5.1.4.1 Курск, Кулакова Пр-Кт, 9  п. 1"</f>
        <v>ГОК5.1.4.1 Курск, Кулакова Пр-Кт, 9  п. 1</v>
      </c>
      <c r="E70" t="str">
        <f t="shared" si="19"/>
        <v>КРС-8/16-SC</v>
      </c>
      <c r="F70" t="str">
        <f t="shared" si="20"/>
        <v>29.01.2013</v>
      </c>
      <c r="G70" t="str">
        <f>""</f>
        <v/>
      </c>
      <c r="H70" t="str">
        <f>"ГОК5.1.4.1"</f>
        <v>ГОК5.1.4.1</v>
      </c>
      <c r="I70" t="str">
        <f>"ДШ (под. 1, ОУ№ 1)"</f>
        <v>ДШ (под. 1, ОУ№ 1)</v>
      </c>
      <c r="J70" t="str">
        <f>"Курск, Кулакова Пр-Кт, 9"</f>
        <v>Курск, Кулакова Пр-Кт, 9</v>
      </c>
      <c r="K70" t="str">
        <f>"Чердак"</f>
        <v>Чердак</v>
      </c>
      <c r="L70" t="str">
        <f>"10-MAY-12"</f>
        <v>10-MAY-12</v>
      </c>
      <c r="M70">
        <v>0</v>
      </c>
      <c r="N70" t="str">
        <f>""</f>
        <v/>
      </c>
      <c r="O70" t="str">
        <f>"EmptySerial&lt;35424&gt;"</f>
        <v>EmptySerial&lt;35424&gt;</v>
      </c>
      <c r="P70" t="str">
        <f t="shared" si="22"/>
        <v>Нет</v>
      </c>
      <c r="Q70" t="str">
        <f>"КСК00000000000000222"</f>
        <v>КСК00000000000000222</v>
      </c>
      <c r="R70" t="str">
        <f>"ГОК5.1.4 МС5.1"</f>
        <v>ГОК5.1.4 МС5.1</v>
      </c>
      <c r="S70" t="str">
        <f t="shared" si="23"/>
        <v>Основной</v>
      </c>
      <c r="T70" t="str">
        <f t="shared" si="24"/>
        <v>ГУТС</v>
      </c>
      <c r="U70" t="str">
        <f>""</f>
        <v/>
      </c>
      <c r="V70" t="str">
        <f t="shared" si="25"/>
        <v>Нет</v>
      </c>
      <c r="W70">
        <v>51.669494416615699</v>
      </c>
      <c r="X70">
        <v>36.140331029892003</v>
      </c>
      <c r="Y70" t="str">
        <f>"20000004553894"</f>
        <v>20000004553894</v>
      </c>
    </row>
    <row r="71" spans="1:25" x14ac:dyDescent="0.25">
      <c r="A71">
        <v>907</v>
      </c>
      <c r="B71" t="str">
        <f t="shared" si="21"/>
        <v>Курск</v>
      </c>
      <c r="C71">
        <v>371898</v>
      </c>
      <c r="D71" t="str">
        <f>"ГОК5.1.3.1 Курск, Энергетиков, 1 /41 п. 6"</f>
        <v>ГОК5.1.3.1 Курск, Энергетиков, 1 /41 п. 6</v>
      </c>
      <c r="E71" t="str">
        <f t="shared" si="19"/>
        <v>КРС-8/16-SC</v>
      </c>
      <c r="F71" t="str">
        <f t="shared" si="20"/>
        <v>29.01.2013</v>
      </c>
      <c r="G71" t="str">
        <f>""</f>
        <v/>
      </c>
      <c r="H71" t="str">
        <f>"ГОК5.1.3.1"</f>
        <v>ГОК5.1.3.1</v>
      </c>
      <c r="I71" t="str">
        <f>"ДШ (под. 6, ОУ№ 1)"</f>
        <v>ДШ (под. 6, ОУ№ 1)</v>
      </c>
      <c r="J71" t="str">
        <f>"Курск, Энергетиков, 1 /41"</f>
        <v>Курск, Энергетиков, 1 /41</v>
      </c>
      <c r="K71" t="str">
        <f>"ДШ-2"</f>
        <v>ДШ-2</v>
      </c>
      <c r="L71" t="str">
        <f>"08-MAY-12"</f>
        <v>08-MAY-12</v>
      </c>
      <c r="M71">
        <v>0</v>
      </c>
      <c r="N71" t="str">
        <f>""</f>
        <v/>
      </c>
      <c r="O71" t="str">
        <f>"EmptySerial&lt;35423&gt;"</f>
        <v>EmptySerial&lt;35423&gt;</v>
      </c>
      <c r="P71" t="str">
        <f t="shared" si="22"/>
        <v>Нет</v>
      </c>
      <c r="Q71" t="str">
        <f>"КСК00000000000000221"</f>
        <v>КСК00000000000000221</v>
      </c>
      <c r="R71" t="str">
        <f>"ГОК5.1.3 МС5.1"</f>
        <v>ГОК5.1.3 МС5.1</v>
      </c>
      <c r="S71" t="str">
        <f t="shared" si="23"/>
        <v>Основной</v>
      </c>
      <c r="T71" t="str">
        <f t="shared" si="24"/>
        <v>ГУТС</v>
      </c>
      <c r="U71" t="str">
        <f>""</f>
        <v/>
      </c>
      <c r="V71" t="str">
        <f t="shared" si="25"/>
        <v>Нет</v>
      </c>
      <c r="W71">
        <v>51.665844556322298</v>
      </c>
      <c r="X71">
        <v>36.137176752090497</v>
      </c>
      <c r="Y71" t="str">
        <f>"20000004553893"</f>
        <v>20000004553893</v>
      </c>
    </row>
    <row r="72" spans="1:25" x14ac:dyDescent="0.25">
      <c r="A72">
        <v>907</v>
      </c>
      <c r="B72" t="str">
        <f t="shared" si="21"/>
        <v>Курск</v>
      </c>
      <c r="C72">
        <v>371911</v>
      </c>
      <c r="D72" t="str">
        <f>"ГОК5.1.2.1 Курск, Энергетиков, 9  п. 2"</f>
        <v>ГОК5.1.2.1 Курск, Энергетиков, 9  п. 2</v>
      </c>
      <c r="E72" t="str">
        <f t="shared" si="19"/>
        <v>КРС-8/16-SC</v>
      </c>
      <c r="F72" t="str">
        <f t="shared" si="20"/>
        <v>29.01.2013</v>
      </c>
      <c r="G72" t="str">
        <f>""</f>
        <v/>
      </c>
      <c r="H72" t="str">
        <f>"ГОК5.1.2.1"</f>
        <v>ГОК5.1.2.1</v>
      </c>
      <c r="I72" t="str">
        <f>"ДШ (под. 2, ОУ№ 1)"</f>
        <v>ДШ (под. 2, ОУ№ 1)</v>
      </c>
      <c r="J72" t="str">
        <f>"Курск, Энергетиков, 9"</f>
        <v>Курск, Энергетиков, 9</v>
      </c>
      <c r="K72" t="str">
        <f>"ДШ-2"</f>
        <v>ДШ-2</v>
      </c>
      <c r="L72" t="str">
        <f>"07-MAY-12"</f>
        <v>07-MAY-12</v>
      </c>
      <c r="M72">
        <v>0</v>
      </c>
      <c r="N72" t="str">
        <f>""</f>
        <v/>
      </c>
      <c r="O72" t="str">
        <f>"EmptySerial&lt;35422&gt;"</f>
        <v>EmptySerial&lt;35422&gt;</v>
      </c>
      <c r="P72" t="str">
        <f t="shared" si="22"/>
        <v>Нет</v>
      </c>
      <c r="Q72" t="str">
        <f>"КСК00000000000000220"</f>
        <v>КСК00000000000000220</v>
      </c>
      <c r="R72" t="str">
        <f>"ГОК5.1.2 МС5.1"</f>
        <v>ГОК5.1.2 МС5.1</v>
      </c>
      <c r="S72" t="str">
        <f t="shared" si="23"/>
        <v>Основной</v>
      </c>
      <c r="T72" t="str">
        <f t="shared" si="24"/>
        <v>ГУТС</v>
      </c>
      <c r="U72" t="str">
        <f>""</f>
        <v/>
      </c>
      <c r="V72" t="str">
        <f t="shared" si="25"/>
        <v>Нет</v>
      </c>
      <c r="W72">
        <v>51.6668893048043</v>
      </c>
      <c r="X72">
        <v>36.133298277854898</v>
      </c>
      <c r="Y72" t="str">
        <f>"20000004553892"</f>
        <v>20000004553892</v>
      </c>
    </row>
    <row r="73" spans="1:25" x14ac:dyDescent="0.25">
      <c r="A73">
        <v>907</v>
      </c>
      <c r="B73" t="str">
        <f t="shared" si="21"/>
        <v>Курск</v>
      </c>
      <c r="C73">
        <v>371924</v>
      </c>
      <c r="D73" t="str">
        <f>"ГОК5.1.1.1 Курск, Гагарина, 26 а п. 1"</f>
        <v>ГОК5.1.1.1 Курск, Гагарина, 26 а п. 1</v>
      </c>
      <c r="E73" t="str">
        <f t="shared" si="19"/>
        <v>КРС-8/16-SC</v>
      </c>
      <c r="F73" t="str">
        <f t="shared" si="20"/>
        <v>29.01.2013</v>
      </c>
      <c r="G73" t="str">
        <f>""</f>
        <v/>
      </c>
      <c r="H73" t="str">
        <f>"ГОК5.1.1.1"</f>
        <v>ГОК5.1.1.1</v>
      </c>
      <c r="I73" t="str">
        <f>"ДШ (под. 1, ОУ№ 1)"</f>
        <v>ДШ (под. 1, ОУ№ 1)</v>
      </c>
      <c r="J73" t="str">
        <f>"Курск, Гагарина, 26 а"</f>
        <v>Курск, Гагарина, 26 а</v>
      </c>
      <c r="K73" t="str">
        <f>"Серверная"</f>
        <v>Серверная</v>
      </c>
      <c r="L73" t="str">
        <f>"05-MAY-12"</f>
        <v>05-MAY-12</v>
      </c>
      <c r="M73">
        <v>0</v>
      </c>
      <c r="N73" t="str">
        <f>""</f>
        <v/>
      </c>
      <c r="O73" t="str">
        <f>"EmptySerial&lt;35421&gt;"</f>
        <v>EmptySerial&lt;35421&gt;</v>
      </c>
      <c r="P73" t="str">
        <f t="shared" si="22"/>
        <v>Нет</v>
      </c>
      <c r="Q73" t="str">
        <f>"КСК00000000000000219"</f>
        <v>КСК00000000000000219</v>
      </c>
      <c r="R73" t="str">
        <f>"ГОК5.1.1 МС5.1"</f>
        <v>ГОК5.1.1 МС5.1</v>
      </c>
      <c r="S73" t="str">
        <f t="shared" si="23"/>
        <v>Основной</v>
      </c>
      <c r="T73" t="str">
        <f t="shared" si="24"/>
        <v>ГУТС</v>
      </c>
      <c r="U73" t="str">
        <f>""</f>
        <v/>
      </c>
      <c r="V73" t="str">
        <f t="shared" si="25"/>
        <v>Нет</v>
      </c>
      <c r="W73">
        <v>51.669451165662998</v>
      </c>
      <c r="X73">
        <v>36.132289767265299</v>
      </c>
      <c r="Y73" t="str">
        <f>"20000004553891"</f>
        <v>20000004553891</v>
      </c>
    </row>
    <row r="74" spans="1:25" x14ac:dyDescent="0.25">
      <c r="A74">
        <v>907</v>
      </c>
      <c r="B74" t="str">
        <f t="shared" si="21"/>
        <v>Курск</v>
      </c>
      <c r="C74">
        <v>373841</v>
      </c>
      <c r="D74" t="str">
        <f>"OK5.1 ППК 5.3.4 Курск, Народная, 7  п. 2"</f>
        <v>OK5.1 ППК 5.3.4 Курск, Народная, 7  п. 2</v>
      </c>
      <c r="E74" t="str">
        <f t="shared" si="19"/>
        <v>КРС-8/16-SC</v>
      </c>
      <c r="F74" t="str">
        <f>"26.06.2012"</f>
        <v>26.06.2012</v>
      </c>
      <c r="G74" t="str">
        <f>""</f>
        <v/>
      </c>
      <c r="H74" t="str">
        <f>"OK5.1 ППК 5.3.4"</f>
        <v>OK5.1 ППК 5.3.4</v>
      </c>
      <c r="I74" t="str">
        <f>"ДШ (под. 2, ОУ№ 5)"</f>
        <v>ДШ (под. 2, ОУ№ 5)</v>
      </c>
      <c r="J74" t="str">
        <f>"Курск, Народная, 7"</f>
        <v>Курск, Народная, 7</v>
      </c>
      <c r="K74" t="str">
        <f>""</f>
        <v/>
      </c>
      <c r="L74" t="str">
        <f>""</f>
        <v/>
      </c>
      <c r="M74">
        <v>142877</v>
      </c>
      <c r="N74" t="str">
        <f>""</f>
        <v/>
      </c>
      <c r="O74" t="str">
        <f>"HSH-142877"</f>
        <v>HSH-142877</v>
      </c>
      <c r="P74" t="str">
        <f t="shared" si="22"/>
        <v>Нет</v>
      </c>
      <c r="Q74" t="str">
        <f>"КСК00000000000000253"</f>
        <v>КСК00000000000000253</v>
      </c>
      <c r="R74" t="str">
        <f>""</f>
        <v/>
      </c>
      <c r="S74" t="str">
        <f t="shared" si="23"/>
        <v>Основной</v>
      </c>
      <c r="T74" t="str">
        <f t="shared" si="24"/>
        <v>ГУТС</v>
      </c>
      <c r="U74" t="str">
        <f>""</f>
        <v/>
      </c>
      <c r="V74" t="str">
        <f t="shared" si="25"/>
        <v>Нет</v>
      </c>
      <c r="W74">
        <v>51.664859873302902</v>
      </c>
      <c r="X74">
        <v>36.149123008064301</v>
      </c>
      <c r="Y74" t="str">
        <f>"20000004553960"</f>
        <v>20000004553960</v>
      </c>
    </row>
    <row r="75" spans="1:25" x14ac:dyDescent="0.25">
      <c r="A75">
        <v>907</v>
      </c>
      <c r="B75" t="str">
        <f t="shared" si="21"/>
        <v>Курск</v>
      </c>
      <c r="C75">
        <v>379233</v>
      </c>
      <c r="D75" t="str">
        <f>"МОК1.1.2 Курск, Добролюбова, 22 а п. 1"</f>
        <v>МОК1.1.2 Курск, Добролюбова, 22 а п. 1</v>
      </c>
      <c r="E75" t="str">
        <f>"КРС-128-SC"</f>
        <v>КРС-128-SC</v>
      </c>
      <c r="F75" t="str">
        <f>"21.10.2013"</f>
        <v>21.10.2013</v>
      </c>
      <c r="G75" t="str">
        <f>""</f>
        <v/>
      </c>
      <c r="H75" t="str">
        <f>"МОК1.1.2"</f>
        <v>МОК1.1.2</v>
      </c>
      <c r="I75" t="str">
        <f>"Стойка 07 спереди"</f>
        <v>Стойка 07 спереди</v>
      </c>
      <c r="J75" t="str">
        <f>"Курск, Добролюбова, 22 а"</f>
        <v>Курск, Добролюбова, 22 а</v>
      </c>
      <c r="K75" t="str">
        <f t="shared" ref="K75:K81" si="26">"Подъезд"</f>
        <v>Подъезд</v>
      </c>
      <c r="L75" t="str">
        <f>"23-DEC-11"</f>
        <v>23-DEC-11</v>
      </c>
      <c r="M75">
        <v>0</v>
      </c>
      <c r="N75" t="str">
        <f>""</f>
        <v/>
      </c>
      <c r="O75" t="str">
        <f>"EmptySerial&lt;53687&gt;"</f>
        <v>EmptySerial&lt;53687&gt;</v>
      </c>
      <c r="P75" t="str">
        <f t="shared" si="22"/>
        <v>Нет</v>
      </c>
      <c r="Q75" t="str">
        <f>"КСК00000000000000214"</f>
        <v>КСК00000000000000214</v>
      </c>
      <c r="R75" t="str">
        <f>"МОК1.1.2 МС1.1"</f>
        <v>МОК1.1.2 МС1.1</v>
      </c>
      <c r="S75" t="str">
        <f t="shared" si="23"/>
        <v>Основной</v>
      </c>
      <c r="T75" t="str">
        <f t="shared" si="24"/>
        <v>ГУТС</v>
      </c>
      <c r="U75" t="str">
        <f>""</f>
        <v/>
      </c>
      <c r="V75" t="str">
        <f t="shared" si="25"/>
        <v>Нет</v>
      </c>
      <c r="W75">
        <v>51.723414499999997</v>
      </c>
      <c r="X75">
        <v>36.18813772</v>
      </c>
      <c r="Y75" t="str">
        <f>"20000004566543"</f>
        <v>20000004566543</v>
      </c>
    </row>
    <row r="76" spans="1:25" x14ac:dyDescent="0.25">
      <c r="A76">
        <v>907</v>
      </c>
      <c r="B76" t="str">
        <f t="shared" si="21"/>
        <v>Курск</v>
      </c>
      <c r="C76">
        <v>382633</v>
      </c>
      <c r="D76" t="str">
        <f>"ГОК5.2.5.1 Курск, Серегина, 47 а п. 3"</f>
        <v>ГОК5.2.5.1 Курск, Серегина, 47 а п. 3</v>
      </c>
      <c r="E76" t="str">
        <f t="shared" ref="E76:E87" si="27">"КРС-8/16-SC"</f>
        <v>КРС-8/16-SC</v>
      </c>
      <c r="F76" t="str">
        <f t="shared" ref="F76:F87" si="28">"29.01.2013"</f>
        <v>29.01.2013</v>
      </c>
      <c r="G76" t="str">
        <f>""</f>
        <v/>
      </c>
      <c r="H76" t="str">
        <f>"ГОК5.2.5.1"</f>
        <v>ГОК5.2.5.1</v>
      </c>
      <c r="I76" t="str">
        <f>"ДШ (под. 3, ОУ№ 1)"</f>
        <v>ДШ (под. 3, ОУ№ 1)</v>
      </c>
      <c r="J76" t="str">
        <f>"Курск, Серегина, 47 а"</f>
        <v>Курск, Серегина, 47 а</v>
      </c>
      <c r="K76" t="str">
        <f t="shared" si="26"/>
        <v>Подъезд</v>
      </c>
      <c r="L76" t="str">
        <f>"24-MAY-12"</f>
        <v>24-MAY-12</v>
      </c>
      <c r="M76">
        <v>0</v>
      </c>
      <c r="N76" t="str">
        <f>""</f>
        <v/>
      </c>
      <c r="O76" t="str">
        <f>"EmptySerial&lt;37501&gt;"</f>
        <v>EmptySerial&lt;37501&gt;</v>
      </c>
      <c r="P76" t="str">
        <f t="shared" si="22"/>
        <v>Нет</v>
      </c>
      <c r="Q76" t="str">
        <f>"КСК00000000000000228"</f>
        <v>КСК00000000000000228</v>
      </c>
      <c r="R76" t="str">
        <f>"ГОК5.2.5 МС5.2"</f>
        <v>ГОК5.2.5 МС5.2</v>
      </c>
      <c r="S76" t="str">
        <f t="shared" si="23"/>
        <v>Основной</v>
      </c>
      <c r="T76" t="str">
        <f t="shared" si="24"/>
        <v>ГУТС</v>
      </c>
      <c r="U76" t="str">
        <f>""</f>
        <v/>
      </c>
      <c r="V76" t="str">
        <f t="shared" si="25"/>
        <v>Нет</v>
      </c>
      <c r="W76">
        <v>51.677448562665099</v>
      </c>
      <c r="X76">
        <v>36.143587231635998</v>
      </c>
      <c r="Y76" t="str">
        <f>"20000004555541"</f>
        <v>20000004555541</v>
      </c>
    </row>
    <row r="77" spans="1:25" x14ac:dyDescent="0.25">
      <c r="A77">
        <v>907</v>
      </c>
      <c r="B77" t="str">
        <f t="shared" si="21"/>
        <v>Курск</v>
      </c>
      <c r="C77">
        <v>382646</v>
      </c>
      <c r="D77" t="str">
        <f>"OK6.2 ППК 5.2.1 Курск, Обоянская, 13 а п. 2"</f>
        <v>OK6.2 ППК 5.2.1 Курск, Обоянская, 13 а п. 2</v>
      </c>
      <c r="E77" t="str">
        <f t="shared" si="27"/>
        <v>КРС-8/16-SC</v>
      </c>
      <c r="F77" t="str">
        <f t="shared" si="28"/>
        <v>29.01.2013</v>
      </c>
      <c r="G77" t="str">
        <f>""</f>
        <v/>
      </c>
      <c r="H77" t="str">
        <f>"OK6.2 ППК 5.2.1"</f>
        <v>OK6.2 ППК 5.2.1</v>
      </c>
      <c r="I77" t="str">
        <f>"ДШ (под. 2, ОУ№ 6)"</f>
        <v>ДШ (под. 2, ОУ№ 6)</v>
      </c>
      <c r="J77" t="str">
        <f>"Курск, Обоянская, 13 а"</f>
        <v>Курск, Обоянская, 13 а</v>
      </c>
      <c r="K77" t="str">
        <f t="shared" si="26"/>
        <v>Подъезд</v>
      </c>
      <c r="L77" t="str">
        <f>"30-MAY-12"</f>
        <v>30-MAY-12</v>
      </c>
      <c r="M77">
        <v>0</v>
      </c>
      <c r="N77" t="str">
        <f>""</f>
        <v/>
      </c>
      <c r="O77" t="str">
        <f>"EmptySerial&lt;37502&gt;"</f>
        <v>EmptySerial&lt;37502&gt;</v>
      </c>
      <c r="P77" t="str">
        <f t="shared" si="22"/>
        <v>Нет</v>
      </c>
      <c r="Q77" t="str">
        <f>"КСК00000000000000226"</f>
        <v>КСК00000000000000226</v>
      </c>
      <c r="R77" t="str">
        <f>"ППК 5.2.1 ОУ6"</f>
        <v>ППК 5.2.1 ОУ6</v>
      </c>
      <c r="S77" t="str">
        <f t="shared" si="23"/>
        <v>Основной</v>
      </c>
      <c r="T77" t="str">
        <f t="shared" si="24"/>
        <v>ГУТС</v>
      </c>
      <c r="U77" t="str">
        <f>""</f>
        <v/>
      </c>
      <c r="V77" t="str">
        <f t="shared" si="25"/>
        <v>Нет</v>
      </c>
      <c r="W77">
        <v>51.671364149089001</v>
      </c>
      <c r="X77">
        <v>36.150936484336903</v>
      </c>
      <c r="Y77" t="str">
        <f>"20000004555542"</f>
        <v>20000004555542</v>
      </c>
    </row>
    <row r="78" spans="1:25" x14ac:dyDescent="0.25">
      <c r="A78">
        <v>907</v>
      </c>
      <c r="B78" t="str">
        <f t="shared" si="21"/>
        <v>Курск</v>
      </c>
      <c r="C78">
        <v>382659</v>
      </c>
      <c r="D78" t="str">
        <f>"ГОК5.2.8.1 Курск, Кулакова Пр-Кт, 5  п. 10"</f>
        <v>ГОК5.2.8.1 Курск, Кулакова Пр-Кт, 5  п. 10</v>
      </c>
      <c r="E78" t="str">
        <f t="shared" si="27"/>
        <v>КРС-8/16-SC</v>
      </c>
      <c r="F78" t="str">
        <f t="shared" si="28"/>
        <v>29.01.2013</v>
      </c>
      <c r="G78" t="str">
        <f>""</f>
        <v/>
      </c>
      <c r="H78" t="str">
        <f>"ГОК5.2.8.1"</f>
        <v>ГОК5.2.8.1</v>
      </c>
      <c r="I78" t="str">
        <f>"ДШ (под. 10, ОУ№ 1)"</f>
        <v>ДШ (под. 10, ОУ№ 1)</v>
      </c>
      <c r="J78" t="str">
        <f>"Курск, Кулакова Пр-Кт, 5"</f>
        <v>Курск, Кулакова Пр-Кт, 5</v>
      </c>
      <c r="K78" t="str">
        <f t="shared" si="26"/>
        <v>Подъезд</v>
      </c>
      <c r="L78" t="str">
        <f>"29-MAY-12"</f>
        <v>29-MAY-12</v>
      </c>
      <c r="M78">
        <v>0</v>
      </c>
      <c r="N78" t="str">
        <f>""</f>
        <v/>
      </c>
      <c r="O78" t="str">
        <f>"EmptySerial&lt;37503&gt;"</f>
        <v>EmptySerial&lt;37503&gt;</v>
      </c>
      <c r="P78" t="str">
        <f t="shared" si="22"/>
        <v>Нет</v>
      </c>
      <c r="Q78" t="str">
        <f>"КСК00000000000000230"</f>
        <v>КСК00000000000000230</v>
      </c>
      <c r="R78" t="str">
        <f>"ППК 5.2.8 ОУ3"</f>
        <v>ППК 5.2.8 ОУ3</v>
      </c>
      <c r="S78" t="str">
        <f t="shared" si="23"/>
        <v>Основной</v>
      </c>
      <c r="T78" t="str">
        <f t="shared" si="24"/>
        <v>ГУТС</v>
      </c>
      <c r="U78" t="str">
        <f>""</f>
        <v/>
      </c>
      <c r="V78" t="str">
        <f t="shared" si="25"/>
        <v>Нет</v>
      </c>
      <c r="W78">
        <v>51.674863867914098</v>
      </c>
      <c r="X78">
        <v>36.144086122512803</v>
      </c>
      <c r="Y78" t="str">
        <f>"20000004555543"</f>
        <v>20000004555543</v>
      </c>
    </row>
    <row r="79" spans="1:25" x14ac:dyDescent="0.25">
      <c r="A79">
        <v>907</v>
      </c>
      <c r="B79" t="str">
        <f t="shared" si="21"/>
        <v>Курск</v>
      </c>
      <c r="C79">
        <v>382672</v>
      </c>
      <c r="D79" t="str">
        <f>"ОК3.2 ППК5.2.8 Курск, Кулакова Пр-Кт, 5  п. 2"</f>
        <v>ОК3.2 ППК5.2.8 Курск, Кулакова Пр-Кт, 5  п. 2</v>
      </c>
      <c r="E79" t="str">
        <f t="shared" si="27"/>
        <v>КРС-8/16-SC</v>
      </c>
      <c r="F79" t="str">
        <f t="shared" si="28"/>
        <v>29.01.2013</v>
      </c>
      <c r="G79" t="str">
        <f>""</f>
        <v/>
      </c>
      <c r="H79" t="str">
        <f>"ОК3.2 ППК5.2.8"</f>
        <v>ОК3.2 ППК5.2.8</v>
      </c>
      <c r="I79" t="str">
        <f>"ДШ (под. 2, ОУ№ 3)"</f>
        <v>ДШ (под. 2, ОУ№ 3)</v>
      </c>
      <c r="J79" t="str">
        <f>"Курск, Кулакова Пр-Кт, 5"</f>
        <v>Курск, Кулакова Пр-Кт, 5</v>
      </c>
      <c r="K79" t="str">
        <f t="shared" si="26"/>
        <v>Подъезд</v>
      </c>
      <c r="L79" t="str">
        <f>"26-MAY-12"</f>
        <v>26-MAY-12</v>
      </c>
      <c r="M79">
        <v>0</v>
      </c>
      <c r="N79" t="str">
        <f>""</f>
        <v/>
      </c>
      <c r="O79" t="str">
        <f>"EmptySerial&lt;37504&gt;"</f>
        <v>EmptySerial&lt;37504&gt;</v>
      </c>
      <c r="P79" t="str">
        <f t="shared" si="22"/>
        <v>Нет</v>
      </c>
      <c r="Q79" t="str">
        <f>"КСК00000000000000230"</f>
        <v>КСК00000000000000230</v>
      </c>
      <c r="R79" t="str">
        <f>"ГОК5.2.8 МС5.2"</f>
        <v>ГОК5.2.8 МС5.2</v>
      </c>
      <c r="S79" t="str">
        <f t="shared" si="23"/>
        <v>Основной</v>
      </c>
      <c r="T79" t="str">
        <f t="shared" si="24"/>
        <v>ГУТС</v>
      </c>
      <c r="U79" t="str">
        <f>""</f>
        <v/>
      </c>
      <c r="V79" t="str">
        <f t="shared" si="25"/>
        <v>Нет</v>
      </c>
      <c r="W79">
        <v>51.673223824224998</v>
      </c>
      <c r="X79">
        <v>36.143082976341198</v>
      </c>
      <c r="Y79" t="str">
        <f>"20000004555544"</f>
        <v>20000004555544</v>
      </c>
    </row>
    <row r="80" spans="1:25" x14ac:dyDescent="0.25">
      <c r="A80">
        <v>907</v>
      </c>
      <c r="B80" t="str">
        <f t="shared" si="21"/>
        <v>Курск</v>
      </c>
      <c r="C80">
        <v>382685</v>
      </c>
      <c r="D80" t="str">
        <f>"ГОК5.2.9.1 Курск, Ламоновская 1-Я, 2  п. 2"</f>
        <v>ГОК5.2.9.1 Курск, Ламоновская 1-Я, 2  п. 2</v>
      </c>
      <c r="E80" t="str">
        <f t="shared" si="27"/>
        <v>КРС-8/16-SC</v>
      </c>
      <c r="F80" t="str">
        <f t="shared" si="28"/>
        <v>29.01.2013</v>
      </c>
      <c r="G80" t="str">
        <f>""</f>
        <v/>
      </c>
      <c r="H80" t="str">
        <f>"ГОК5.2.9.1"</f>
        <v>ГОК5.2.9.1</v>
      </c>
      <c r="I80" t="str">
        <f>"ДШ (под. 2, ОУ№ 1)"</f>
        <v>ДШ (под. 2, ОУ№ 1)</v>
      </c>
      <c r="J80" t="str">
        <f>"Курск, Ламоновская 1-Я, 2"</f>
        <v>Курск, Ламоновская 1-Я, 2</v>
      </c>
      <c r="K80" t="str">
        <f t="shared" si="26"/>
        <v>Подъезд</v>
      </c>
      <c r="L80" t="str">
        <f>"24-MAY-12"</f>
        <v>24-MAY-12</v>
      </c>
      <c r="M80">
        <v>0</v>
      </c>
      <c r="N80" t="str">
        <f>""</f>
        <v/>
      </c>
      <c r="O80" t="str">
        <f>"EmptySerial&lt;37505&gt;"</f>
        <v>EmptySerial&lt;37505&gt;</v>
      </c>
      <c r="P80" t="str">
        <f t="shared" si="22"/>
        <v>Нет</v>
      </c>
      <c r="Q80" t="str">
        <f>"КСК00000000000000298"</f>
        <v>КСК00000000000000298</v>
      </c>
      <c r="R80" t="str">
        <f>"ГОК5.2.9 МС5.2"</f>
        <v>ГОК5.2.9 МС5.2</v>
      </c>
      <c r="S80" t="str">
        <f t="shared" si="23"/>
        <v>Основной</v>
      </c>
      <c r="T80" t="str">
        <f t="shared" si="24"/>
        <v>ГУТС</v>
      </c>
      <c r="U80" t="str">
        <f>""</f>
        <v/>
      </c>
      <c r="V80" t="str">
        <f t="shared" si="25"/>
        <v>Нет</v>
      </c>
      <c r="W80">
        <v>51.673356892863801</v>
      </c>
      <c r="X80">
        <v>36.135127544403097</v>
      </c>
      <c r="Y80" t="str">
        <f>"20000004555545"</f>
        <v>20000004555545</v>
      </c>
    </row>
    <row r="81" spans="1:25" x14ac:dyDescent="0.25">
      <c r="A81">
        <v>907</v>
      </c>
      <c r="B81" t="str">
        <f t="shared" si="21"/>
        <v>Курск</v>
      </c>
      <c r="C81">
        <v>382698</v>
      </c>
      <c r="D81" t="str">
        <f>"ГОК5.2.7.1 Курск, Серегина, 31  п. 3"</f>
        <v>ГОК5.2.7.1 Курск, Серегина, 31  п. 3</v>
      </c>
      <c r="E81" t="str">
        <f t="shared" si="27"/>
        <v>КРС-8/16-SC</v>
      </c>
      <c r="F81" t="str">
        <f t="shared" si="28"/>
        <v>29.01.2013</v>
      </c>
      <c r="G81" t="str">
        <f>""</f>
        <v/>
      </c>
      <c r="H81" t="str">
        <f>"ГОК5.2.7.1"</f>
        <v>ГОК5.2.7.1</v>
      </c>
      <c r="I81" t="str">
        <f>"ДШ (под. 3, ОУ№ 1)"</f>
        <v>ДШ (под. 3, ОУ№ 1)</v>
      </c>
      <c r="J81" t="str">
        <f>"Курск, Серегина, 31"</f>
        <v>Курск, Серегина, 31</v>
      </c>
      <c r="K81" t="str">
        <f t="shared" si="26"/>
        <v>Подъезд</v>
      </c>
      <c r="L81" t="str">
        <f>"24-MAY-12"</f>
        <v>24-MAY-12</v>
      </c>
      <c r="M81">
        <v>0</v>
      </c>
      <c r="N81" t="str">
        <f>""</f>
        <v/>
      </c>
      <c r="O81" t="str">
        <f>"EmptySerial&lt;37506&gt;"</f>
        <v>EmptySerial&lt;37506&gt;</v>
      </c>
      <c r="P81" t="str">
        <f t="shared" si="22"/>
        <v>Нет</v>
      </c>
      <c r="Q81" t="str">
        <f>"КСК00000000000000229"</f>
        <v>КСК00000000000000229</v>
      </c>
      <c r="R81" t="str">
        <f>"ГОК5.2.7 МС5.2"</f>
        <v>ГОК5.2.7 МС5.2</v>
      </c>
      <c r="S81" t="str">
        <f t="shared" si="23"/>
        <v>Основной</v>
      </c>
      <c r="T81" t="str">
        <f t="shared" si="24"/>
        <v>ГУТС</v>
      </c>
      <c r="U81" t="str">
        <f>""</f>
        <v/>
      </c>
      <c r="V81" t="str">
        <f t="shared" si="25"/>
        <v>Нет</v>
      </c>
      <c r="W81">
        <v>51.674411448000498</v>
      </c>
      <c r="X81">
        <v>36.140035986900301</v>
      </c>
      <c r="Y81" t="str">
        <f>"20000004555546"</f>
        <v>20000004555546</v>
      </c>
    </row>
    <row r="82" spans="1:25" x14ac:dyDescent="0.25">
      <c r="A82">
        <v>907</v>
      </c>
      <c r="B82" t="str">
        <f t="shared" si="21"/>
        <v>Курск</v>
      </c>
      <c r="C82">
        <v>382711</v>
      </c>
      <c r="D82" t="str">
        <f>"ГОК5.2.4.1 Курск, Кулакова Пр-Кт, 3  п. 10"</f>
        <v>ГОК5.2.4.1 Курск, Кулакова Пр-Кт, 3  п. 10</v>
      </c>
      <c r="E82" t="str">
        <f t="shared" si="27"/>
        <v>КРС-8/16-SC</v>
      </c>
      <c r="F82" t="str">
        <f t="shared" si="28"/>
        <v>29.01.2013</v>
      </c>
      <c r="G82" t="str">
        <f>""</f>
        <v/>
      </c>
      <c r="H82" t="str">
        <f>"ГОК5.2.4.1"</f>
        <v>ГОК5.2.4.1</v>
      </c>
      <c r="I82" t="str">
        <f>"ДШ (под. 10, ОУ№ 1)"</f>
        <v>ДШ (под. 10, ОУ№ 1)</v>
      </c>
      <c r="J82" t="str">
        <f>"Курск, Кулакова Пр-Кт, 3"</f>
        <v>Курск, Кулакова Пр-Кт, 3</v>
      </c>
      <c r="K82" t="str">
        <f>"ДШ-2"</f>
        <v>ДШ-2</v>
      </c>
      <c r="L82" t="str">
        <f>"23-MAY-12"</f>
        <v>23-MAY-12</v>
      </c>
      <c r="M82">
        <v>0</v>
      </c>
      <c r="N82" t="str">
        <f>""</f>
        <v/>
      </c>
      <c r="O82" t="str">
        <f>"EmptySerial&lt;37507&gt;"</f>
        <v>EmptySerial&lt;37507&gt;</v>
      </c>
      <c r="P82" t="str">
        <f t="shared" si="22"/>
        <v>Нет</v>
      </c>
      <c r="Q82" t="str">
        <f>"КСК00000000000000305"</f>
        <v>КСК00000000000000305</v>
      </c>
      <c r="R82" t="str">
        <f>"ГОК5.2.4 МС5.2"</f>
        <v>ГОК5.2.4 МС5.2</v>
      </c>
      <c r="S82" t="str">
        <f t="shared" si="23"/>
        <v>Основной</v>
      </c>
      <c r="T82" t="str">
        <f t="shared" si="24"/>
        <v>ГУТС</v>
      </c>
      <c r="U82" t="str">
        <f>""</f>
        <v/>
      </c>
      <c r="V82" t="str">
        <f t="shared" si="25"/>
        <v>Нет</v>
      </c>
      <c r="W82">
        <v>51.6764240166276</v>
      </c>
      <c r="X82">
        <v>36.145089268684401</v>
      </c>
      <c r="Y82" t="str">
        <f>"20000004555547"</f>
        <v>20000004555547</v>
      </c>
    </row>
    <row r="83" spans="1:25" x14ac:dyDescent="0.25">
      <c r="A83">
        <v>907</v>
      </c>
      <c r="B83" t="str">
        <f t="shared" si="21"/>
        <v>Курск</v>
      </c>
      <c r="C83">
        <v>382724</v>
      </c>
      <c r="D83" t="str">
        <f>"ОК6.3 ППК 5.2.3 Курск, Элеваторный Проезд, 5  п. 6"</f>
        <v>ОК6.3 ППК 5.2.3 Курск, Элеваторный Проезд, 5  п. 6</v>
      </c>
      <c r="E83" t="str">
        <f t="shared" si="27"/>
        <v>КРС-8/16-SC</v>
      </c>
      <c r="F83" t="str">
        <f t="shared" si="28"/>
        <v>29.01.2013</v>
      </c>
      <c r="G83" t="str">
        <f>""</f>
        <v/>
      </c>
      <c r="H83" t="str">
        <f>"ОК6.3 ППК 5.2.3"</f>
        <v>ОК6.3 ППК 5.2.3</v>
      </c>
      <c r="I83" t="str">
        <f>"ДШ (под. 6, ОУ№ 6)"</f>
        <v>ДШ (под. 6, ОУ№ 6)</v>
      </c>
      <c r="J83" t="str">
        <f>"Курск, Элеваторный Проезд, 5"</f>
        <v>Курск, Элеваторный Проезд, 5</v>
      </c>
      <c r="K83" t="str">
        <f>"Подъезд"</f>
        <v>Подъезд</v>
      </c>
      <c r="L83" t="str">
        <f>"25-MAY-12"</f>
        <v>25-MAY-12</v>
      </c>
      <c r="M83">
        <v>0</v>
      </c>
      <c r="N83" t="str">
        <f>""</f>
        <v/>
      </c>
      <c r="O83" t="str">
        <f>"EmptySerial&lt;37508&gt;"</f>
        <v>EmptySerial&lt;37508&gt;</v>
      </c>
      <c r="P83" t="str">
        <f t="shared" si="22"/>
        <v>Нет</v>
      </c>
      <c r="Q83" t="str">
        <f>"КСК00000000000000227"</f>
        <v>КСК00000000000000227</v>
      </c>
      <c r="R83" t="str">
        <f>"ППК 5.2.3 ОУ6"</f>
        <v>ППК 5.2.3 ОУ6</v>
      </c>
      <c r="S83" t="str">
        <f t="shared" si="23"/>
        <v>Основной</v>
      </c>
      <c r="T83" t="str">
        <f t="shared" si="24"/>
        <v>ГУТС</v>
      </c>
      <c r="U83" t="str">
        <f>""</f>
        <v/>
      </c>
      <c r="V83" t="str">
        <f t="shared" si="25"/>
        <v>Нет</v>
      </c>
      <c r="W83">
        <v>51.677062697397901</v>
      </c>
      <c r="X83">
        <v>36.149112582206698</v>
      </c>
      <c r="Y83" t="str">
        <f>"20000004555548"</f>
        <v>20000004555548</v>
      </c>
    </row>
    <row r="84" spans="1:25" x14ac:dyDescent="0.25">
      <c r="A84">
        <v>907</v>
      </c>
      <c r="B84" t="str">
        <f t="shared" si="21"/>
        <v>Курск</v>
      </c>
      <c r="C84">
        <v>382737</v>
      </c>
      <c r="D84" t="str">
        <f>"OK2.2 ППК 5.2.2 Курск, Краснополянская, 3 а п. 1"</f>
        <v>OK2.2 ППК 5.2.2 Курск, Краснополянская, 3 а п. 1</v>
      </c>
      <c r="E84" t="str">
        <f t="shared" si="27"/>
        <v>КРС-8/16-SC</v>
      </c>
      <c r="F84" t="str">
        <f t="shared" si="28"/>
        <v>29.01.2013</v>
      </c>
      <c r="G84" t="str">
        <f>""</f>
        <v/>
      </c>
      <c r="H84" t="str">
        <f>"OK2.2 ППК 5.2.2"</f>
        <v>OK2.2 ППК 5.2.2</v>
      </c>
      <c r="I84" t="str">
        <f>"ДШ (под. 1, ОУ№ 2)"</f>
        <v>ДШ (под. 1, ОУ№ 2)</v>
      </c>
      <c r="J84" t="str">
        <f>"Курск, Краснополянская, 3 а"</f>
        <v>Курск, Краснополянская, 3 а</v>
      </c>
      <c r="K84" t="str">
        <f>"Подъезд"</f>
        <v>Подъезд</v>
      </c>
      <c r="L84" t="str">
        <f>"27-MAY-12"</f>
        <v>27-MAY-12</v>
      </c>
      <c r="M84">
        <v>0</v>
      </c>
      <c r="N84" t="str">
        <f>""</f>
        <v/>
      </c>
      <c r="O84" t="str">
        <f>"EmptySerial&lt;37509&gt;"</f>
        <v>EmptySerial&lt;37509&gt;</v>
      </c>
      <c r="P84" t="str">
        <f t="shared" si="22"/>
        <v>Нет</v>
      </c>
      <c r="Q84" t="str">
        <f>"КСК00000000000000251"</f>
        <v>КСК00000000000000251</v>
      </c>
      <c r="R84" t="str">
        <f>"ППК 5.2.2 ОУ2"</f>
        <v>ППК 5.2.2 ОУ2</v>
      </c>
      <c r="S84" t="str">
        <f t="shared" si="23"/>
        <v>Основной</v>
      </c>
      <c r="T84" t="str">
        <f t="shared" si="24"/>
        <v>ГУТС</v>
      </c>
      <c r="U84" t="str">
        <f>""</f>
        <v/>
      </c>
      <c r="V84" t="str">
        <f t="shared" si="25"/>
        <v>Нет</v>
      </c>
      <c r="W84">
        <v>51.67418524</v>
      </c>
      <c r="X84">
        <v>36.1543268</v>
      </c>
      <c r="Y84" t="str">
        <f>"20000004555549"</f>
        <v>20000004555549</v>
      </c>
    </row>
    <row r="85" spans="1:25" x14ac:dyDescent="0.25">
      <c r="A85">
        <v>907</v>
      </c>
      <c r="B85" t="str">
        <f t="shared" si="21"/>
        <v>Курск</v>
      </c>
      <c r="C85">
        <v>382750</v>
      </c>
      <c r="D85" t="str">
        <f>"ГОК5.2.3.1 Курск, Черняховского, 4 а п. 2"</f>
        <v>ГОК5.2.3.1 Курск, Черняховского, 4 а п. 2</v>
      </c>
      <c r="E85" t="str">
        <f t="shared" si="27"/>
        <v>КРС-8/16-SC</v>
      </c>
      <c r="F85" t="str">
        <f t="shared" si="28"/>
        <v>29.01.2013</v>
      </c>
      <c r="G85" t="str">
        <f>""</f>
        <v/>
      </c>
      <c r="H85" t="str">
        <f>"ГОК5.2.3.1"</f>
        <v>ГОК5.2.3.1</v>
      </c>
      <c r="I85" t="str">
        <f>"ДШ (под. 2, ОУ№ 1)"</f>
        <v>ДШ (под. 2, ОУ№ 1)</v>
      </c>
      <c r="J85" t="str">
        <f>"Курск, Черняховского, 4 а"</f>
        <v>Курск, Черняховского, 4 а</v>
      </c>
      <c r="K85" t="str">
        <f>"ДШ-2"</f>
        <v>ДШ-2</v>
      </c>
      <c r="L85" t="str">
        <f>"26-MAY-12"</f>
        <v>26-MAY-12</v>
      </c>
      <c r="M85">
        <v>0</v>
      </c>
      <c r="N85" t="str">
        <f>""</f>
        <v/>
      </c>
      <c r="O85" t="str">
        <f>"EmptySerial&lt;37510&gt;"</f>
        <v>EmptySerial&lt;37510&gt;</v>
      </c>
      <c r="P85" t="str">
        <f t="shared" si="22"/>
        <v>Нет</v>
      </c>
      <c r="Q85" t="str">
        <f>"КСК00000000000000227"</f>
        <v>КСК00000000000000227</v>
      </c>
      <c r="R85" t="str">
        <f>"ГОК5.2.3 МС5.2"</f>
        <v>ГОК5.2.3 МС5.2</v>
      </c>
      <c r="S85" t="str">
        <f t="shared" si="23"/>
        <v>Основной</v>
      </c>
      <c r="T85" t="str">
        <f t="shared" si="24"/>
        <v>ГУТС</v>
      </c>
      <c r="U85" t="str">
        <f>""</f>
        <v/>
      </c>
      <c r="V85" t="str">
        <f t="shared" si="25"/>
        <v>Нет</v>
      </c>
      <c r="W85">
        <v>51.675422733332702</v>
      </c>
      <c r="X85">
        <v>36.150560975074796</v>
      </c>
      <c r="Y85" t="str">
        <f>"20000004555550"</f>
        <v>20000004555550</v>
      </c>
    </row>
    <row r="86" spans="1:25" x14ac:dyDescent="0.25">
      <c r="A86">
        <v>907</v>
      </c>
      <c r="B86" t="str">
        <f t="shared" si="21"/>
        <v>Курск</v>
      </c>
      <c r="C86">
        <v>382763</v>
      </c>
      <c r="D86" t="str">
        <f>"ГОК5.2.2.1 Курск, Черняховского, 27  п. 1"</f>
        <v>ГОК5.2.2.1 Курск, Черняховского, 27  п. 1</v>
      </c>
      <c r="E86" t="str">
        <f t="shared" si="27"/>
        <v>КРС-8/16-SC</v>
      </c>
      <c r="F86" t="str">
        <f t="shared" si="28"/>
        <v>29.01.2013</v>
      </c>
      <c r="G86" t="str">
        <f>""</f>
        <v/>
      </c>
      <c r="H86" t="str">
        <f>"ГОК5.2.2.1"</f>
        <v>ГОК5.2.2.1</v>
      </c>
      <c r="I86" t="str">
        <f>"ДШ (под. 1, ОУ№ 1)"</f>
        <v>ДШ (под. 1, ОУ№ 1)</v>
      </c>
      <c r="J86" t="str">
        <f>"Курск, Черняховского, 27"</f>
        <v>Курск, Черняховского, 27</v>
      </c>
      <c r="K86" t="str">
        <f>"Подъезд"</f>
        <v>Подъезд</v>
      </c>
      <c r="L86" t="str">
        <f>"25-MAY-12"</f>
        <v>25-MAY-12</v>
      </c>
      <c r="M86">
        <v>0</v>
      </c>
      <c r="N86" t="str">
        <f>""</f>
        <v/>
      </c>
      <c r="O86" t="str">
        <f>"EmptySerial&lt;37511&gt;"</f>
        <v>EmptySerial&lt;37511&gt;</v>
      </c>
      <c r="P86" t="str">
        <f t="shared" si="22"/>
        <v>Нет</v>
      </c>
      <c r="Q86" t="str">
        <f>"КСК00000000000000251"</f>
        <v>КСК00000000000000251</v>
      </c>
      <c r="R86" t="str">
        <f>"ГОК5.2.2 МС5.2"</f>
        <v>ГОК5.2.2 МС5.2</v>
      </c>
      <c r="S86" t="str">
        <f t="shared" si="23"/>
        <v>Основной</v>
      </c>
      <c r="T86" t="str">
        <f t="shared" si="24"/>
        <v>ГУТС</v>
      </c>
      <c r="U86" t="str">
        <f>""</f>
        <v/>
      </c>
      <c r="V86" t="str">
        <f t="shared" si="25"/>
        <v>Нет</v>
      </c>
      <c r="W86">
        <v>51.673789363239997</v>
      </c>
      <c r="X86">
        <v>36.154160499572797</v>
      </c>
      <c r="Y86" t="str">
        <f>"20000004555551"</f>
        <v>20000004555551</v>
      </c>
    </row>
    <row r="87" spans="1:25" x14ac:dyDescent="0.25">
      <c r="A87">
        <v>907</v>
      </c>
      <c r="B87" t="str">
        <f t="shared" si="21"/>
        <v>Курск</v>
      </c>
      <c r="C87">
        <v>382776</v>
      </c>
      <c r="D87" t="str">
        <f>"ГОК5.2.1.1 Курск, Парковая, 10  п. 2"</f>
        <v>ГОК5.2.1.1 Курск, Парковая, 10  п. 2</v>
      </c>
      <c r="E87" t="str">
        <f t="shared" si="27"/>
        <v>КРС-8/16-SC</v>
      </c>
      <c r="F87" t="str">
        <f t="shared" si="28"/>
        <v>29.01.2013</v>
      </c>
      <c r="G87" t="str">
        <f>""</f>
        <v/>
      </c>
      <c r="H87" t="str">
        <f>"ГОК5.2.1.1"</f>
        <v>ГОК5.2.1.1</v>
      </c>
      <c r="I87" t="str">
        <f>"ДШ (под. 2, ОУ№ 1)"</f>
        <v>ДШ (под. 2, ОУ№ 1)</v>
      </c>
      <c r="J87" t="str">
        <f>"Курск, Парковая, 10"</f>
        <v>Курск, Парковая, 10</v>
      </c>
      <c r="K87" t="str">
        <f>"Подъезд"</f>
        <v>Подъезд</v>
      </c>
      <c r="L87" t="str">
        <f>"29-MAY-12"</f>
        <v>29-MAY-12</v>
      </c>
      <c r="M87">
        <v>0</v>
      </c>
      <c r="N87" t="str">
        <f>""</f>
        <v/>
      </c>
      <c r="O87" t="str">
        <f>"EmptySerial&lt;37512&gt;"</f>
        <v>EmptySerial&lt;37512&gt;</v>
      </c>
      <c r="P87" t="str">
        <f t="shared" si="22"/>
        <v>Нет</v>
      </c>
      <c r="Q87" t="str">
        <f>"КСК00000000000000226"</f>
        <v>КСК00000000000000226</v>
      </c>
      <c r="R87" t="str">
        <f>"ГОК5.2.1 МС5.2"</f>
        <v>ГОК5.2.1 МС5.2</v>
      </c>
      <c r="S87" t="str">
        <f t="shared" si="23"/>
        <v>Основной</v>
      </c>
      <c r="T87" t="str">
        <f t="shared" si="24"/>
        <v>ГУТС</v>
      </c>
      <c r="U87" t="str">
        <f>""</f>
        <v/>
      </c>
      <c r="V87" t="str">
        <f t="shared" si="25"/>
        <v>Нет</v>
      </c>
      <c r="W87">
        <v>51.670971578209098</v>
      </c>
      <c r="X87">
        <v>36.148275732994101</v>
      </c>
      <c r="Y87" t="str">
        <f>"20000004555552"</f>
        <v>20000004555552</v>
      </c>
    </row>
    <row r="88" spans="1:25" x14ac:dyDescent="0.25">
      <c r="A88">
        <v>907</v>
      </c>
      <c r="B88" t="str">
        <f t="shared" si="21"/>
        <v>Курск</v>
      </c>
      <c r="C88">
        <v>384833</v>
      </c>
      <c r="D88" t="str">
        <f>"МОК5.6.1 Курск, Гагарина, 26 а п. 1"</f>
        <v>МОК5.6.1 Курск, Гагарина, 26 а п. 1</v>
      </c>
      <c r="E88" t="str">
        <f>"КРС-64-SC"</f>
        <v>КРС-64-SC</v>
      </c>
      <c r="F88" t="str">
        <f>"20.08.2013"</f>
        <v>20.08.2013</v>
      </c>
      <c r="G88" t="str">
        <f>""</f>
        <v/>
      </c>
      <c r="H88" t="str">
        <f>"МОК5.6.1"</f>
        <v>МОК5.6.1</v>
      </c>
      <c r="I88" t="str">
        <f>"Стойка 2 спереди"</f>
        <v>Стойка 2 спереди</v>
      </c>
      <c r="J88" t="str">
        <f>"Курск, Гагарина, 26 а"</f>
        <v>Курск, Гагарина, 26 а</v>
      </c>
      <c r="K88" t="str">
        <f>"Серверная"</f>
        <v>Серверная</v>
      </c>
      <c r="L88" t="str">
        <f>"02-AUG-12"</f>
        <v>02-AUG-12</v>
      </c>
      <c r="M88">
        <v>0</v>
      </c>
      <c r="N88" t="str">
        <f>""</f>
        <v/>
      </c>
      <c r="O88" t="str">
        <f>"EmptySerial&lt;52333&gt;"</f>
        <v>EmptySerial&lt;52333&gt;</v>
      </c>
      <c r="P88" t="str">
        <f t="shared" si="22"/>
        <v>Нет</v>
      </c>
      <c r="Q88" t="str">
        <f>"КСК00000000000000366"</f>
        <v>КСК00000000000000366</v>
      </c>
      <c r="R88" t="str">
        <f>"МОК5.6.1 МС5.6"</f>
        <v>МОК5.6.1 МС5.6</v>
      </c>
      <c r="S88" t="str">
        <f t="shared" si="23"/>
        <v>Основной</v>
      </c>
      <c r="T88" t="str">
        <f t="shared" si="24"/>
        <v>ГУТС</v>
      </c>
      <c r="U88" t="str">
        <f>""</f>
        <v/>
      </c>
      <c r="V88" t="str">
        <f t="shared" si="25"/>
        <v>Нет</v>
      </c>
      <c r="W88">
        <v>51.669418093135498</v>
      </c>
      <c r="X88">
        <v>36.132504041007898</v>
      </c>
      <c r="Y88" t="str">
        <f>"20000004565628"</f>
        <v>20000004565628</v>
      </c>
    </row>
    <row r="89" spans="1:25" x14ac:dyDescent="0.25">
      <c r="A89">
        <v>907</v>
      </c>
      <c r="B89" t="str">
        <f t="shared" si="21"/>
        <v>Курск</v>
      </c>
      <c r="C89">
        <v>384902</v>
      </c>
      <c r="D89" t="str">
        <f>"МОК5.3.2 Курск, Гагарина, 26 а п. 1"</f>
        <v>МОК5.3.2 Курск, Гагарина, 26 а п. 1</v>
      </c>
      <c r="E89" t="str">
        <f>"КРС-64-SC"</f>
        <v>КРС-64-SC</v>
      </c>
      <c r="F89" t="str">
        <f>"20.08.2013"</f>
        <v>20.08.2013</v>
      </c>
      <c r="G89" t="str">
        <f>""</f>
        <v/>
      </c>
      <c r="H89" t="str">
        <f>"МОК5.3.2"</f>
        <v>МОК5.3.2</v>
      </c>
      <c r="I89" t="str">
        <f>"Стойка 2 спереди"</f>
        <v>Стойка 2 спереди</v>
      </c>
      <c r="J89" t="str">
        <f>"Курск, Гагарина, 26 а"</f>
        <v>Курск, Гагарина, 26 а</v>
      </c>
      <c r="K89" t="str">
        <f>"Серверная"</f>
        <v>Серверная</v>
      </c>
      <c r="L89" t="str">
        <f>"28-JUL-12"</f>
        <v>28-JUL-12</v>
      </c>
      <c r="M89">
        <v>0</v>
      </c>
      <c r="N89" t="str">
        <f>""</f>
        <v/>
      </c>
      <c r="O89" t="str">
        <f>"EmptySerial&lt;52332&gt;"</f>
        <v>EmptySerial&lt;52332&gt;</v>
      </c>
      <c r="P89" t="str">
        <f t="shared" si="22"/>
        <v>Нет</v>
      </c>
      <c r="Q89" t="str">
        <f>"КСК00000000000000248"</f>
        <v>КСК00000000000000248</v>
      </c>
      <c r="R89" t="str">
        <f>"ГОК5.3.2 МС5.3"</f>
        <v>ГОК5.3.2 МС5.3</v>
      </c>
      <c r="S89" t="str">
        <f t="shared" si="23"/>
        <v>Основной</v>
      </c>
      <c r="T89" t="str">
        <f t="shared" si="24"/>
        <v>ГУТС</v>
      </c>
      <c r="U89" t="str">
        <f>""</f>
        <v/>
      </c>
      <c r="V89" t="str">
        <f t="shared" si="25"/>
        <v>Нет</v>
      </c>
      <c r="W89">
        <v>51.669379832615</v>
      </c>
      <c r="X89">
        <v>36.1326059649505</v>
      </c>
      <c r="Y89" t="str">
        <f>"20000004565627"</f>
        <v>20000004565627</v>
      </c>
    </row>
    <row r="90" spans="1:25" x14ac:dyDescent="0.25">
      <c r="A90">
        <v>907</v>
      </c>
      <c r="B90" t="str">
        <f t="shared" si="21"/>
        <v>Курск</v>
      </c>
      <c r="C90">
        <v>390059</v>
      </c>
      <c r="D90" t="str">
        <f>"ГОК3.2.8.1 Курск, Пушкарная 1-Я, 47  п. 3"</f>
        <v>ГОК3.2.8.1 Курск, Пушкарная 1-Я, 47  п. 3</v>
      </c>
      <c r="E90" t="str">
        <f t="shared" ref="E90:E99" si="29">"КРС-8/16-SC"</f>
        <v>КРС-8/16-SC</v>
      </c>
      <c r="F90" t="str">
        <f>"28.01.2013"</f>
        <v>28.01.2013</v>
      </c>
      <c r="G90" t="str">
        <f>""</f>
        <v/>
      </c>
      <c r="H90" t="str">
        <f>"ГОК3.2.8.1"</f>
        <v>ГОК3.2.8.1</v>
      </c>
      <c r="I90" t="str">
        <f>"ДШ (под. 3, ОУ№ 1)"</f>
        <v>ДШ (под. 3, ОУ№ 1)</v>
      </c>
      <c r="J90" t="str">
        <f>"Курск, Пушкарная 1-Я, 47"</f>
        <v>Курск, Пушкарная 1-Я, 47</v>
      </c>
      <c r="K90" t="str">
        <f t="shared" ref="K90:K102" si="30">"Подъезд"</f>
        <v>Подъезд</v>
      </c>
      <c r="L90" t="str">
        <f>"27-APR-12"</f>
        <v>27-APR-12</v>
      </c>
      <c r="M90">
        <v>0</v>
      </c>
      <c r="N90" t="str">
        <f>""</f>
        <v/>
      </c>
      <c r="O90" t="str">
        <f>"EmptySerial&lt;38134&gt;"</f>
        <v>EmptySerial&lt;38134&gt;</v>
      </c>
      <c r="P90" t="str">
        <f t="shared" si="22"/>
        <v>Нет</v>
      </c>
      <c r="Q90" t="str">
        <f>"КСК00000000000000187"</f>
        <v>КСК00000000000000187</v>
      </c>
      <c r="R90" t="str">
        <f>"ГОК3.2.8 МС3.2"</f>
        <v>ГОК3.2.8 МС3.2</v>
      </c>
      <c r="S90" t="str">
        <f t="shared" si="23"/>
        <v>Основной</v>
      </c>
      <c r="T90" t="str">
        <f t="shared" si="24"/>
        <v>ГУТС</v>
      </c>
      <c r="U90" t="str">
        <f>""</f>
        <v/>
      </c>
      <c r="V90" t="str">
        <f t="shared" si="25"/>
        <v>Нет</v>
      </c>
      <c r="W90">
        <v>51.754954033289799</v>
      </c>
      <c r="X90">
        <v>36.181081831455202</v>
      </c>
      <c r="Y90" t="str">
        <f>"20000004556064"</f>
        <v>20000004556064</v>
      </c>
    </row>
    <row r="91" spans="1:25" x14ac:dyDescent="0.25">
      <c r="A91">
        <v>907</v>
      </c>
      <c r="B91" t="str">
        <f t="shared" si="21"/>
        <v>Курск</v>
      </c>
      <c r="C91">
        <v>390072</v>
      </c>
      <c r="D91" t="str">
        <f>"ГОК3.2.5.1 Курск, Хуторская, 10  п. 3"</f>
        <v>ГОК3.2.5.1 Курск, Хуторская, 10  п. 3</v>
      </c>
      <c r="E91" t="str">
        <f t="shared" si="29"/>
        <v>КРС-8/16-SC</v>
      </c>
      <c r="F91" t="str">
        <f>"28.01.2013"</f>
        <v>28.01.2013</v>
      </c>
      <c r="G91" t="str">
        <f>""</f>
        <v/>
      </c>
      <c r="H91" t="str">
        <f>"ГОК3.2.5.1"</f>
        <v>ГОК3.2.5.1</v>
      </c>
      <c r="I91" t="str">
        <f>"ДШ (под. 3, ОУ№ 1)"</f>
        <v>ДШ (под. 3, ОУ№ 1)</v>
      </c>
      <c r="J91" t="str">
        <f>"Курск, Хуторская, 10"</f>
        <v>Курск, Хуторская, 10</v>
      </c>
      <c r="K91" t="str">
        <f t="shared" si="30"/>
        <v>Подъезд</v>
      </c>
      <c r="L91" t="str">
        <f>"15-APR-12"</f>
        <v>15-APR-12</v>
      </c>
      <c r="M91">
        <v>0</v>
      </c>
      <c r="N91" t="str">
        <f>""</f>
        <v/>
      </c>
      <c r="O91" t="str">
        <f>"EmptySerial&lt;38133&gt;"</f>
        <v>EmptySerial&lt;38133&gt;</v>
      </c>
      <c r="P91" t="str">
        <f t="shared" si="22"/>
        <v>Нет</v>
      </c>
      <c r="Q91" t="str">
        <f>"КСК00000000000000186"</f>
        <v>КСК00000000000000186</v>
      </c>
      <c r="R91" t="str">
        <f>"ГОК3.2.5 МС3.2"</f>
        <v>ГОК3.2.5 МС3.2</v>
      </c>
      <c r="S91" t="str">
        <f t="shared" si="23"/>
        <v>Основной</v>
      </c>
      <c r="T91" t="str">
        <f t="shared" si="24"/>
        <v>ГУТС</v>
      </c>
      <c r="U91" t="str">
        <f>""</f>
        <v/>
      </c>
      <c r="V91" t="str">
        <f t="shared" si="25"/>
        <v>Нет</v>
      </c>
      <c r="W91">
        <v>51.7591479009252</v>
      </c>
      <c r="X91">
        <v>36.193527281284297</v>
      </c>
      <c r="Y91" t="str">
        <f>"20000004556063"</f>
        <v>20000004556063</v>
      </c>
    </row>
    <row r="92" spans="1:25" x14ac:dyDescent="0.25">
      <c r="A92">
        <v>907</v>
      </c>
      <c r="B92" t="str">
        <f t="shared" si="21"/>
        <v>Курск</v>
      </c>
      <c r="C92">
        <v>390085</v>
      </c>
      <c r="D92" t="str">
        <f>"ГОК3.2.4.1 Курск, Хуторская, 12 г п. 2"</f>
        <v>ГОК3.2.4.1 Курск, Хуторская, 12 г п. 2</v>
      </c>
      <c r="E92" t="str">
        <f t="shared" si="29"/>
        <v>КРС-8/16-SC</v>
      </c>
      <c r="F92" t="str">
        <f>"28.01.2013"</f>
        <v>28.01.2013</v>
      </c>
      <c r="G92" t="str">
        <f>""</f>
        <v/>
      </c>
      <c r="H92" t="str">
        <f>"ГОК3.2.4.1"</f>
        <v>ГОК3.2.4.1</v>
      </c>
      <c r="I92" t="str">
        <f>"ДШ (под. 2, ОУ№ 1)"</f>
        <v>ДШ (под. 2, ОУ№ 1)</v>
      </c>
      <c r="J92" t="str">
        <f>"Курск, Хуторская, 12 г"</f>
        <v>Курск, Хуторская, 12 г</v>
      </c>
      <c r="K92" t="str">
        <f t="shared" si="30"/>
        <v>Подъезд</v>
      </c>
      <c r="L92" t="str">
        <f>"13-APR-12"</f>
        <v>13-APR-12</v>
      </c>
      <c r="M92">
        <v>0</v>
      </c>
      <c r="N92" t="str">
        <f>""</f>
        <v/>
      </c>
      <c r="O92" t="str">
        <f>"EmptySerial&lt;38132&gt;"</f>
        <v>EmptySerial&lt;38132&gt;</v>
      </c>
      <c r="P92" t="str">
        <f t="shared" si="22"/>
        <v>Нет</v>
      </c>
      <c r="Q92" t="str">
        <f>"КСК00000000000000185"</f>
        <v>КСК00000000000000185</v>
      </c>
      <c r="R92" t="str">
        <f>"ГОК3.2.4 МС3.2"</f>
        <v>ГОК3.2.4 МС3.2</v>
      </c>
      <c r="S92" t="str">
        <f t="shared" si="23"/>
        <v>Основной</v>
      </c>
      <c r="T92" t="str">
        <f t="shared" si="24"/>
        <v>ГУТС</v>
      </c>
      <c r="U92" t="str">
        <f>""</f>
        <v/>
      </c>
      <c r="V92" t="str">
        <f t="shared" si="25"/>
        <v>Нет</v>
      </c>
      <c r="W92">
        <v>51.760462762590798</v>
      </c>
      <c r="X92">
        <v>36.1925938725471</v>
      </c>
      <c r="Y92" t="str">
        <f>"20000004556062"</f>
        <v>20000004556062</v>
      </c>
    </row>
    <row r="93" spans="1:25" x14ac:dyDescent="0.25">
      <c r="A93">
        <v>907</v>
      </c>
      <c r="B93" t="str">
        <f t="shared" si="21"/>
        <v>Курск</v>
      </c>
      <c r="C93">
        <v>390098</v>
      </c>
      <c r="D93" t="str">
        <f>"ГОК3.2.2.1 Курск, Карла Маркса, 69 а п. 1"</f>
        <v>ГОК3.2.2.1 Курск, Карла Маркса, 69 а п. 1</v>
      </c>
      <c r="E93" t="str">
        <f t="shared" si="29"/>
        <v>КРС-8/16-SC</v>
      </c>
      <c r="F93" t="str">
        <f>"28.01.2013"</f>
        <v>28.01.2013</v>
      </c>
      <c r="G93" t="str">
        <f>""</f>
        <v/>
      </c>
      <c r="H93" t="str">
        <f>"ГОК3.2.2.1"</f>
        <v>ГОК3.2.2.1</v>
      </c>
      <c r="I93" t="str">
        <f>"ДШ (под. 1, ОУ№ 1)"</f>
        <v>ДШ (под. 1, ОУ№ 1)</v>
      </c>
      <c r="J93" t="str">
        <f>"Курск, Карла Маркса, 69 а"</f>
        <v>Курск, Карла Маркса, 69 а</v>
      </c>
      <c r="K93" t="str">
        <f t="shared" si="30"/>
        <v>Подъезд</v>
      </c>
      <c r="L93" t="str">
        <f>"12-APR-12"</f>
        <v>12-APR-12</v>
      </c>
      <c r="M93">
        <v>0</v>
      </c>
      <c r="N93" t="str">
        <f>""</f>
        <v/>
      </c>
      <c r="O93" t="str">
        <f>"EmptySerial&lt;38131&gt;"</f>
        <v>EmptySerial&lt;38131&gt;</v>
      </c>
      <c r="P93" t="str">
        <f t="shared" si="22"/>
        <v>Нет</v>
      </c>
      <c r="Q93" t="str">
        <f>"КСК00000000000000184"</f>
        <v>КСК00000000000000184</v>
      </c>
      <c r="R93" t="str">
        <f>"ГОК3.2.2 МС3.2"</f>
        <v>ГОК3.2.2 МС3.2</v>
      </c>
      <c r="S93" t="str">
        <f t="shared" si="23"/>
        <v>Основной</v>
      </c>
      <c r="T93" t="str">
        <f t="shared" si="24"/>
        <v>ГУТС</v>
      </c>
      <c r="U93" t="str">
        <f>""</f>
        <v/>
      </c>
      <c r="V93" t="str">
        <f t="shared" si="25"/>
        <v>Нет</v>
      </c>
      <c r="W93">
        <v>51.761306320000003</v>
      </c>
      <c r="X93">
        <v>36.189989779999998</v>
      </c>
      <c r="Y93" t="str">
        <f>"20000004556061"</f>
        <v>20000004556061</v>
      </c>
    </row>
    <row r="94" spans="1:25" x14ac:dyDescent="0.25">
      <c r="A94">
        <v>907</v>
      </c>
      <c r="B94" t="str">
        <f t="shared" si="21"/>
        <v>Курск</v>
      </c>
      <c r="C94">
        <v>391833</v>
      </c>
      <c r="D94" t="str">
        <f>"ГОК5.4.6.1 Курск, Юности, 22  п. 2"</f>
        <v>ГОК5.4.6.1 Курск, Юности, 22  п. 2</v>
      </c>
      <c r="E94" t="str">
        <f t="shared" si="29"/>
        <v>КРС-8/16-SC</v>
      </c>
      <c r="F94" t="str">
        <f t="shared" ref="F94:F99" si="31">"29.01.2013"</f>
        <v>29.01.2013</v>
      </c>
      <c r="G94" t="str">
        <f>""</f>
        <v/>
      </c>
      <c r="H94" t="str">
        <f>"ГОК5.4.6.1"</f>
        <v>ГОК5.4.6.1</v>
      </c>
      <c r="I94" t="str">
        <f>"ДШ (под. 2, ОУ№ 1)"</f>
        <v>ДШ (под. 2, ОУ№ 1)</v>
      </c>
      <c r="J94" t="str">
        <f>"Курск, Юности, 22"</f>
        <v>Курск, Юности, 22</v>
      </c>
      <c r="K94" t="str">
        <f t="shared" si="30"/>
        <v>Подъезд</v>
      </c>
      <c r="L94" t="str">
        <f>"29-JUN-12"</f>
        <v>29-JUN-12</v>
      </c>
      <c r="M94">
        <v>0</v>
      </c>
      <c r="N94" t="str">
        <f>""</f>
        <v/>
      </c>
      <c r="O94" t="str">
        <f>"EmptySerial&lt;38406&gt;"</f>
        <v>EmptySerial&lt;38406&gt;</v>
      </c>
      <c r="P94" t="str">
        <f t="shared" si="22"/>
        <v>Нет</v>
      </c>
      <c r="Q94" t="str">
        <f>"КСК00000000000000329"</f>
        <v>КСК00000000000000329</v>
      </c>
      <c r="R94" t="str">
        <f>"ГОК5.4.6 МС5.4"</f>
        <v>ГОК5.4.6 МС5.4</v>
      </c>
      <c r="S94" t="str">
        <f t="shared" si="23"/>
        <v>Основной</v>
      </c>
      <c r="T94" t="str">
        <f t="shared" si="24"/>
        <v>ГУТС</v>
      </c>
      <c r="U94" t="str">
        <f>""</f>
        <v/>
      </c>
      <c r="V94" t="str">
        <f t="shared" si="25"/>
        <v>Нет</v>
      </c>
      <c r="W94">
        <v>51.670412657865803</v>
      </c>
      <c r="X94">
        <v>36.082239747047403</v>
      </c>
      <c r="Y94" t="str">
        <f>"20000004556320"</f>
        <v>20000004556320</v>
      </c>
    </row>
    <row r="95" spans="1:25" x14ac:dyDescent="0.25">
      <c r="A95">
        <v>907</v>
      </c>
      <c r="B95" t="str">
        <f t="shared" si="21"/>
        <v>Курск</v>
      </c>
      <c r="C95">
        <v>391846</v>
      </c>
      <c r="D95" t="str">
        <f>"ГОК5.4.5.1 Курск, Ленинского Комсомола Пр-Кт, 91  п. 2"</f>
        <v>ГОК5.4.5.1 Курск, Ленинского Комсомола Пр-Кт, 91  п. 2</v>
      </c>
      <c r="E95" t="str">
        <f t="shared" si="29"/>
        <v>КРС-8/16-SC</v>
      </c>
      <c r="F95" t="str">
        <f t="shared" si="31"/>
        <v>29.01.2013</v>
      </c>
      <c r="G95" t="str">
        <f>""</f>
        <v/>
      </c>
      <c r="H95" t="str">
        <f>"ГОК5.4.5.1"</f>
        <v>ГОК5.4.5.1</v>
      </c>
      <c r="I95" t="str">
        <f>"ДШ (под. 2, ОУ№ 1)"</f>
        <v>ДШ (под. 2, ОУ№ 1)</v>
      </c>
      <c r="J95" t="str">
        <f>"Курск, Ленинского Комсомола Пр-Кт, 91"</f>
        <v>Курск, Ленинского Комсомола Пр-Кт, 91</v>
      </c>
      <c r="K95" t="str">
        <f t="shared" si="30"/>
        <v>Подъезд</v>
      </c>
      <c r="L95" t="str">
        <f>"27-JUN-12"</f>
        <v>27-JUN-12</v>
      </c>
      <c r="M95">
        <v>0</v>
      </c>
      <c r="N95" t="str">
        <f>""</f>
        <v/>
      </c>
      <c r="O95" t="str">
        <f>"EmptySerial&lt;38405&gt;"</f>
        <v>EmptySerial&lt;38405&gt;</v>
      </c>
      <c r="P95" t="str">
        <f t="shared" si="22"/>
        <v>Нет</v>
      </c>
      <c r="Q95" t="str">
        <f>"КСК00000000000000255"</f>
        <v>КСК00000000000000255</v>
      </c>
      <c r="R95" t="str">
        <f>"ГОК5.4.5 МС5.4"</f>
        <v>ГОК5.4.5 МС5.4</v>
      </c>
      <c r="S95" t="str">
        <f t="shared" si="23"/>
        <v>Основной</v>
      </c>
      <c r="T95" t="str">
        <f t="shared" si="24"/>
        <v>ГУТС</v>
      </c>
      <c r="U95" t="str">
        <f>""</f>
        <v/>
      </c>
      <c r="V95" t="str">
        <f t="shared" si="25"/>
        <v>Нет</v>
      </c>
      <c r="W95">
        <v>51.668509615458703</v>
      </c>
      <c r="X95">
        <v>36.077561974525501</v>
      </c>
      <c r="Y95" t="str">
        <f>"20000004556319"</f>
        <v>20000004556319</v>
      </c>
    </row>
    <row r="96" spans="1:25" x14ac:dyDescent="0.25">
      <c r="A96">
        <v>907</v>
      </c>
      <c r="B96" t="str">
        <f t="shared" si="21"/>
        <v>Курск</v>
      </c>
      <c r="C96">
        <v>391859</v>
      </c>
      <c r="D96" t="str">
        <f>"ГОК5.4.4.1 Курск, Ленинского Комсомола Пр-Кт, 85  п. 2"</f>
        <v>ГОК5.4.4.1 Курск, Ленинского Комсомола Пр-Кт, 85  п. 2</v>
      </c>
      <c r="E96" t="str">
        <f t="shared" si="29"/>
        <v>КРС-8/16-SC</v>
      </c>
      <c r="F96" t="str">
        <f t="shared" si="31"/>
        <v>29.01.2013</v>
      </c>
      <c r="G96" t="str">
        <f>""</f>
        <v/>
      </c>
      <c r="H96" t="str">
        <f>"ГОК5.4.4.1"</f>
        <v>ГОК5.4.4.1</v>
      </c>
      <c r="I96" t="str">
        <f>"ДШ (под. 2, ОУ№ 1)"</f>
        <v>ДШ (под. 2, ОУ№ 1)</v>
      </c>
      <c r="J96" t="str">
        <f>"Курск, Ленинского Комсомола Пр-Кт, 85"</f>
        <v>Курск, Ленинского Комсомола Пр-Кт, 85</v>
      </c>
      <c r="K96" t="str">
        <f t="shared" si="30"/>
        <v>Подъезд</v>
      </c>
      <c r="L96" t="str">
        <f>"27-JUN-12"</f>
        <v>27-JUN-12</v>
      </c>
      <c r="M96">
        <v>0</v>
      </c>
      <c r="N96" t="str">
        <f>""</f>
        <v/>
      </c>
      <c r="O96" t="str">
        <f>"EmptySerial&lt;38404&gt;"</f>
        <v>EmptySerial&lt;38404&gt;</v>
      </c>
      <c r="P96" t="str">
        <f t="shared" si="22"/>
        <v>Нет</v>
      </c>
      <c r="Q96" t="str">
        <f>"КСК00000000000000254"</f>
        <v>КСК00000000000000254</v>
      </c>
      <c r="R96" t="str">
        <f>"ГОК5.4.4 МС5.4"</f>
        <v>ГОК5.4.4 МС5.4</v>
      </c>
      <c r="S96" t="str">
        <f t="shared" si="23"/>
        <v>Основной</v>
      </c>
      <c r="T96" t="str">
        <f t="shared" si="24"/>
        <v>ГУТС</v>
      </c>
      <c r="U96" t="str">
        <f>""</f>
        <v/>
      </c>
      <c r="V96" t="str">
        <f t="shared" si="25"/>
        <v>Нет</v>
      </c>
      <c r="W96">
        <v>51.668616909999997</v>
      </c>
      <c r="X96">
        <v>36.080045030000001</v>
      </c>
      <c r="Y96" t="str">
        <f>"20000004556318"</f>
        <v>20000004556318</v>
      </c>
    </row>
    <row r="97" spans="1:25" x14ac:dyDescent="0.25">
      <c r="A97">
        <v>907</v>
      </c>
      <c r="B97" t="str">
        <f t="shared" si="21"/>
        <v>Курск</v>
      </c>
      <c r="C97">
        <v>391872</v>
      </c>
      <c r="D97" t="str">
        <f>"ГОК5.4.3.1 Курск, Ленинского Комсомола Пр-Кт, 54  п. 2"</f>
        <v>ГОК5.4.3.1 Курск, Ленинского Комсомола Пр-Кт, 54  п. 2</v>
      </c>
      <c r="E97" t="str">
        <f t="shared" si="29"/>
        <v>КРС-8/16-SC</v>
      </c>
      <c r="F97" t="str">
        <f t="shared" si="31"/>
        <v>29.01.2013</v>
      </c>
      <c r="G97" t="str">
        <f>""</f>
        <v/>
      </c>
      <c r="H97" t="str">
        <f>"ГОК5.4.3.1"</f>
        <v>ГОК5.4.3.1</v>
      </c>
      <c r="I97" t="str">
        <f>"ДШ (под. 2, ОУ№ 1)"</f>
        <v>ДШ (под. 2, ОУ№ 1)</v>
      </c>
      <c r="J97" t="str">
        <f>"Курск, Ленинского Комсомола Пр-Кт, 54"</f>
        <v>Курск, Ленинского Комсомола Пр-Кт, 54</v>
      </c>
      <c r="K97" t="str">
        <f t="shared" si="30"/>
        <v>Подъезд</v>
      </c>
      <c r="L97" t="str">
        <f>"20-JUN-12"</f>
        <v>20-JUN-12</v>
      </c>
      <c r="M97">
        <v>0</v>
      </c>
      <c r="N97" t="str">
        <f>""</f>
        <v/>
      </c>
      <c r="O97" t="str">
        <f>"EmptySerial&lt;38403&gt;"</f>
        <v>EmptySerial&lt;38403&gt;</v>
      </c>
      <c r="P97" t="str">
        <f t="shared" si="22"/>
        <v>Нет</v>
      </c>
      <c r="Q97" t="str">
        <f>"КСК00000000000000304"</f>
        <v>КСК00000000000000304</v>
      </c>
      <c r="R97" t="str">
        <f>"ГОК5.4.3 МС5.4"</f>
        <v>ГОК5.4.3 МС5.4</v>
      </c>
      <c r="S97" t="str">
        <f t="shared" si="23"/>
        <v>Основной</v>
      </c>
      <c r="T97" t="str">
        <f t="shared" si="24"/>
        <v>ГУТС</v>
      </c>
      <c r="U97" t="str">
        <f>""</f>
        <v/>
      </c>
      <c r="V97" t="str">
        <f t="shared" si="25"/>
        <v>Нет</v>
      </c>
      <c r="W97">
        <v>51.667401688566301</v>
      </c>
      <c r="X97">
        <v>36.090581417083698</v>
      </c>
      <c r="Y97" t="str">
        <f>"20000004556317"</f>
        <v>20000004556317</v>
      </c>
    </row>
    <row r="98" spans="1:25" x14ac:dyDescent="0.25">
      <c r="A98">
        <v>907</v>
      </c>
      <c r="B98" t="str">
        <f t="shared" si="21"/>
        <v>Курск</v>
      </c>
      <c r="C98">
        <v>391885</v>
      </c>
      <c r="D98" t="str">
        <f>"ГОК5.4.2.1 Курск, Ленинского Комсомола Пр-Кт, 50  п. 1"</f>
        <v>ГОК5.4.2.1 Курск, Ленинского Комсомола Пр-Кт, 50  п. 1</v>
      </c>
      <c r="E98" t="str">
        <f t="shared" si="29"/>
        <v>КРС-8/16-SC</v>
      </c>
      <c r="F98" t="str">
        <f t="shared" si="31"/>
        <v>29.01.2013</v>
      </c>
      <c r="G98" t="str">
        <f>""</f>
        <v/>
      </c>
      <c r="H98" t="str">
        <f>"ГОК5.4.2.1"</f>
        <v>ГОК5.4.2.1</v>
      </c>
      <c r="I98" t="str">
        <f>"ДШ (под. 1, ОУ№ 1)"</f>
        <v>ДШ (под. 1, ОУ№ 1)</v>
      </c>
      <c r="J98" t="str">
        <f>"Курск, Ленинского Комсомола Пр-Кт, 50"</f>
        <v>Курск, Ленинского Комсомола Пр-Кт, 50</v>
      </c>
      <c r="K98" t="str">
        <f t="shared" si="30"/>
        <v>Подъезд</v>
      </c>
      <c r="L98" t="str">
        <f>"19-JUN-12"</f>
        <v>19-JUN-12</v>
      </c>
      <c r="M98">
        <v>0</v>
      </c>
      <c r="N98" t="str">
        <f>""</f>
        <v/>
      </c>
      <c r="O98" t="str">
        <f>"EmptySerial&lt;38402&gt;"</f>
        <v>EmptySerial&lt;38402&gt;</v>
      </c>
      <c r="P98" t="str">
        <f t="shared" si="22"/>
        <v>Нет</v>
      </c>
      <c r="Q98" t="str">
        <f>"КСК00000000000000303"</f>
        <v>КСК00000000000000303</v>
      </c>
      <c r="R98" t="str">
        <f>"ГОК5.4.2 МС5.4"</f>
        <v>ГОК5.4.2 МС5.4</v>
      </c>
      <c r="S98" t="str">
        <f t="shared" si="23"/>
        <v>Основной</v>
      </c>
      <c r="T98" t="str">
        <f t="shared" si="24"/>
        <v>ГУТС</v>
      </c>
      <c r="U98" t="str">
        <f>""</f>
        <v/>
      </c>
      <c r="V98" t="str">
        <f t="shared" si="25"/>
        <v>Нет</v>
      </c>
      <c r="W98">
        <v>51.6670922627018</v>
      </c>
      <c r="X98">
        <v>36.0953933000565</v>
      </c>
      <c r="Y98" t="str">
        <f>"20000004556316"</f>
        <v>20000004556316</v>
      </c>
    </row>
    <row r="99" spans="1:25" x14ac:dyDescent="0.25">
      <c r="A99">
        <v>907</v>
      </c>
      <c r="B99" t="str">
        <f t="shared" si="21"/>
        <v>Курск</v>
      </c>
      <c r="C99">
        <v>391898</v>
      </c>
      <c r="D99" t="str">
        <f>"ГОК5.4.1.1 Курск, Ленинского Комсомола Пр-Кт, 57  п. 1"</f>
        <v>ГОК5.4.1.1 Курск, Ленинского Комсомола Пр-Кт, 57  п. 1</v>
      </c>
      <c r="E99" t="str">
        <f t="shared" si="29"/>
        <v>КРС-8/16-SC</v>
      </c>
      <c r="F99" t="str">
        <f t="shared" si="31"/>
        <v>29.01.2013</v>
      </c>
      <c r="G99" t="str">
        <f>""</f>
        <v/>
      </c>
      <c r="H99" t="str">
        <f>"ГОК5.4.1.1"</f>
        <v>ГОК5.4.1.1</v>
      </c>
      <c r="I99" t="str">
        <f>"ДШ (под. 1, ОУ№ 1)"</f>
        <v>ДШ (под. 1, ОУ№ 1)</v>
      </c>
      <c r="J99" t="str">
        <f>"Курск, Ленинского Комсомола Пр-Кт, 57"</f>
        <v>Курск, Ленинского Комсомола Пр-Кт, 57</v>
      </c>
      <c r="K99" t="str">
        <f t="shared" si="30"/>
        <v>Подъезд</v>
      </c>
      <c r="L99" t="str">
        <f>"09-JUN-12"</f>
        <v>09-JUN-12</v>
      </c>
      <c r="M99">
        <v>0</v>
      </c>
      <c r="N99" t="str">
        <f>""</f>
        <v/>
      </c>
      <c r="O99" t="str">
        <f>"EmptySerial&lt;38401&gt;"</f>
        <v>EmptySerial&lt;38401&gt;</v>
      </c>
      <c r="P99" t="str">
        <f t="shared" si="22"/>
        <v>Нет</v>
      </c>
      <c r="Q99" t="str">
        <f>"КСК00000000000000300"</f>
        <v>КСК00000000000000300</v>
      </c>
      <c r="R99" t="str">
        <f>"ГОК5.4.1 МС5.4"</f>
        <v>ГОК5.4.1 МС5.4</v>
      </c>
      <c r="S99" t="str">
        <f t="shared" si="23"/>
        <v>Основной</v>
      </c>
      <c r="T99" t="str">
        <f t="shared" si="24"/>
        <v>ГУТС</v>
      </c>
      <c r="U99" t="str">
        <f>""</f>
        <v/>
      </c>
      <c r="V99" t="str">
        <f t="shared" si="25"/>
        <v>Нет</v>
      </c>
      <c r="W99">
        <v>51.667049009455702</v>
      </c>
      <c r="X99">
        <v>36.1065995693207</v>
      </c>
      <c r="Y99" t="str">
        <f>"20000004556315"</f>
        <v>20000004556315</v>
      </c>
    </row>
    <row r="100" spans="1:25" x14ac:dyDescent="0.25">
      <c r="A100">
        <v>907</v>
      </c>
      <c r="B100" t="str">
        <f t="shared" si="21"/>
        <v>Курск</v>
      </c>
      <c r="C100">
        <v>394859</v>
      </c>
      <c r="D100" t="str">
        <f>"МОК5.4.2 Курск, Гагарина, 26 а п. 1"</f>
        <v>МОК5.4.2 Курск, Гагарина, 26 а п. 1</v>
      </c>
      <c r="E100" t="str">
        <f>"КРС-128-SC"</f>
        <v>КРС-128-SC</v>
      </c>
      <c r="F100" t="str">
        <f>"20.08.2013"</f>
        <v>20.08.2013</v>
      </c>
      <c r="G100" t="str">
        <f>""</f>
        <v/>
      </c>
      <c r="H100" t="str">
        <f>"МОК5.4.2"</f>
        <v>МОК5.4.2</v>
      </c>
      <c r="I100" t="str">
        <f>"Стойка 2 спереди"</f>
        <v>Стойка 2 спереди</v>
      </c>
      <c r="J100" t="str">
        <f>"Курск, Гагарина, 26 а"</f>
        <v>Курск, Гагарина, 26 а</v>
      </c>
      <c r="K100" t="str">
        <f t="shared" si="30"/>
        <v>Подъезд</v>
      </c>
      <c r="L100" t="str">
        <f>"30-JUN-12"</f>
        <v>30-JUN-12</v>
      </c>
      <c r="M100">
        <v>0</v>
      </c>
      <c r="N100" t="str">
        <f>""</f>
        <v/>
      </c>
      <c r="O100" t="str">
        <f>"EmptySerial&lt;52336&gt;"</f>
        <v>EmptySerial&lt;52336&gt;</v>
      </c>
      <c r="P100" t="str">
        <f t="shared" si="22"/>
        <v>Нет</v>
      </c>
      <c r="Q100" t="str">
        <f>"КСК00000000000000248"</f>
        <v>КСК00000000000000248</v>
      </c>
      <c r="R100" t="str">
        <f>"МОК5.4.2 МС5.4"</f>
        <v>МОК5.4.2 МС5.4</v>
      </c>
      <c r="S100" t="str">
        <f t="shared" si="23"/>
        <v>Основной</v>
      </c>
      <c r="T100" t="str">
        <f t="shared" si="24"/>
        <v>ГУТС</v>
      </c>
      <c r="U100" t="str">
        <f>""</f>
        <v/>
      </c>
      <c r="V100" t="str">
        <f t="shared" si="25"/>
        <v>Нет</v>
      </c>
      <c r="W100">
        <v>51.669234910280203</v>
      </c>
      <c r="X100">
        <v>36.133099794387803</v>
      </c>
      <c r="Y100" t="str">
        <f>"20000004565637"</f>
        <v>20000004565637</v>
      </c>
    </row>
    <row r="101" spans="1:25" x14ac:dyDescent="0.25">
      <c r="A101">
        <v>907</v>
      </c>
      <c r="B101" t="str">
        <f t="shared" si="21"/>
        <v>Курск</v>
      </c>
      <c r="C101">
        <v>398724</v>
      </c>
      <c r="D101" t="str">
        <f>"ТОК3.7 Курск, Карла Маркса, 62 /21 п. 1"</f>
        <v>ТОК3.7 Курск, Карла Маркса, 62 /21 п. 1</v>
      </c>
      <c r="E101" t="str">
        <f>"КРС-128-SC"</f>
        <v>КРС-128-SC</v>
      </c>
      <c r="F101" t="str">
        <f>"10.09.2013"</f>
        <v>10.09.2013</v>
      </c>
      <c r="G101" t="str">
        <f>""</f>
        <v/>
      </c>
      <c r="H101" t="str">
        <f>"ТОК3.7"</f>
        <v>ТОК3.7</v>
      </c>
      <c r="I101" t="str">
        <f>"Стойка 2 спереди"</f>
        <v>Стойка 2 спереди</v>
      </c>
      <c r="J101" t="str">
        <f>"Курск, Карла Маркса, 62 /21"</f>
        <v>Курск, Карла Маркса, 62 /21</v>
      </c>
      <c r="K101" t="str">
        <f t="shared" si="30"/>
        <v>Подъезд</v>
      </c>
      <c r="L101" t="str">
        <f>"11-JAN-12"</f>
        <v>11-JAN-12</v>
      </c>
      <c r="M101">
        <v>0</v>
      </c>
      <c r="N101" t="str">
        <f>""</f>
        <v/>
      </c>
      <c r="O101" t="str">
        <f>"EmptySerial&lt;52794&gt;"</f>
        <v>EmptySerial&lt;52794&gt;</v>
      </c>
      <c r="P101" t="str">
        <f t="shared" si="22"/>
        <v>Нет</v>
      </c>
      <c r="Q101" t="str">
        <f>"КСК00000000000000423"</f>
        <v>КСК00000000000000423</v>
      </c>
      <c r="R101" t="str">
        <f>"ТОК3.7 ТС7"</f>
        <v>ТОК3.7 ТС7</v>
      </c>
      <c r="S101" t="str">
        <f t="shared" si="23"/>
        <v>Основной</v>
      </c>
      <c r="T101" t="str">
        <f t="shared" si="24"/>
        <v>ГУТС</v>
      </c>
      <c r="U101" t="str">
        <f>""</f>
        <v/>
      </c>
      <c r="V101" t="str">
        <f t="shared" si="25"/>
        <v>Нет</v>
      </c>
      <c r="W101">
        <v>51.757958350000003</v>
      </c>
      <c r="X101">
        <v>36.187221409999999</v>
      </c>
      <c r="Y101" t="str">
        <f>"20000004565921"</f>
        <v>20000004565921</v>
      </c>
    </row>
    <row r="102" spans="1:25" x14ac:dyDescent="0.25">
      <c r="A102">
        <v>907</v>
      </c>
      <c r="B102" t="str">
        <f t="shared" si="21"/>
        <v>Курск</v>
      </c>
      <c r="C102">
        <v>401433</v>
      </c>
      <c r="D102" t="str">
        <f>"ГОК1.5.1.1 Курск, Дружининская, 35  п. 1"</f>
        <v>ГОК1.5.1.1 Курск, Дружининская, 35  п. 1</v>
      </c>
      <c r="E102" t="str">
        <f t="shared" ref="E102:E133" si="32">"КРС-8/16-SC"</f>
        <v>КРС-8/16-SC</v>
      </c>
      <c r="F102" t="str">
        <f>"29.01.2013"</f>
        <v>29.01.2013</v>
      </c>
      <c r="G102" t="str">
        <f>""</f>
        <v/>
      </c>
      <c r="H102" t="str">
        <f>"ГОК1.5.1.1"</f>
        <v>ГОК1.5.1.1</v>
      </c>
      <c r="I102" t="str">
        <f>"ДШ (под. 1, ОУ№ 1)"</f>
        <v>ДШ (под. 1, ОУ№ 1)</v>
      </c>
      <c r="J102" t="str">
        <f>"Курск, Дружининская, 35"</f>
        <v>Курск, Дружининская, 35</v>
      </c>
      <c r="K102" t="str">
        <f t="shared" si="30"/>
        <v>Подъезд</v>
      </c>
      <c r="L102" t="str">
        <f>"13-JUL-12"</f>
        <v>13-JUL-12</v>
      </c>
      <c r="M102">
        <v>0</v>
      </c>
      <c r="N102" t="str">
        <f>""</f>
        <v/>
      </c>
      <c r="O102" t="str">
        <f>"EmptySerial&lt;39261&gt;"</f>
        <v>EmptySerial&lt;39261&gt;</v>
      </c>
      <c r="P102" t="str">
        <f t="shared" si="22"/>
        <v>Нет</v>
      </c>
      <c r="Q102" t="str">
        <f>"КСК00000000000000328"</f>
        <v>КСК00000000000000328</v>
      </c>
      <c r="R102" t="str">
        <f>"ГОК1.5.1 МС1.5"</f>
        <v>ГОК1.5.1 МС1.5</v>
      </c>
      <c r="S102" t="str">
        <f t="shared" si="23"/>
        <v>Основной</v>
      </c>
      <c r="T102" t="str">
        <f t="shared" si="24"/>
        <v>ГУТС</v>
      </c>
      <c r="U102" t="str">
        <f>""</f>
        <v/>
      </c>
      <c r="V102" t="str">
        <f t="shared" si="25"/>
        <v>Нет</v>
      </c>
      <c r="W102">
        <v>51.720139535189801</v>
      </c>
      <c r="X102">
        <v>36.181111335754402</v>
      </c>
      <c r="Y102" t="str">
        <f>"20000004556909"</f>
        <v>20000004556909</v>
      </c>
    </row>
    <row r="103" spans="1:25" x14ac:dyDescent="0.25">
      <c r="A103">
        <v>907</v>
      </c>
      <c r="B103" t="str">
        <f t="shared" si="21"/>
        <v>Курск</v>
      </c>
      <c r="C103">
        <v>406633</v>
      </c>
      <c r="D103" t="str">
        <f>"ОК5.1 ППК 3.1.7 Курск, Победы Пр-Кт, 54  п. 1"</f>
        <v>ОК5.1 ППК 3.1.7 Курск, Победы Пр-Кт, 54  п. 1</v>
      </c>
      <c r="E103" t="str">
        <f t="shared" si="32"/>
        <v>КРС-8/16-SC</v>
      </c>
      <c r="F103" t="str">
        <f>"28.08.2012"</f>
        <v>28.08.2012</v>
      </c>
      <c r="G103" t="str">
        <f>""</f>
        <v/>
      </c>
      <c r="H103" t="str">
        <f>"ОК5.1 ППК 3.1.7"</f>
        <v>ОК5.1 ППК 3.1.7</v>
      </c>
      <c r="I103" t="str">
        <f>"ДШ (под. 1, ОУ№ 5)"</f>
        <v>ДШ (под. 1, ОУ№ 5)</v>
      </c>
      <c r="J103" t="str">
        <f>"Курск, Победы Пр-Кт, 54"</f>
        <v>Курск, Победы Пр-Кт, 54</v>
      </c>
      <c r="K103" t="str">
        <f>"Чердак"</f>
        <v>Чердак</v>
      </c>
      <c r="L103" t="str">
        <f>"03-JUL-12"</f>
        <v>03-JUL-12</v>
      </c>
      <c r="M103">
        <v>147046</v>
      </c>
      <c r="N103" t="str">
        <f>""</f>
        <v/>
      </c>
      <c r="O103" t="str">
        <f>"HSH-147046"</f>
        <v>HSH-147046</v>
      </c>
      <c r="P103" t="str">
        <f t="shared" si="22"/>
        <v>Нет</v>
      </c>
      <c r="Q103" t="str">
        <f>"КСК00000000000000339"</f>
        <v>КСК00000000000000339</v>
      </c>
      <c r="R103" t="str">
        <f>""</f>
        <v/>
      </c>
      <c r="S103" t="str">
        <f t="shared" si="23"/>
        <v>Основной</v>
      </c>
      <c r="T103" t="str">
        <f t="shared" si="24"/>
        <v>ГУТС</v>
      </c>
      <c r="U103" t="str">
        <f>""</f>
        <v/>
      </c>
      <c r="V103" t="str">
        <f t="shared" si="25"/>
        <v>Нет</v>
      </c>
      <c r="W103">
        <v>51.782158042265898</v>
      </c>
      <c r="X103">
        <v>36.170014398805201</v>
      </c>
      <c r="Y103" t="str">
        <f>"20000004557357"</f>
        <v>20000004557357</v>
      </c>
    </row>
    <row r="104" spans="1:25" x14ac:dyDescent="0.25">
      <c r="A104">
        <v>907</v>
      </c>
      <c r="B104" t="str">
        <f t="shared" si="21"/>
        <v>Курск</v>
      </c>
      <c r="C104">
        <v>414633</v>
      </c>
      <c r="D104" t="str">
        <f>"ГОК5.3.4.1 Курск, Обоянская, 30  п. 2"</f>
        <v>ГОК5.3.4.1 Курск, Обоянская, 30  п. 2</v>
      </c>
      <c r="E104" t="str">
        <f t="shared" si="32"/>
        <v>КРС-8/16-SC</v>
      </c>
      <c r="F104" t="str">
        <f t="shared" ref="F104:F113" si="33">"28.01.2013"</f>
        <v>28.01.2013</v>
      </c>
      <c r="G104" t="str">
        <f>""</f>
        <v/>
      </c>
      <c r="H104" t="str">
        <f>"ГОК5.3.4.1"</f>
        <v>ГОК5.3.4.1</v>
      </c>
      <c r="I104" t="str">
        <f>"ДШ (под. 2, ОУ№ 1)"</f>
        <v>ДШ (под. 2, ОУ№ 1)</v>
      </c>
      <c r="J104" t="str">
        <f>"Курск, Обоянская, 30"</f>
        <v>Курск, Обоянская, 30</v>
      </c>
      <c r="K104" t="str">
        <f>"ДШ-2"</f>
        <v>ДШ-2</v>
      </c>
      <c r="L104" t="str">
        <f>"24-JUL-12"</f>
        <v>24-JUL-12</v>
      </c>
      <c r="M104">
        <v>0</v>
      </c>
      <c r="N104" t="str">
        <f>""</f>
        <v/>
      </c>
      <c r="O104" t="str">
        <f>"EmptySerial&lt;40928&gt;"</f>
        <v>EmptySerial&lt;40928&gt;</v>
      </c>
      <c r="P104" t="str">
        <f t="shared" si="22"/>
        <v>Нет</v>
      </c>
      <c r="Q104" t="str">
        <f>"КСК00000000000000253"</f>
        <v>КСК00000000000000253</v>
      </c>
      <c r="R104" t="str">
        <f>"ГОК5.3.4 МС5.3"</f>
        <v>ГОК5.3.4 МС5.3</v>
      </c>
      <c r="S104" t="str">
        <f t="shared" si="23"/>
        <v>Основной</v>
      </c>
      <c r="T104" t="str">
        <f t="shared" si="24"/>
        <v>ГУТС</v>
      </c>
      <c r="U104" t="str">
        <f>""</f>
        <v/>
      </c>
      <c r="V104" t="str">
        <f t="shared" si="25"/>
        <v>Нет</v>
      </c>
      <c r="W104">
        <v>51.666994729999999</v>
      </c>
      <c r="X104">
        <v>36.148685440000001</v>
      </c>
      <c r="Y104" t="str">
        <f>"20000004558021"</f>
        <v>20000004558021</v>
      </c>
    </row>
    <row r="105" spans="1:25" x14ac:dyDescent="0.25">
      <c r="A105">
        <v>907</v>
      </c>
      <c r="B105" t="str">
        <f t="shared" si="21"/>
        <v>Курск</v>
      </c>
      <c r="C105">
        <v>414659</v>
      </c>
      <c r="D105" t="str">
        <f>"ГОК5.3.2.1 Курск, Белгородская, 19  п. 3"</f>
        <v>ГОК5.3.2.1 Курск, Белгородская, 19  п. 3</v>
      </c>
      <c r="E105" t="str">
        <f t="shared" si="32"/>
        <v>КРС-8/16-SC</v>
      </c>
      <c r="F105" t="str">
        <f t="shared" si="33"/>
        <v>28.01.2013</v>
      </c>
      <c r="G105" t="str">
        <f>""</f>
        <v/>
      </c>
      <c r="H105" t="str">
        <f>"ГОК5.3.2.1"</f>
        <v>ГОК5.3.2.1</v>
      </c>
      <c r="I105" t="str">
        <f>"ДШ (под. 3, ОУ№ 1)"</f>
        <v>ДШ (под. 3, ОУ№ 1)</v>
      </c>
      <c r="J105" t="str">
        <f>"Курск, Белгородская, 19"</f>
        <v>Курск, Белгородская, 19</v>
      </c>
      <c r="K105" t="str">
        <f>"ДШ-2"</f>
        <v>ДШ-2</v>
      </c>
      <c r="L105" t="str">
        <f>"22-JUL-12"</f>
        <v>22-JUL-12</v>
      </c>
      <c r="M105">
        <v>0</v>
      </c>
      <c r="N105" t="str">
        <f>""</f>
        <v/>
      </c>
      <c r="O105" t="str">
        <f>"EmptySerial&lt;40926&gt;"</f>
        <v>EmptySerial&lt;40926&gt;</v>
      </c>
      <c r="P105" t="str">
        <f t="shared" si="22"/>
        <v>Нет</v>
      </c>
      <c r="Q105" t="str">
        <f>"КСК00000000000000232"</f>
        <v>КСК00000000000000232</v>
      </c>
      <c r="R105" t="str">
        <f>"ГОК5.3.2 МС5.3"</f>
        <v>ГОК5.3.2 МС5.3</v>
      </c>
      <c r="S105" t="str">
        <f t="shared" si="23"/>
        <v>Основной</v>
      </c>
      <c r="T105" t="str">
        <f t="shared" si="24"/>
        <v>ГУТС</v>
      </c>
      <c r="U105" t="str">
        <f>""</f>
        <v/>
      </c>
      <c r="V105" t="str">
        <f t="shared" si="25"/>
        <v>Нет</v>
      </c>
      <c r="W105">
        <v>51.6696139803325</v>
      </c>
      <c r="X105">
        <v>36.1461091786623</v>
      </c>
      <c r="Y105" t="str">
        <f>"20000004558019"</f>
        <v>20000004558019</v>
      </c>
    </row>
    <row r="106" spans="1:25" x14ac:dyDescent="0.25">
      <c r="A106">
        <v>907</v>
      </c>
      <c r="B106" t="str">
        <f t="shared" si="21"/>
        <v>Курск</v>
      </c>
      <c r="C106">
        <v>414672</v>
      </c>
      <c r="D106" t="str">
        <f>"ГОК5.3.1.1 Курск, Парковая, 7  п. 2"</f>
        <v>ГОК5.3.1.1 Курск, Парковая, 7  п. 2</v>
      </c>
      <c r="E106" t="str">
        <f t="shared" si="32"/>
        <v>КРС-8/16-SC</v>
      </c>
      <c r="F106" t="str">
        <f t="shared" si="33"/>
        <v>28.01.2013</v>
      </c>
      <c r="G106" t="str">
        <f>""</f>
        <v/>
      </c>
      <c r="H106" t="str">
        <f>"ГОК5.3.1.1"</f>
        <v>ГОК5.3.1.1</v>
      </c>
      <c r="I106" t="str">
        <f>"ДШ (под. 2, ОУ№ 1)"</f>
        <v>ДШ (под. 2, ОУ№ 1)</v>
      </c>
      <c r="J106" t="str">
        <f>"Курск, Парковая, 7"</f>
        <v>Курск, Парковая, 7</v>
      </c>
      <c r="K106" t="str">
        <f>"ДШ-2"</f>
        <v>ДШ-2</v>
      </c>
      <c r="L106" t="str">
        <f>"14-JUL-12"</f>
        <v>14-JUL-12</v>
      </c>
      <c r="M106">
        <v>0</v>
      </c>
      <c r="N106" t="str">
        <f>""</f>
        <v/>
      </c>
      <c r="O106" t="str">
        <f>"EmptySerial&lt;40925&gt;"</f>
        <v>EmptySerial&lt;40925&gt;</v>
      </c>
      <c r="P106" t="str">
        <f t="shared" si="22"/>
        <v>Нет</v>
      </c>
      <c r="Q106" t="str">
        <f>"КСК00000000000000231"</f>
        <v>КСК00000000000000231</v>
      </c>
      <c r="R106" t="str">
        <f>"ГОК5.3.1 МС5.3"</f>
        <v>ГОК5.3.1 МС5.3</v>
      </c>
      <c r="S106" t="str">
        <f t="shared" si="23"/>
        <v>Основной</v>
      </c>
      <c r="T106" t="str">
        <f t="shared" si="24"/>
        <v>ГУТС</v>
      </c>
      <c r="U106" t="str">
        <f>""</f>
        <v/>
      </c>
      <c r="V106" t="str">
        <f t="shared" si="25"/>
        <v>Нет</v>
      </c>
      <c r="W106">
        <v>51.6690583702647</v>
      </c>
      <c r="X106">
        <v>36.148544624447801</v>
      </c>
      <c r="Y106" t="str">
        <f>"20000004558018"</f>
        <v>20000004558018</v>
      </c>
    </row>
    <row r="107" spans="1:25" x14ac:dyDescent="0.25">
      <c r="A107">
        <v>907</v>
      </c>
      <c r="B107" t="str">
        <f t="shared" si="21"/>
        <v>Курск</v>
      </c>
      <c r="C107">
        <v>414711</v>
      </c>
      <c r="D107" t="str">
        <f>"ГОК5.3.9.1 Курск, Черняховского, 28  п. 1"</f>
        <v>ГОК5.3.9.1 Курск, Черняховского, 28  п. 1</v>
      </c>
      <c r="E107" t="str">
        <f t="shared" si="32"/>
        <v>КРС-8/16-SC</v>
      </c>
      <c r="F107" t="str">
        <f t="shared" si="33"/>
        <v>28.01.2013</v>
      </c>
      <c r="G107" t="str">
        <f>""</f>
        <v/>
      </c>
      <c r="H107" t="str">
        <f>"ГОК5.3.9.1"</f>
        <v>ГОК5.3.9.1</v>
      </c>
      <c r="I107" t="str">
        <f>"ДШ (под. 1, ОУ№ 1)"</f>
        <v>ДШ (под. 1, ОУ№ 1)</v>
      </c>
      <c r="J107" t="str">
        <f>"Курск, Черняховского, 28"</f>
        <v>Курск, Черняховского, 28</v>
      </c>
      <c r="K107" t="str">
        <f t="shared" ref="K107:K117" si="34">"Подъезд"</f>
        <v>Подъезд</v>
      </c>
      <c r="L107" t="str">
        <f>"13-JUL-12"</f>
        <v>13-JUL-12</v>
      </c>
      <c r="M107">
        <v>0</v>
      </c>
      <c r="N107" t="str">
        <f>""</f>
        <v/>
      </c>
      <c r="O107" t="str">
        <f>"EmptySerial&lt;40922&gt;"</f>
        <v>EmptySerial&lt;40922&gt;</v>
      </c>
      <c r="P107" t="str">
        <f t="shared" si="22"/>
        <v>Нет</v>
      </c>
      <c r="Q107" t="str">
        <f>"КСК00000000000000302"</f>
        <v>КСК00000000000000302</v>
      </c>
      <c r="R107" t="str">
        <f>"ГОК5.3.9 МС5.3"</f>
        <v>ГОК5.3.9 МС5.3</v>
      </c>
      <c r="S107" t="str">
        <f t="shared" si="23"/>
        <v>Основной</v>
      </c>
      <c r="T107" t="str">
        <f t="shared" si="24"/>
        <v>ГУТС</v>
      </c>
      <c r="U107" t="str">
        <f>""</f>
        <v/>
      </c>
      <c r="V107" t="str">
        <f t="shared" si="25"/>
        <v>Нет</v>
      </c>
      <c r="W107">
        <v>51.673720958344902</v>
      </c>
      <c r="X107">
        <v>36.158372238278403</v>
      </c>
      <c r="Y107" t="str">
        <f>"20000004558017"</f>
        <v>20000004558017</v>
      </c>
    </row>
    <row r="108" spans="1:25" x14ac:dyDescent="0.25">
      <c r="A108">
        <v>907</v>
      </c>
      <c r="B108" t="str">
        <f t="shared" si="21"/>
        <v>Курск</v>
      </c>
      <c r="C108">
        <v>414724</v>
      </c>
      <c r="D108" t="str">
        <f>"ГОК5.3.7.1 Курск, Черняховского, 29  п. 2"</f>
        <v>ГОК5.3.7.1 Курск, Черняховского, 29  п. 2</v>
      </c>
      <c r="E108" t="str">
        <f t="shared" si="32"/>
        <v>КРС-8/16-SC</v>
      </c>
      <c r="F108" t="str">
        <f t="shared" si="33"/>
        <v>28.01.2013</v>
      </c>
      <c r="G108" t="str">
        <f>""</f>
        <v/>
      </c>
      <c r="H108" t="str">
        <f>"ГОК5.3.7.1"</f>
        <v>ГОК5.3.7.1</v>
      </c>
      <c r="I108" t="str">
        <f>"ДШ (под. 2, ОУ№ 1)"</f>
        <v>ДШ (под. 2, ОУ№ 1)</v>
      </c>
      <c r="J108" t="str">
        <f>"Курск, Черняховского, 29"</f>
        <v>Курск, Черняховского, 29</v>
      </c>
      <c r="K108" t="str">
        <f t="shared" si="34"/>
        <v>Подъезд</v>
      </c>
      <c r="L108" t="str">
        <f>"12-JUL-12"</f>
        <v>12-JUL-12</v>
      </c>
      <c r="M108">
        <v>0</v>
      </c>
      <c r="N108" t="str">
        <f>""</f>
        <v/>
      </c>
      <c r="O108" t="str">
        <f>"EmptySerial&lt;40921&gt;"</f>
        <v>EmptySerial&lt;40921&gt;</v>
      </c>
      <c r="P108" t="str">
        <f t="shared" si="22"/>
        <v>Нет</v>
      </c>
      <c r="Q108" t="str">
        <f>"КСК00000000000000297"</f>
        <v>КСК00000000000000297</v>
      </c>
      <c r="R108" t="str">
        <f>"ГОК5.3.7 МС5.3"</f>
        <v>ГОК5.3.7 МС5.3</v>
      </c>
      <c r="S108" t="str">
        <f t="shared" si="23"/>
        <v>Основной</v>
      </c>
      <c r="T108" t="str">
        <f t="shared" si="24"/>
        <v>ГУТС</v>
      </c>
      <c r="U108" t="str">
        <f>""</f>
        <v/>
      </c>
      <c r="V108" t="str">
        <f t="shared" si="25"/>
        <v>Нет</v>
      </c>
      <c r="W108">
        <v>51.673451496111497</v>
      </c>
      <c r="X108">
        <v>36.155121400952297</v>
      </c>
      <c r="Y108" t="str">
        <f>"20000004558016"</f>
        <v>20000004558016</v>
      </c>
    </row>
    <row r="109" spans="1:25" x14ac:dyDescent="0.25">
      <c r="A109">
        <v>907</v>
      </c>
      <c r="B109" t="str">
        <f t="shared" si="21"/>
        <v>Курск</v>
      </c>
      <c r="C109">
        <v>414769</v>
      </c>
      <c r="D109" t="str">
        <f>"ГОК5.6.3.1 Курск, Магистральный Проезд, 15 б п. 1"</f>
        <v>ГОК5.6.3.1 Курск, Магистральный Проезд, 15 б п. 1</v>
      </c>
      <c r="E109" t="str">
        <f t="shared" si="32"/>
        <v>КРС-8/16-SC</v>
      </c>
      <c r="F109" t="str">
        <f t="shared" si="33"/>
        <v>28.01.2013</v>
      </c>
      <c r="G109" t="str">
        <f>""</f>
        <v/>
      </c>
      <c r="H109" t="str">
        <f>"ГОК5.6.3.1"</f>
        <v>ГОК5.6.3.1</v>
      </c>
      <c r="I109" t="str">
        <f>"ДШ (под. 1, ОУ№ 1)"</f>
        <v>ДШ (под. 1, ОУ№ 1)</v>
      </c>
      <c r="J109" t="str">
        <f>"Курск, Магистральный Проезд, 15 б"</f>
        <v>Курск, Магистральный Проезд, 15 б</v>
      </c>
      <c r="K109" t="str">
        <f t="shared" si="34"/>
        <v>Подъезд</v>
      </c>
      <c r="L109" t="str">
        <f>"28-AUG-12"</f>
        <v>28-AUG-12</v>
      </c>
      <c r="M109">
        <v>0</v>
      </c>
      <c r="N109" t="str">
        <f>""</f>
        <v/>
      </c>
      <c r="O109" t="str">
        <f>"EmptySerial&lt;40941&gt;"</f>
        <v>EmptySerial&lt;40941&gt;</v>
      </c>
      <c r="P109" t="str">
        <f t="shared" si="22"/>
        <v>Нет</v>
      </c>
      <c r="Q109" t="str">
        <f>"КСК00000000000000402"</f>
        <v>КСК00000000000000402</v>
      </c>
      <c r="R109" t="str">
        <f>"ГОК5.6.3 МС5.6"</f>
        <v>ГОК5.6.3 МС5.6</v>
      </c>
      <c r="S109" t="str">
        <f t="shared" si="23"/>
        <v>Основной</v>
      </c>
      <c r="T109" t="str">
        <f t="shared" si="24"/>
        <v>ГУТС</v>
      </c>
      <c r="U109" t="str">
        <f>""</f>
        <v/>
      </c>
      <c r="V109" t="str">
        <f t="shared" si="25"/>
        <v>Нет</v>
      </c>
      <c r="W109">
        <v>51.648121752827699</v>
      </c>
      <c r="X109">
        <v>36.146419644355802</v>
      </c>
      <c r="Y109" t="str">
        <f>"20000004558034"</f>
        <v>20000004558034</v>
      </c>
    </row>
    <row r="110" spans="1:25" x14ac:dyDescent="0.25">
      <c r="A110">
        <v>907</v>
      </c>
      <c r="B110" t="str">
        <f t="shared" si="21"/>
        <v>Курск</v>
      </c>
      <c r="C110">
        <v>414782</v>
      </c>
      <c r="D110" t="str">
        <f>"ГОК5.6.2.1 Курск, Магистральный Проезд, 11 а п. 1"</f>
        <v>ГОК5.6.2.1 Курск, Магистральный Проезд, 11 а п. 1</v>
      </c>
      <c r="E110" t="str">
        <f t="shared" si="32"/>
        <v>КРС-8/16-SC</v>
      </c>
      <c r="F110" t="str">
        <f t="shared" si="33"/>
        <v>28.01.2013</v>
      </c>
      <c r="G110" t="str">
        <f>""</f>
        <v/>
      </c>
      <c r="H110" t="str">
        <f>"ГОК5.6.2.1"</f>
        <v>ГОК5.6.2.1</v>
      </c>
      <c r="I110" t="str">
        <f>"ДШ (под. 1, ОУ№ 1)"</f>
        <v>ДШ (под. 1, ОУ№ 1)</v>
      </c>
      <c r="J110" t="str">
        <f>"Курск, Магистральный Проезд, 11 а"</f>
        <v>Курск, Магистральный Проезд, 11 а</v>
      </c>
      <c r="K110" t="str">
        <f t="shared" si="34"/>
        <v>Подъезд</v>
      </c>
      <c r="L110" t="str">
        <f>"24-AUG-12"</f>
        <v>24-AUG-12</v>
      </c>
      <c r="M110">
        <v>0</v>
      </c>
      <c r="N110" t="str">
        <f>""</f>
        <v/>
      </c>
      <c r="O110" t="str">
        <f>"EmptySerial&lt;40940&gt;"</f>
        <v>EmptySerial&lt;40940&gt;</v>
      </c>
      <c r="P110" t="str">
        <f t="shared" si="22"/>
        <v>Нет</v>
      </c>
      <c r="Q110" t="str">
        <f>"КСК00000000000000337"</f>
        <v>КСК00000000000000337</v>
      </c>
      <c r="R110" t="str">
        <f>"ГОК5.6.2 МС5.6"</f>
        <v>ГОК5.6.2 МС5.6</v>
      </c>
      <c r="S110" t="str">
        <f t="shared" si="23"/>
        <v>Основной</v>
      </c>
      <c r="T110" t="str">
        <f t="shared" si="24"/>
        <v>ГУТС</v>
      </c>
      <c r="U110" t="str">
        <f>""</f>
        <v/>
      </c>
      <c r="V110" t="str">
        <f t="shared" si="25"/>
        <v>Нет</v>
      </c>
      <c r="W110">
        <v>51.648744190071</v>
      </c>
      <c r="X110">
        <v>36.141886711120598</v>
      </c>
      <c r="Y110" t="str">
        <f>"20000004558033"</f>
        <v>20000004558033</v>
      </c>
    </row>
    <row r="111" spans="1:25" x14ac:dyDescent="0.25">
      <c r="A111">
        <v>907</v>
      </c>
      <c r="B111" t="str">
        <f t="shared" si="21"/>
        <v>Курск</v>
      </c>
      <c r="C111">
        <v>414795</v>
      </c>
      <c r="D111" t="str">
        <f>"ГОК5.6.4.1 Курск, Магистральный Проезд, 16 б п. 3"</f>
        <v>ГОК5.6.4.1 Курск, Магистральный Проезд, 16 б п. 3</v>
      </c>
      <c r="E111" t="str">
        <f t="shared" si="32"/>
        <v>КРС-8/16-SC</v>
      </c>
      <c r="F111" t="str">
        <f t="shared" si="33"/>
        <v>28.01.2013</v>
      </c>
      <c r="G111" t="str">
        <f>""</f>
        <v/>
      </c>
      <c r="H111" t="str">
        <f>"ГОК5.6.4.1"</f>
        <v>ГОК5.6.4.1</v>
      </c>
      <c r="I111" t="str">
        <f>"ДШ (под. 3, ОУ№ 1)"</f>
        <v>ДШ (под. 3, ОУ№ 1)</v>
      </c>
      <c r="J111" t="str">
        <f>"Курск, Магистральный Проезд, 16 б"</f>
        <v>Курск, Магистральный Проезд, 16 б</v>
      </c>
      <c r="K111" t="str">
        <f t="shared" si="34"/>
        <v>Подъезд</v>
      </c>
      <c r="L111" t="str">
        <f>"19-AUG-12"</f>
        <v>19-AUG-12</v>
      </c>
      <c r="M111">
        <v>0</v>
      </c>
      <c r="N111" t="str">
        <f>""</f>
        <v/>
      </c>
      <c r="O111" t="str">
        <f>"EmptySerial&lt;40939&gt;"</f>
        <v>EmptySerial&lt;40939&gt;</v>
      </c>
      <c r="P111" t="str">
        <f t="shared" si="22"/>
        <v>Нет</v>
      </c>
      <c r="Q111" t="str">
        <f>"КСК00000000000000333"</f>
        <v>КСК00000000000000333</v>
      </c>
      <c r="R111" t="str">
        <f>"ГОК5.6.4 МС5.6"</f>
        <v>ГОК5.6.4 МС5.6</v>
      </c>
      <c r="S111" t="str">
        <f t="shared" si="23"/>
        <v>Основной</v>
      </c>
      <c r="T111" t="str">
        <f t="shared" si="24"/>
        <v>ГУТС</v>
      </c>
      <c r="U111" t="str">
        <f>""</f>
        <v/>
      </c>
      <c r="V111" t="str">
        <f t="shared" si="25"/>
        <v>Нет</v>
      </c>
      <c r="W111">
        <v>51.650939294911403</v>
      </c>
      <c r="X111">
        <v>36.1390194296837</v>
      </c>
      <c r="Y111" t="str">
        <f>"20000004558032"</f>
        <v>20000004558032</v>
      </c>
    </row>
    <row r="112" spans="1:25" x14ac:dyDescent="0.25">
      <c r="A112">
        <v>907</v>
      </c>
      <c r="B112" t="str">
        <f t="shared" si="21"/>
        <v>Курск</v>
      </c>
      <c r="C112">
        <v>414808</v>
      </c>
      <c r="D112" t="str">
        <f>"ГОК5.6.1.1 Курск, Магистральный Проезд, 3  п. 3"</f>
        <v>ГОК5.6.1.1 Курск, Магистральный Проезд, 3  п. 3</v>
      </c>
      <c r="E112" t="str">
        <f t="shared" si="32"/>
        <v>КРС-8/16-SC</v>
      </c>
      <c r="F112" t="str">
        <f t="shared" si="33"/>
        <v>28.01.2013</v>
      </c>
      <c r="G112" t="str">
        <f>""</f>
        <v/>
      </c>
      <c r="H112" t="str">
        <f>"ГОК5.6.1.1"</f>
        <v>ГОК5.6.1.1</v>
      </c>
      <c r="I112" t="str">
        <f>"ДШ (под. 3, ОУ№ 1)"</f>
        <v>ДШ (под. 3, ОУ№ 1)</v>
      </c>
      <c r="J112" t="str">
        <f>"Курск, Магистральный Проезд, 3"</f>
        <v>Курск, Магистральный Проезд, 3</v>
      </c>
      <c r="K112" t="str">
        <f t="shared" si="34"/>
        <v>Подъезд</v>
      </c>
      <c r="L112" t="str">
        <f>"16-AUG-12"</f>
        <v>16-AUG-12</v>
      </c>
      <c r="M112">
        <v>0</v>
      </c>
      <c r="N112" t="str">
        <f>""</f>
        <v/>
      </c>
      <c r="O112" t="str">
        <f>"EmptySerial&lt;40938&gt;"</f>
        <v>EmptySerial&lt;40938&gt;</v>
      </c>
      <c r="P112" t="str">
        <f t="shared" si="22"/>
        <v>Нет</v>
      </c>
      <c r="Q112" t="str">
        <f>"КСК00000000000000349"</f>
        <v>КСК00000000000000349</v>
      </c>
      <c r="R112" t="str">
        <f>"ППК 5.6.1 Магистральный"</f>
        <v>ППК 5.6.1 Магистральный</v>
      </c>
      <c r="S112" t="str">
        <f t="shared" si="23"/>
        <v>Основной</v>
      </c>
      <c r="T112" t="str">
        <f t="shared" si="24"/>
        <v>ГУТС</v>
      </c>
      <c r="U112" t="str">
        <f>""</f>
        <v/>
      </c>
      <c r="V112" t="str">
        <f t="shared" si="25"/>
        <v>Нет</v>
      </c>
      <c r="W112">
        <v>51.649145274782803</v>
      </c>
      <c r="X112">
        <v>36.137992143631003</v>
      </c>
      <c r="Y112" t="str">
        <f>"20000004558031"</f>
        <v>20000004558031</v>
      </c>
    </row>
    <row r="113" spans="1:25" x14ac:dyDescent="0.25">
      <c r="A113">
        <v>907</v>
      </c>
      <c r="B113" t="str">
        <f t="shared" si="21"/>
        <v>Курск</v>
      </c>
      <c r="C113">
        <v>414821</v>
      </c>
      <c r="D113" t="str">
        <f>"ГОК5.6.5.1 Курск, Магистральный Проезд, 8  п. 2"</f>
        <v>ГОК5.6.5.1 Курск, Магистральный Проезд, 8  п. 2</v>
      </c>
      <c r="E113" t="str">
        <f t="shared" si="32"/>
        <v>КРС-8/16-SC</v>
      </c>
      <c r="F113" t="str">
        <f t="shared" si="33"/>
        <v>28.01.2013</v>
      </c>
      <c r="G113" t="str">
        <f>""</f>
        <v/>
      </c>
      <c r="H113" t="str">
        <f>"ГОК5.6.5.1"</f>
        <v>ГОК5.6.5.1</v>
      </c>
      <c r="I113" t="str">
        <f>"ДШ (под. 2, ОУ№ 1)"</f>
        <v>ДШ (под. 2, ОУ№ 1)</v>
      </c>
      <c r="J113" t="str">
        <f>"Курск, Магистральный Проезд, 8"</f>
        <v>Курск, Магистральный Проезд, 8</v>
      </c>
      <c r="K113" t="str">
        <f t="shared" si="34"/>
        <v>Подъезд</v>
      </c>
      <c r="L113" t="str">
        <f>"11-AUG-12"</f>
        <v>11-AUG-12</v>
      </c>
      <c r="M113">
        <v>0</v>
      </c>
      <c r="N113" t="str">
        <f>""</f>
        <v/>
      </c>
      <c r="O113" t="str">
        <f>"EmptySerial&lt;40937&gt;"</f>
        <v>EmptySerial&lt;40937&gt;</v>
      </c>
      <c r="P113" t="str">
        <f t="shared" si="22"/>
        <v>Нет</v>
      </c>
      <c r="Q113" t="str">
        <f>"КСК00000000000000336"</f>
        <v>КСК00000000000000336</v>
      </c>
      <c r="R113" t="str">
        <f>"ГОК5.6.5 МС5.6"</f>
        <v>ГОК5.6.5 МС5.6</v>
      </c>
      <c r="S113" t="str">
        <f t="shared" si="23"/>
        <v>Основной</v>
      </c>
      <c r="T113" t="str">
        <f t="shared" si="24"/>
        <v>ГУТС</v>
      </c>
      <c r="U113" t="str">
        <f>""</f>
        <v/>
      </c>
      <c r="V113" t="str">
        <f t="shared" si="25"/>
        <v>Нет</v>
      </c>
      <c r="W113">
        <v>51.650694659999999</v>
      </c>
      <c r="X113">
        <v>36.13424242</v>
      </c>
      <c r="Y113" t="str">
        <f>"20000004558030"</f>
        <v>20000004558030</v>
      </c>
    </row>
    <row r="114" spans="1:25" x14ac:dyDescent="0.25">
      <c r="A114">
        <v>907</v>
      </c>
      <c r="B114" t="str">
        <f t="shared" si="21"/>
        <v>Курск</v>
      </c>
      <c r="C114">
        <v>423833</v>
      </c>
      <c r="D114" t="str">
        <f>"ГОК3.2.6.1 Курск, Никитская, 14  п. 2"</f>
        <v>ГОК3.2.6.1 Курск, Никитская, 14  п. 2</v>
      </c>
      <c r="E114" t="str">
        <f t="shared" si="32"/>
        <v>КРС-8/16-SC</v>
      </c>
      <c r="F114" t="str">
        <f>"19.09.2012"</f>
        <v>19.09.2012</v>
      </c>
      <c r="G114" t="str">
        <f>""</f>
        <v/>
      </c>
      <c r="H114" t="str">
        <f>"ГОК3.2.6.1"</f>
        <v>ГОК3.2.6.1</v>
      </c>
      <c r="I114" t="str">
        <f>"ДШ (под. 2, ОУ№ 1)"</f>
        <v>ДШ (под. 2, ОУ№ 1)</v>
      </c>
      <c r="J114" t="str">
        <f>"Курск, Никитская, 14"</f>
        <v>Курск, Никитская, 14</v>
      </c>
      <c r="K114" t="str">
        <f t="shared" si="34"/>
        <v>Подъезд</v>
      </c>
      <c r="L114" t="str">
        <f>"06-JUL-12"</f>
        <v>06-JUL-12</v>
      </c>
      <c r="M114">
        <v>148931</v>
      </c>
      <c r="N114" t="str">
        <f>""</f>
        <v/>
      </c>
      <c r="O114" t="str">
        <f>"HSH-148931"</f>
        <v>HSH-148931</v>
      </c>
      <c r="P114" t="str">
        <f t="shared" si="22"/>
        <v>Нет</v>
      </c>
      <c r="Q114" t="str">
        <f>"КСК00000000000000356"</f>
        <v>КСК00000000000000356</v>
      </c>
      <c r="R114" t="str">
        <f>"ГОК3.2.6 МС3.2"</f>
        <v>ГОК3.2.6 МС3.2</v>
      </c>
      <c r="S114" t="str">
        <f t="shared" si="23"/>
        <v>Основной</v>
      </c>
      <c r="T114" t="str">
        <f t="shared" si="24"/>
        <v>ГУТС</v>
      </c>
      <c r="U114" t="str">
        <f>""</f>
        <v/>
      </c>
      <c r="V114" t="str">
        <f t="shared" si="25"/>
        <v>Нет</v>
      </c>
      <c r="W114">
        <v>51.7568376692927</v>
      </c>
      <c r="X114">
        <v>36.192887574434302</v>
      </c>
      <c r="Y114" t="str">
        <f>"20000004558878"</f>
        <v>20000004558878</v>
      </c>
    </row>
    <row r="115" spans="1:25" x14ac:dyDescent="0.25">
      <c r="A115">
        <v>907</v>
      </c>
      <c r="B115" t="str">
        <f t="shared" si="21"/>
        <v>Курск</v>
      </c>
      <c r="C115">
        <v>424833</v>
      </c>
      <c r="D115" t="str">
        <f>"ГОК5.4.7.1 Курск, Юности, 12  п. 2"</f>
        <v>ГОК5.4.7.1 Курск, Юности, 12  п. 2</v>
      </c>
      <c r="E115" t="str">
        <f t="shared" si="32"/>
        <v>КРС-8/16-SC</v>
      </c>
      <c r="F115" t="str">
        <f>"20.09.2012"</f>
        <v>20.09.2012</v>
      </c>
      <c r="G115" t="str">
        <f>""</f>
        <v/>
      </c>
      <c r="H115" t="str">
        <f>"ГОК5.4.7.1"</f>
        <v>ГОК5.4.7.1</v>
      </c>
      <c r="I115" t="str">
        <f>"ДШ (под. 2, ОУ№ 1)"</f>
        <v>ДШ (под. 2, ОУ№ 1)</v>
      </c>
      <c r="J115" t="str">
        <f>"Курск, Юности, 12"</f>
        <v>Курск, Юности, 12</v>
      </c>
      <c r="K115" t="str">
        <f t="shared" si="34"/>
        <v>Подъезд</v>
      </c>
      <c r="L115" t="str">
        <f>"15-JUN-12"</f>
        <v>15-JUN-12</v>
      </c>
      <c r="M115">
        <v>149171</v>
      </c>
      <c r="N115" t="str">
        <f>""</f>
        <v/>
      </c>
      <c r="O115" t="str">
        <f>"HSH-149171"</f>
        <v>HSH-149171</v>
      </c>
      <c r="P115" t="str">
        <f t="shared" si="22"/>
        <v>Нет</v>
      </c>
      <c r="Q115" t="str">
        <f>"КСК00000000000000357"</f>
        <v>КСК00000000000000357</v>
      </c>
      <c r="R115" t="str">
        <f>"ГОК5.4.7 МС5.4"</f>
        <v>ГОК5.4.7 МС5.4</v>
      </c>
      <c r="S115" t="str">
        <f t="shared" si="23"/>
        <v>Основной</v>
      </c>
      <c r="T115" t="str">
        <f t="shared" si="24"/>
        <v>ГУТС</v>
      </c>
      <c r="U115" t="str">
        <f>""</f>
        <v/>
      </c>
      <c r="V115" t="str">
        <f t="shared" si="25"/>
        <v>Нет</v>
      </c>
      <c r="W115">
        <v>51.671361861874402</v>
      </c>
      <c r="X115">
        <v>36.087616235017798</v>
      </c>
      <c r="Y115" t="str">
        <f>"20000004559061"</f>
        <v>20000004559061</v>
      </c>
    </row>
    <row r="116" spans="1:25" x14ac:dyDescent="0.25">
      <c r="A116">
        <v>907</v>
      </c>
      <c r="B116" t="str">
        <f t="shared" si="21"/>
        <v>Курск</v>
      </c>
      <c r="C116">
        <v>427841</v>
      </c>
      <c r="D116" t="str">
        <f>"ГОК3.5.2.1 Курск, Дубровинского, 1 а п. 1"</f>
        <v>ГОК3.5.2.1 Курск, Дубровинского, 1 а п. 1</v>
      </c>
      <c r="E116" t="str">
        <f t="shared" si="32"/>
        <v>КРС-8/16-SC</v>
      </c>
      <c r="F116" t="str">
        <f>"25.09.2012"</f>
        <v>25.09.2012</v>
      </c>
      <c r="G116" t="str">
        <f>""</f>
        <v/>
      </c>
      <c r="H116" t="str">
        <f>"ГОК3.5.2.1"</f>
        <v>ГОК3.5.2.1</v>
      </c>
      <c r="I116" t="str">
        <f>"ДШ (под. 1, ОУ№ 1)"</f>
        <v>ДШ (под. 1, ОУ№ 1)</v>
      </c>
      <c r="J116" t="str">
        <f>"Курск, Дубровинского, 1 а"</f>
        <v>Курск, Дубровинского, 1 а</v>
      </c>
      <c r="K116" t="str">
        <f t="shared" si="34"/>
        <v>Подъезд</v>
      </c>
      <c r="L116" t="str">
        <f>"21-JUL-12"</f>
        <v>21-JUL-12</v>
      </c>
      <c r="M116">
        <v>149519</v>
      </c>
      <c r="N116" t="str">
        <f>""</f>
        <v/>
      </c>
      <c r="O116" t="str">
        <f>"HSH-149519"</f>
        <v>HSH-149519</v>
      </c>
      <c r="P116" t="str">
        <f t="shared" si="22"/>
        <v>Нет</v>
      </c>
      <c r="Q116" t="str">
        <f>"КСК00000000000000361"</f>
        <v>КСК00000000000000361</v>
      </c>
      <c r="R116" t="str">
        <f>"ГОК3.5.2 МС3.5"</f>
        <v>ГОК3.5.2 МС3.5</v>
      </c>
      <c r="S116" t="str">
        <f t="shared" si="23"/>
        <v>Основной</v>
      </c>
      <c r="T116" t="str">
        <f t="shared" si="24"/>
        <v>ГУТС</v>
      </c>
      <c r="U116" t="str">
        <f>""</f>
        <v/>
      </c>
      <c r="V116" t="str">
        <f t="shared" si="25"/>
        <v>Нет</v>
      </c>
      <c r="W116">
        <v>51.754735062693598</v>
      </c>
      <c r="X116">
        <v>36.2133002231636</v>
      </c>
      <c r="Y116" t="str">
        <f>"20000004559280"</f>
        <v>20000004559280</v>
      </c>
    </row>
    <row r="117" spans="1:25" x14ac:dyDescent="0.25">
      <c r="A117">
        <v>907</v>
      </c>
      <c r="B117" t="str">
        <f t="shared" si="21"/>
        <v>Курск</v>
      </c>
      <c r="C117">
        <v>427854</v>
      </c>
      <c r="D117" t="str">
        <f>"ГОК3.5.4.1 Курск, Интернациональная, 45  п. 2"</f>
        <v>ГОК3.5.4.1 Курск, Интернациональная, 45  п. 2</v>
      </c>
      <c r="E117" t="str">
        <f t="shared" si="32"/>
        <v>КРС-8/16-SC</v>
      </c>
      <c r="F117" t="str">
        <f>"25.09.2012"</f>
        <v>25.09.2012</v>
      </c>
      <c r="G117" t="str">
        <f>""</f>
        <v/>
      </c>
      <c r="H117" t="str">
        <f>"ГОК3.5.4.1"</f>
        <v>ГОК3.5.4.1</v>
      </c>
      <c r="I117" t="str">
        <f>"ДШ (под. 2, ОУ№ 1)"</f>
        <v>ДШ (под. 2, ОУ№ 1)</v>
      </c>
      <c r="J117" t="str">
        <f>"Курск, Интернациональная, 45"</f>
        <v>Курск, Интернациональная, 45</v>
      </c>
      <c r="K117" t="str">
        <f t="shared" si="34"/>
        <v>Подъезд</v>
      </c>
      <c r="L117" t="str">
        <f>"20-JUL-12"</f>
        <v>20-JUL-12</v>
      </c>
      <c r="M117">
        <v>149520</v>
      </c>
      <c r="N117" t="str">
        <f>""</f>
        <v/>
      </c>
      <c r="O117" t="str">
        <f>"HSH-149520"</f>
        <v>HSH-149520</v>
      </c>
      <c r="P117" t="str">
        <f t="shared" si="22"/>
        <v>Нет</v>
      </c>
      <c r="Q117" t="str">
        <f>"КСК00000000000000362"</f>
        <v>КСК00000000000000362</v>
      </c>
      <c r="R117" t="str">
        <f>"ГОК3.5.4 МС3.5"</f>
        <v>ГОК3.5.4 МС3.5</v>
      </c>
      <c r="S117" t="str">
        <f t="shared" si="23"/>
        <v>Основной</v>
      </c>
      <c r="T117" t="str">
        <f t="shared" si="24"/>
        <v>ГУТС</v>
      </c>
      <c r="U117" t="str">
        <f>""</f>
        <v/>
      </c>
      <c r="V117" t="str">
        <f t="shared" si="25"/>
        <v>Нет</v>
      </c>
      <c r="W117">
        <v>51.751608486630097</v>
      </c>
      <c r="X117">
        <v>36.219973559192702</v>
      </c>
      <c r="Y117" t="str">
        <f>"20000004559281"</f>
        <v>20000004559281</v>
      </c>
    </row>
    <row r="118" spans="1:25" x14ac:dyDescent="0.25">
      <c r="A118">
        <v>907</v>
      </c>
      <c r="B118" t="str">
        <f t="shared" si="21"/>
        <v>Курск</v>
      </c>
      <c r="C118">
        <v>428846</v>
      </c>
      <c r="D118" t="str">
        <f>"OK5.1 ППК 5.6.2 Курск, Магистральный Проезд, 24 б п. 2"</f>
        <v>OK5.1 ППК 5.6.2 Курск, Магистральный Проезд, 24 б п. 2</v>
      </c>
      <c r="E118" t="str">
        <f t="shared" si="32"/>
        <v>КРС-8/16-SC</v>
      </c>
      <c r="F118" t="str">
        <f>"25.09.2012"</f>
        <v>25.09.2012</v>
      </c>
      <c r="G118" t="str">
        <f>""</f>
        <v/>
      </c>
      <c r="H118" t="str">
        <f>"OK5.1 ППК 5.6.2"</f>
        <v>OK5.1 ППК 5.6.2</v>
      </c>
      <c r="I118" t="str">
        <f>"ДШ (под. 2, ОУ№ 5)"</f>
        <v>ДШ (под. 2, ОУ№ 5)</v>
      </c>
      <c r="J118" t="str">
        <f>"Курск, Магистральный Проезд, 24 б"</f>
        <v>Курск, Магистральный Проезд, 24 б</v>
      </c>
      <c r="K118" t="str">
        <f>""</f>
        <v/>
      </c>
      <c r="L118" t="str">
        <f>""</f>
        <v/>
      </c>
      <c r="M118">
        <v>149729</v>
      </c>
      <c r="N118" t="str">
        <f>""</f>
        <v/>
      </c>
      <c r="O118" t="str">
        <f>"HSH-149729"</f>
        <v>HSH-149729</v>
      </c>
      <c r="P118" t="str">
        <f t="shared" si="22"/>
        <v>Нет</v>
      </c>
      <c r="Q118" t="str">
        <f>"КСК00000000000000337"</f>
        <v>КСК00000000000000337</v>
      </c>
      <c r="R118" t="str">
        <f>""</f>
        <v/>
      </c>
      <c r="S118" t="str">
        <f t="shared" si="23"/>
        <v>Основной</v>
      </c>
      <c r="T118" t="str">
        <f t="shared" si="24"/>
        <v>ГУТС</v>
      </c>
      <c r="U118" t="str">
        <f>""</f>
        <v/>
      </c>
      <c r="V118" t="str">
        <f t="shared" si="25"/>
        <v>Нет</v>
      </c>
      <c r="W118">
        <v>51.650884376981402</v>
      </c>
      <c r="X118">
        <v>36.146072298288303</v>
      </c>
      <c r="Y118" t="str">
        <f>"20000004559392"</f>
        <v>20000004559392</v>
      </c>
    </row>
    <row r="119" spans="1:25" x14ac:dyDescent="0.25">
      <c r="A119">
        <v>907</v>
      </c>
      <c r="B119" t="str">
        <f t="shared" si="21"/>
        <v>Курск</v>
      </c>
      <c r="C119">
        <v>429885</v>
      </c>
      <c r="D119" t="str">
        <f>"OK5.1 ППК 5.6.5 Курск, Магистральный Проезд, 12  п. 2"</f>
        <v>OK5.1 ППК 5.6.5 Курск, Магистральный Проезд, 12  п. 2</v>
      </c>
      <c r="E119" t="str">
        <f t="shared" si="32"/>
        <v>КРС-8/16-SC</v>
      </c>
      <c r="F119" t="str">
        <f>"26.09.2012"</f>
        <v>26.09.2012</v>
      </c>
      <c r="G119" t="str">
        <f>""</f>
        <v/>
      </c>
      <c r="H119" t="str">
        <f>"OK5.1 ППК 5.6.5"</f>
        <v>OK5.1 ППК 5.6.5</v>
      </c>
      <c r="I119" t="str">
        <f>"ДШ (под. 2, ОУ№ 5)"</f>
        <v>ДШ (под. 2, ОУ№ 5)</v>
      </c>
      <c r="J119" t="str">
        <f>"Курск, Магистральный Проезд, 12"</f>
        <v>Курск, Магистральный Проезд, 12</v>
      </c>
      <c r="K119" t="str">
        <f>""</f>
        <v/>
      </c>
      <c r="L119" t="str">
        <f>""</f>
        <v/>
      </c>
      <c r="M119">
        <v>149823</v>
      </c>
      <c r="N119" t="str">
        <f>""</f>
        <v/>
      </c>
      <c r="O119" t="str">
        <f>"HSH-149823"</f>
        <v>HSH-149823</v>
      </c>
      <c r="P119" t="str">
        <f t="shared" si="22"/>
        <v>Нет</v>
      </c>
      <c r="Q119" t="str">
        <f>"КСК00000000000000336"</f>
        <v>КСК00000000000000336</v>
      </c>
      <c r="R119" t="str">
        <f>""</f>
        <v/>
      </c>
      <c r="S119" t="str">
        <f t="shared" si="23"/>
        <v>Основной</v>
      </c>
      <c r="T119" t="str">
        <f t="shared" si="24"/>
        <v>ГУТС</v>
      </c>
      <c r="U119" t="str">
        <f>""</f>
        <v/>
      </c>
      <c r="V119" t="str">
        <f t="shared" si="25"/>
        <v>Нет</v>
      </c>
      <c r="W119">
        <v>51.649767895521599</v>
      </c>
      <c r="X119">
        <v>36.139043266586299</v>
      </c>
      <c r="Y119" t="str">
        <f>"20000004559451"</f>
        <v>20000004559451</v>
      </c>
    </row>
    <row r="120" spans="1:25" x14ac:dyDescent="0.25">
      <c r="A120">
        <v>907</v>
      </c>
      <c r="B120" t="str">
        <f t="shared" si="21"/>
        <v>Курск</v>
      </c>
      <c r="C120">
        <v>436833</v>
      </c>
      <c r="D120" t="str">
        <f>"ГОК5.2.6.1 Курск, Серегина, 26 а п. 6"</f>
        <v>ГОК5.2.6.1 Курск, Серегина, 26 а п. 6</v>
      </c>
      <c r="E120" t="str">
        <f t="shared" si="32"/>
        <v>КРС-8/16-SC</v>
      </c>
      <c r="F120" t="str">
        <f>"02.10.2012"</f>
        <v>02.10.2012</v>
      </c>
      <c r="G120" t="str">
        <f>""</f>
        <v/>
      </c>
      <c r="H120" t="str">
        <f>"ГОК5.2.6.1"</f>
        <v>ГОК5.2.6.1</v>
      </c>
      <c r="I120" t="str">
        <f>"ДШ (под. 6, ОУ№ 1)"</f>
        <v>ДШ (под. 6, ОУ№ 1)</v>
      </c>
      <c r="J120" t="str">
        <f>"Курск, Серегина, 26 а"</f>
        <v>Курск, Серегина, 26 а</v>
      </c>
      <c r="K120" t="str">
        <f>"Подъезд"</f>
        <v>Подъезд</v>
      </c>
      <c r="L120" t="str">
        <f>"02-OCT-12"</f>
        <v>02-OCT-12</v>
      </c>
      <c r="M120">
        <v>150202</v>
      </c>
      <c r="N120" t="str">
        <f>""</f>
        <v/>
      </c>
      <c r="O120" t="str">
        <f>"HSH-150202"</f>
        <v>HSH-150202</v>
      </c>
      <c r="P120" t="str">
        <f t="shared" si="22"/>
        <v>Нет</v>
      </c>
      <c r="Q120" t="str">
        <f>"КСК00000000000000331"</f>
        <v>КСК00000000000000331</v>
      </c>
      <c r="R120" t="str">
        <f>"ГОК5.2.6 МС5.2"</f>
        <v>ГОК5.2.6 МС5.2</v>
      </c>
      <c r="S120" t="str">
        <f t="shared" si="23"/>
        <v>Основной</v>
      </c>
      <c r="T120" t="str">
        <f t="shared" si="24"/>
        <v>ГУТС</v>
      </c>
      <c r="U120" t="str">
        <f>""</f>
        <v/>
      </c>
      <c r="V120" t="str">
        <f t="shared" si="25"/>
        <v>Нет</v>
      </c>
      <c r="W120">
        <v>51.676111523317402</v>
      </c>
      <c r="X120">
        <v>36.138453180602902</v>
      </c>
      <c r="Y120" t="str">
        <f>"20000004559644"</f>
        <v>20000004559644</v>
      </c>
    </row>
    <row r="121" spans="1:25" x14ac:dyDescent="0.25">
      <c r="A121">
        <v>907</v>
      </c>
      <c r="B121" t="str">
        <f t="shared" si="21"/>
        <v>Курск</v>
      </c>
      <c r="C121">
        <v>439072</v>
      </c>
      <c r="D121" t="str">
        <f>"ГОК4.2.5.1 Курск, Союзная, 71  п. 1"</f>
        <v>ГОК4.2.5.1 Курск, Союзная, 71  п. 1</v>
      </c>
      <c r="E121" t="str">
        <f t="shared" si="32"/>
        <v>КРС-8/16-SC</v>
      </c>
      <c r="F121" t="str">
        <f>"03.10.2012"</f>
        <v>03.10.2012</v>
      </c>
      <c r="G121" t="str">
        <f>""</f>
        <v/>
      </c>
      <c r="H121" t="str">
        <f>"ГОК4.2.5.1"</f>
        <v>ГОК4.2.5.1</v>
      </c>
      <c r="I121" t="str">
        <f>"ДШ (под. 1, ОУ№ 1)"</f>
        <v>ДШ (под. 1, ОУ№ 1)</v>
      </c>
      <c r="J121" t="str">
        <f>"Курск, Союзная, 71"</f>
        <v>Курск, Союзная, 71</v>
      </c>
      <c r="K121" t="str">
        <f>"Подъезд"</f>
        <v>Подъезд</v>
      </c>
      <c r="L121" t="str">
        <f>"03-OCT-12"</f>
        <v>03-OCT-12</v>
      </c>
      <c r="M121">
        <v>150371</v>
      </c>
      <c r="N121" t="str">
        <f>""</f>
        <v/>
      </c>
      <c r="O121" t="str">
        <f>"HSH-150371"</f>
        <v>HSH-150371</v>
      </c>
      <c r="P121" t="str">
        <f t="shared" si="22"/>
        <v>Нет</v>
      </c>
      <c r="Q121" t="str">
        <f>"КСК00000000000000351"</f>
        <v>КСК00000000000000351</v>
      </c>
      <c r="R121" t="str">
        <f>"ГОК4.2.5 МС4.2"</f>
        <v>ГОК4.2.5 МС4.2</v>
      </c>
      <c r="S121" t="str">
        <f t="shared" si="23"/>
        <v>Основной</v>
      </c>
      <c r="T121" t="str">
        <f t="shared" si="24"/>
        <v>ГУТС</v>
      </c>
      <c r="U121" t="str">
        <f>""</f>
        <v/>
      </c>
      <c r="V121" t="str">
        <f t="shared" si="25"/>
        <v>Нет</v>
      </c>
      <c r="W121">
        <v>51.7426312564683</v>
      </c>
      <c r="X121">
        <v>36.261901482939699</v>
      </c>
      <c r="Y121" t="str">
        <f>"20000004559723"</f>
        <v>20000004559723</v>
      </c>
    </row>
    <row r="122" spans="1:25" x14ac:dyDescent="0.25">
      <c r="A122">
        <v>907</v>
      </c>
      <c r="B122" t="str">
        <f t="shared" si="21"/>
        <v>Курск</v>
      </c>
      <c r="C122">
        <v>439085</v>
      </c>
      <c r="D122" t="str">
        <f>"ГОК4.2.6.1 Курск, Республиканская, 52 в п. 1"</f>
        <v>ГОК4.2.6.1 Курск, Республиканская, 52 в п. 1</v>
      </c>
      <c r="E122" t="str">
        <f t="shared" si="32"/>
        <v>КРС-8/16-SC</v>
      </c>
      <c r="F122" t="str">
        <f>"03.10.2012"</f>
        <v>03.10.2012</v>
      </c>
      <c r="G122" t="str">
        <f>""</f>
        <v/>
      </c>
      <c r="H122" t="str">
        <f>"ГОК4.2.6.1"</f>
        <v>ГОК4.2.6.1</v>
      </c>
      <c r="I122" t="str">
        <f>"ДШ (под. 1, ОУ№ 1)"</f>
        <v>ДШ (под. 1, ОУ№ 1)</v>
      </c>
      <c r="J122" t="str">
        <f>"Курск, Республиканская, 52 в"</f>
        <v>Курск, Республиканская, 52 в</v>
      </c>
      <c r="K122" t="str">
        <f>"Подъезд"</f>
        <v>Подъезд</v>
      </c>
      <c r="L122" t="str">
        <f>"03-OCT-12"</f>
        <v>03-OCT-12</v>
      </c>
      <c r="M122">
        <v>150372</v>
      </c>
      <c r="N122" t="str">
        <f>""</f>
        <v/>
      </c>
      <c r="O122" t="str">
        <f>"HSH-150372"</f>
        <v>HSH-150372</v>
      </c>
      <c r="P122" t="str">
        <f t="shared" si="22"/>
        <v>Нет</v>
      </c>
      <c r="Q122" t="str">
        <f>"КСК00000000000000344"</f>
        <v>КСК00000000000000344</v>
      </c>
      <c r="R122" t="str">
        <f>"ГОК4.2.6"</f>
        <v>ГОК4.2.6</v>
      </c>
      <c r="S122" t="str">
        <f t="shared" si="23"/>
        <v>Основной</v>
      </c>
      <c r="T122" t="str">
        <f t="shared" si="24"/>
        <v>ГУТС</v>
      </c>
      <c r="U122" t="str">
        <f>""</f>
        <v/>
      </c>
      <c r="V122" t="str">
        <f t="shared" si="25"/>
        <v>Нет</v>
      </c>
      <c r="W122">
        <v>51.741470335183301</v>
      </c>
      <c r="X122">
        <v>36.259262189269101</v>
      </c>
      <c r="Y122" t="str">
        <f>"20000004559724"</f>
        <v>20000004559724</v>
      </c>
    </row>
    <row r="123" spans="1:25" x14ac:dyDescent="0.25">
      <c r="A123">
        <v>907</v>
      </c>
      <c r="B123" t="str">
        <f t="shared" si="21"/>
        <v>Курск</v>
      </c>
      <c r="C123">
        <v>440833</v>
      </c>
      <c r="D123" t="str">
        <f>"ГОК2.5.1.1 Курск, Вячеслава Клыкова Пр-Кт, 2  п. 1"</f>
        <v>ГОК2.5.1.1 Курск, Вячеслава Клыкова Пр-Кт, 2  п. 1</v>
      </c>
      <c r="E123" t="str">
        <f t="shared" si="32"/>
        <v>КРС-8/16-SC</v>
      </c>
      <c r="F123" t="str">
        <f>"04.10.2012"</f>
        <v>04.10.2012</v>
      </c>
      <c r="G123" t="str">
        <f>""</f>
        <v/>
      </c>
      <c r="H123" t="str">
        <f>"ГОК2.5.1.1"</f>
        <v>ГОК2.5.1.1</v>
      </c>
      <c r="I123" t="str">
        <f>"ДШ (под. 1, ОУ№ 1)"</f>
        <v>ДШ (под. 1, ОУ№ 1)</v>
      </c>
      <c r="J123" t="str">
        <f>"Курск, Вячеслава Клыкова Пр-Кт, 2"</f>
        <v>Курск, Вячеслава Клыкова Пр-Кт, 2</v>
      </c>
      <c r="K123" t="str">
        <f>"Чердак"</f>
        <v>Чердак</v>
      </c>
      <c r="L123" t="str">
        <f>"04-OCT-12"</f>
        <v>04-OCT-12</v>
      </c>
      <c r="M123">
        <v>150552</v>
      </c>
      <c r="N123" t="str">
        <f>""</f>
        <v/>
      </c>
      <c r="O123" t="str">
        <f>"HSH-150552"</f>
        <v>HSH-150552</v>
      </c>
      <c r="P123" t="str">
        <f t="shared" si="22"/>
        <v>Нет</v>
      </c>
      <c r="Q123" t="str">
        <f>"КСК00000000000000310"</f>
        <v>КСК00000000000000310</v>
      </c>
      <c r="R123" t="str">
        <f>"ГОК2.5.1 МС2.5"</f>
        <v>ГОК2.5.1 МС2.5</v>
      </c>
      <c r="S123" t="str">
        <f t="shared" si="23"/>
        <v>Основной</v>
      </c>
      <c r="T123" t="str">
        <f t="shared" si="24"/>
        <v>ГУТС</v>
      </c>
      <c r="U123" t="str">
        <f>""</f>
        <v/>
      </c>
      <c r="V123" t="str">
        <f t="shared" si="25"/>
        <v>Нет</v>
      </c>
      <c r="W123">
        <v>51.726056237100202</v>
      </c>
      <c r="X123">
        <v>36.140163391828501</v>
      </c>
      <c r="Y123" t="str">
        <f>"20000004559799"</f>
        <v>20000004559799</v>
      </c>
    </row>
    <row r="124" spans="1:25" x14ac:dyDescent="0.25">
      <c r="A124">
        <v>907</v>
      </c>
      <c r="B124" t="str">
        <f t="shared" si="21"/>
        <v>Курск</v>
      </c>
      <c r="C124">
        <v>440859</v>
      </c>
      <c r="D124" t="str">
        <f>"ГОК2.5.3.1 Курск, Вячеслава Клыкова Пр-Кт, 46  п. 1"</f>
        <v>ГОК2.5.3.1 Курск, Вячеслава Клыкова Пр-Кт, 46  п. 1</v>
      </c>
      <c r="E124" t="str">
        <f t="shared" si="32"/>
        <v>КРС-8/16-SC</v>
      </c>
      <c r="F124" t="str">
        <f>"04.10.2012"</f>
        <v>04.10.2012</v>
      </c>
      <c r="G124" t="str">
        <f>""</f>
        <v/>
      </c>
      <c r="H124" t="str">
        <f>"ГОК2.5.3.1"</f>
        <v>ГОК2.5.3.1</v>
      </c>
      <c r="I124" t="str">
        <f>"ДШ (под. 1, ОУ№ 1)"</f>
        <v>ДШ (под. 1, ОУ№ 1)</v>
      </c>
      <c r="J124" t="str">
        <f>"Курск, Вячеслава Клыкова Пр-Кт, 46"</f>
        <v>Курск, Вячеслава Клыкова Пр-Кт, 46</v>
      </c>
      <c r="K124" t="str">
        <f>"Чердак"</f>
        <v>Чердак</v>
      </c>
      <c r="L124" t="str">
        <f>"04-OCT-12"</f>
        <v>04-OCT-12</v>
      </c>
      <c r="M124">
        <v>150554</v>
      </c>
      <c r="N124" t="str">
        <f>""</f>
        <v/>
      </c>
      <c r="O124" t="str">
        <f>"HSH-150554"</f>
        <v>HSH-150554</v>
      </c>
      <c r="P124" t="str">
        <f t="shared" si="22"/>
        <v>Нет</v>
      </c>
      <c r="Q124" t="str">
        <f>"КСК00000000000000315"</f>
        <v>КСК00000000000000315</v>
      </c>
      <c r="R124" t="str">
        <f>"ГОК2.5.3 МС2.5"</f>
        <v>ГОК2.5.3 МС2.5</v>
      </c>
      <c r="S124" t="str">
        <f t="shared" si="23"/>
        <v>Основной</v>
      </c>
      <c r="T124" t="str">
        <f t="shared" si="24"/>
        <v>ГУТС</v>
      </c>
      <c r="U124" t="str">
        <f>""</f>
        <v/>
      </c>
      <c r="V124" t="str">
        <f t="shared" si="25"/>
        <v>Нет</v>
      </c>
      <c r="W124">
        <v>51.721023099999996</v>
      </c>
      <c r="X124">
        <v>36.137658879999996</v>
      </c>
      <c r="Y124" t="str">
        <f>"20000004559801"</f>
        <v>20000004559801</v>
      </c>
    </row>
    <row r="125" spans="1:25" x14ac:dyDescent="0.25">
      <c r="A125">
        <v>907</v>
      </c>
      <c r="B125" t="str">
        <f t="shared" si="21"/>
        <v>Курск</v>
      </c>
      <c r="C125">
        <v>440872</v>
      </c>
      <c r="D125" t="str">
        <f>"ГОК2.5.9.1 Курск, Вячеслава Клыкова Пр-Кт, 51 под3и4 п. 3"</f>
        <v>ГОК2.5.9.1 Курск, Вячеслава Клыкова Пр-Кт, 51 под3и4 п. 3</v>
      </c>
      <c r="E125" t="str">
        <f t="shared" si="32"/>
        <v>КРС-8/16-SC</v>
      </c>
      <c r="F125" t="str">
        <f>"04.10.2012"</f>
        <v>04.10.2012</v>
      </c>
      <c r="G125" t="str">
        <f>""</f>
        <v/>
      </c>
      <c r="H125" t="str">
        <f>"ГОК2.5.9.1"</f>
        <v>ГОК2.5.9.1</v>
      </c>
      <c r="I125" t="str">
        <f>"ДШ (под. 3, ОУ№ 1)"</f>
        <v>ДШ (под. 3, ОУ№ 1)</v>
      </c>
      <c r="J125" t="str">
        <f>"Курск, Вячеслава Клыкова Пр-Кт, 51 под3и4"</f>
        <v>Курск, Вячеслава Клыкова Пр-Кт, 51 под3и4</v>
      </c>
      <c r="K125" t="str">
        <f>"Чердак"</f>
        <v>Чердак</v>
      </c>
      <c r="L125" t="str">
        <f>"04-OCT-12"</f>
        <v>04-OCT-12</v>
      </c>
      <c r="M125">
        <v>150555</v>
      </c>
      <c r="N125" t="str">
        <f>""</f>
        <v/>
      </c>
      <c r="O125" t="str">
        <f>"HSH-150555"</f>
        <v>HSH-150555</v>
      </c>
      <c r="P125" t="str">
        <f t="shared" si="22"/>
        <v>Нет</v>
      </c>
      <c r="Q125" t="str">
        <f>"КСК00000000000000250"</f>
        <v>КСК00000000000000250</v>
      </c>
      <c r="R125" t="str">
        <f>"ГОК2.5.4 СМ2.5"</f>
        <v>ГОК2.5.4 СМ2.5</v>
      </c>
      <c r="S125" t="str">
        <f t="shared" si="23"/>
        <v>Основной</v>
      </c>
      <c r="T125" t="str">
        <f t="shared" si="24"/>
        <v>ГУТС</v>
      </c>
      <c r="U125" t="str">
        <f>""</f>
        <v/>
      </c>
      <c r="V125" t="str">
        <f t="shared" si="25"/>
        <v>Нет</v>
      </c>
      <c r="W125">
        <v>51.720958299999999</v>
      </c>
      <c r="X125">
        <v>36.132232780000002</v>
      </c>
      <c r="Y125" t="str">
        <f>"20000004559802"</f>
        <v>20000004559802</v>
      </c>
    </row>
    <row r="126" spans="1:25" x14ac:dyDescent="0.25">
      <c r="A126">
        <v>907</v>
      </c>
      <c r="B126" t="str">
        <f t="shared" si="21"/>
        <v>Курск</v>
      </c>
      <c r="C126">
        <v>440885</v>
      </c>
      <c r="D126" t="str">
        <f>"ГОК2.5.5.1 Курск, Вячеслава Клыкова Пр-Кт, 1  п. 1"</f>
        <v>ГОК2.5.5.1 Курск, Вячеслава Клыкова Пр-Кт, 1  п. 1</v>
      </c>
      <c r="E126" t="str">
        <f t="shared" si="32"/>
        <v>КРС-8/16-SC</v>
      </c>
      <c r="F126" t="str">
        <f>"04.10.2012"</f>
        <v>04.10.2012</v>
      </c>
      <c r="G126" t="str">
        <f>""</f>
        <v/>
      </c>
      <c r="H126" t="str">
        <f>"ГОК2.5.5.1"</f>
        <v>ГОК2.5.5.1</v>
      </c>
      <c r="I126" t="str">
        <f>"ДШ (под. 1, ОУ№ 1)"</f>
        <v>ДШ (под. 1, ОУ№ 1)</v>
      </c>
      <c r="J126" t="str">
        <f>"Курск, Вячеслава Клыкова Пр-Кт, 1"</f>
        <v>Курск, Вячеслава Клыкова Пр-Кт, 1</v>
      </c>
      <c r="K126" t="str">
        <f>"Чердак"</f>
        <v>Чердак</v>
      </c>
      <c r="L126" t="str">
        <f>"04-OCT-12"</f>
        <v>04-OCT-12</v>
      </c>
      <c r="M126">
        <v>150556</v>
      </c>
      <c r="N126" t="str">
        <f>""</f>
        <v/>
      </c>
      <c r="O126" t="str">
        <f>"HSH-150556"</f>
        <v>HSH-150556</v>
      </c>
      <c r="P126" t="str">
        <f t="shared" si="22"/>
        <v>Нет</v>
      </c>
      <c r="Q126" t="str">
        <f>"КСК00000000000000316"</f>
        <v>КСК00000000000000316</v>
      </c>
      <c r="R126" t="str">
        <f>"ГОК2.5.5 МС2.5"</f>
        <v>ГОК2.5.5 МС2.5</v>
      </c>
      <c r="S126" t="str">
        <f t="shared" si="23"/>
        <v>Основной</v>
      </c>
      <c r="T126" t="str">
        <f t="shared" si="24"/>
        <v>ГУТС</v>
      </c>
      <c r="U126" t="str">
        <f>""</f>
        <v/>
      </c>
      <c r="V126" t="str">
        <f t="shared" si="25"/>
        <v>Нет</v>
      </c>
      <c r="W126">
        <v>51.723045849999998</v>
      </c>
      <c r="X126">
        <v>36.134247109999997</v>
      </c>
      <c r="Y126" t="str">
        <f>"20000004559803"</f>
        <v>20000004559803</v>
      </c>
    </row>
    <row r="127" spans="1:25" x14ac:dyDescent="0.25">
      <c r="A127">
        <v>907</v>
      </c>
      <c r="B127" t="str">
        <f t="shared" si="21"/>
        <v>Курск</v>
      </c>
      <c r="C127">
        <v>440898</v>
      </c>
      <c r="D127" t="str">
        <f>"ГОК2.5.4.1 Курск, Вячеслава Клыкова Пр-Кт, 51 под1и2 п. 2"</f>
        <v>ГОК2.5.4.1 Курск, Вячеслава Клыкова Пр-Кт, 51 под1и2 п. 2</v>
      </c>
      <c r="E127" t="str">
        <f t="shared" si="32"/>
        <v>КРС-8/16-SC</v>
      </c>
      <c r="F127" t="str">
        <f>"04.10.2012"</f>
        <v>04.10.2012</v>
      </c>
      <c r="G127" t="str">
        <f>""</f>
        <v/>
      </c>
      <c r="H127" t="str">
        <f>"ГОК2.5.4.1"</f>
        <v>ГОК2.5.4.1</v>
      </c>
      <c r="I127" t="str">
        <f>"ДШ (под. 2, ОУ№ 1)"</f>
        <v>ДШ (под. 2, ОУ№ 1)</v>
      </c>
      <c r="J127" t="str">
        <f>"Курск, Вячеслава Клыкова Пр-Кт, 51 под1и2"</f>
        <v>Курск, Вячеслава Клыкова Пр-Кт, 51 под1и2</v>
      </c>
      <c r="K127" t="str">
        <f>"Чердак"</f>
        <v>Чердак</v>
      </c>
      <c r="L127" t="str">
        <f>"04-OCT-12"</f>
        <v>04-OCT-12</v>
      </c>
      <c r="M127">
        <v>150557</v>
      </c>
      <c r="N127" t="str">
        <f>""</f>
        <v/>
      </c>
      <c r="O127" t="str">
        <f>"HSH-150557"</f>
        <v>HSH-150557</v>
      </c>
      <c r="P127" t="str">
        <f t="shared" si="22"/>
        <v>Нет</v>
      </c>
      <c r="Q127" t="str">
        <f>"КСК00000000000000249"</f>
        <v>КСК00000000000000249</v>
      </c>
      <c r="R127" t="str">
        <f>"ГОК2.5.9 МС2.5"</f>
        <v>ГОК2.5.9 МС2.5</v>
      </c>
      <c r="S127" t="str">
        <f t="shared" si="23"/>
        <v>Основной</v>
      </c>
      <c r="T127" t="str">
        <f t="shared" si="24"/>
        <v>ГУТС</v>
      </c>
      <c r="U127" t="str">
        <f>""</f>
        <v/>
      </c>
      <c r="V127" t="str">
        <f t="shared" si="25"/>
        <v>Нет</v>
      </c>
      <c r="W127">
        <v>51.721005040000001</v>
      </c>
      <c r="X127">
        <v>36.132172760000003</v>
      </c>
      <c r="Y127" t="str">
        <f>"20000004559804"</f>
        <v>20000004559804</v>
      </c>
    </row>
    <row r="128" spans="1:25" x14ac:dyDescent="0.25">
      <c r="A128">
        <v>907</v>
      </c>
      <c r="B128" t="str">
        <f t="shared" si="21"/>
        <v>Курск</v>
      </c>
      <c r="C128">
        <v>444661</v>
      </c>
      <c r="D128" t="str">
        <f>"ГОК4.1.1.1 Курск, Герцена, 3  п. 2"</f>
        <v>ГОК4.1.1.1 Курск, Герцена, 3  п. 2</v>
      </c>
      <c r="E128" t="str">
        <f t="shared" si="32"/>
        <v>КРС-8/16-SC</v>
      </c>
      <c r="F128" t="str">
        <f t="shared" ref="F128:F134" si="35">"09.10.2012"</f>
        <v>09.10.2012</v>
      </c>
      <c r="G128" t="str">
        <f>""</f>
        <v/>
      </c>
      <c r="H128" t="str">
        <f>"ГОК4.1.1.1"</f>
        <v>ГОК4.1.1.1</v>
      </c>
      <c r="I128" t="str">
        <f>"ДШ (под. 2, ОУ№ 1)"</f>
        <v>ДШ (под. 2, ОУ№ 1)</v>
      </c>
      <c r="J128" t="str">
        <f>"Курск, Герцена, 3"</f>
        <v>Курск, Герцена, 3</v>
      </c>
      <c r="K128" t="str">
        <f>"Подъезд"</f>
        <v>Подъезд</v>
      </c>
      <c r="L128" t="str">
        <f>"09-OCT-12"</f>
        <v>09-OCT-12</v>
      </c>
      <c r="M128">
        <v>150802</v>
      </c>
      <c r="N128" t="str">
        <f>""</f>
        <v/>
      </c>
      <c r="O128" t="str">
        <f>"HSH-150802"</f>
        <v>HSH-150802</v>
      </c>
      <c r="P128" t="str">
        <f t="shared" si="22"/>
        <v>Нет</v>
      </c>
      <c r="Q128" t="str">
        <f>"КСК00000000000000334"</f>
        <v>КСК00000000000000334</v>
      </c>
      <c r="R128" t="str">
        <f>"ГОК4.1.1 МС4.1"</f>
        <v>ГОК4.1.1 МС4.1</v>
      </c>
      <c r="S128" t="str">
        <f t="shared" si="23"/>
        <v>Основной</v>
      </c>
      <c r="T128" t="str">
        <f t="shared" si="24"/>
        <v>ГУТС</v>
      </c>
      <c r="U128" t="str">
        <f>""</f>
        <v/>
      </c>
      <c r="V128" t="str">
        <f t="shared" si="25"/>
        <v>Нет</v>
      </c>
      <c r="W128">
        <v>51.749089269999999</v>
      </c>
      <c r="X128">
        <v>36.242424960000001</v>
      </c>
      <c r="Y128" t="str">
        <f>"20000004559848"</f>
        <v>20000004559848</v>
      </c>
    </row>
    <row r="129" spans="1:25" x14ac:dyDescent="0.25">
      <c r="A129">
        <v>907</v>
      </c>
      <c r="B129" t="str">
        <f t="shared" si="21"/>
        <v>Курск</v>
      </c>
      <c r="C129">
        <v>444674</v>
      </c>
      <c r="D129" t="str">
        <f>"ГОК4.1.2.1 Курск, Парижской Коммуны, 42  п. 1"</f>
        <v>ГОК4.1.2.1 Курск, Парижской Коммуны, 42  п. 1</v>
      </c>
      <c r="E129" t="str">
        <f t="shared" si="32"/>
        <v>КРС-8/16-SC</v>
      </c>
      <c r="F129" t="str">
        <f t="shared" si="35"/>
        <v>09.10.2012</v>
      </c>
      <c r="G129" t="str">
        <f>""</f>
        <v/>
      </c>
      <c r="H129" t="str">
        <f>"ГОК4.1.2.1"</f>
        <v>ГОК4.1.2.1</v>
      </c>
      <c r="I129" t="str">
        <f>"ДШ (под. 1, ОУ№ 1)"</f>
        <v>ДШ (под. 1, ОУ№ 1)</v>
      </c>
      <c r="J129" t="str">
        <f>"Курск, Парижской Коммуны, 42"</f>
        <v>Курск, Парижской Коммуны, 42</v>
      </c>
      <c r="K129" t="str">
        <f>"Подъезд"</f>
        <v>Подъезд</v>
      </c>
      <c r="L129" t="str">
        <f>"09-OCT-12"</f>
        <v>09-OCT-12</v>
      </c>
      <c r="M129">
        <v>150803</v>
      </c>
      <c r="N129" t="str">
        <f>""</f>
        <v/>
      </c>
      <c r="O129" t="str">
        <f>"HSH-150803"</f>
        <v>HSH-150803</v>
      </c>
      <c r="P129" t="str">
        <f t="shared" si="22"/>
        <v>Нет</v>
      </c>
      <c r="Q129" t="str">
        <f>"КСК00000000000000355"</f>
        <v>КСК00000000000000355</v>
      </c>
      <c r="R129" t="str">
        <f>"ГОК4.1.2 МС4.1"</f>
        <v>ГОК4.1.2 МС4.1</v>
      </c>
      <c r="S129" t="str">
        <f t="shared" si="23"/>
        <v>Основной</v>
      </c>
      <c r="T129" t="str">
        <f t="shared" si="24"/>
        <v>ГУТС</v>
      </c>
      <c r="U129" t="str">
        <f>""</f>
        <v/>
      </c>
      <c r="V129" t="str">
        <f t="shared" si="25"/>
        <v>Нет</v>
      </c>
      <c r="W129">
        <v>51.752133829999998</v>
      </c>
      <c r="X129">
        <v>36.240107860000002</v>
      </c>
      <c r="Y129" t="str">
        <f>"20000004559849"</f>
        <v>20000004559849</v>
      </c>
    </row>
    <row r="130" spans="1:25" x14ac:dyDescent="0.25">
      <c r="A130">
        <v>907</v>
      </c>
      <c r="B130" t="str">
        <f t="shared" ref="B130:B193" si="36">"Курск"</f>
        <v>Курск</v>
      </c>
      <c r="C130">
        <v>444700</v>
      </c>
      <c r="D130" t="str">
        <f>"ГОК4.1.4.1 Курск, Союзная, 13  п. 2"</f>
        <v>ГОК4.1.4.1 Курск, Союзная, 13  п. 2</v>
      </c>
      <c r="E130" t="str">
        <f t="shared" si="32"/>
        <v>КРС-8/16-SC</v>
      </c>
      <c r="F130" t="str">
        <f t="shared" si="35"/>
        <v>09.10.2012</v>
      </c>
      <c r="G130" t="str">
        <f>""</f>
        <v/>
      </c>
      <c r="H130" t="str">
        <f>"ГОК4.1.4.1"</f>
        <v>ГОК4.1.4.1</v>
      </c>
      <c r="I130" t="str">
        <f>"ДШ (под. 2, ОУ№ 1)"</f>
        <v>ДШ (под. 2, ОУ№ 1)</v>
      </c>
      <c r="J130" t="str">
        <f>"Курск, Союзная, 13"</f>
        <v>Курск, Союзная, 13</v>
      </c>
      <c r="K130" t="str">
        <f>"Подъезд"</f>
        <v>Подъезд</v>
      </c>
      <c r="L130" t="str">
        <f>"09-OCT-12"</f>
        <v>09-OCT-12</v>
      </c>
      <c r="M130">
        <v>150805</v>
      </c>
      <c r="N130" t="str">
        <f>""</f>
        <v/>
      </c>
      <c r="O130" t="str">
        <f>"HSH-150805"</f>
        <v>HSH-150805</v>
      </c>
      <c r="P130" t="str">
        <f t="shared" ref="P130:P193" si="37">"Нет"</f>
        <v>Нет</v>
      </c>
      <c r="Q130" t="str">
        <f>"КСК00000000000000335"</f>
        <v>КСК00000000000000335</v>
      </c>
      <c r="R130" t="str">
        <f>"ГОК4.1.4 МС4.1"</f>
        <v>ГОК4.1.4 МС4.1</v>
      </c>
      <c r="S130" t="str">
        <f t="shared" ref="S130:S193" si="38">"Основной"</f>
        <v>Основной</v>
      </c>
      <c r="T130" t="str">
        <f t="shared" ref="T130:T193" si="39">"ГУТС"</f>
        <v>ГУТС</v>
      </c>
      <c r="U130" t="str">
        <f>""</f>
        <v/>
      </c>
      <c r="V130" t="str">
        <f t="shared" ref="V130:V193" si="40">"Нет"</f>
        <v>Нет</v>
      </c>
      <c r="W130">
        <v>51.746167398318001</v>
      </c>
      <c r="X130">
        <v>36.237680464983001</v>
      </c>
      <c r="Y130" t="str">
        <f>"20000004559851"</f>
        <v>20000004559851</v>
      </c>
    </row>
    <row r="131" spans="1:25" x14ac:dyDescent="0.25">
      <c r="A131">
        <v>907</v>
      </c>
      <c r="B131" t="str">
        <f t="shared" si="36"/>
        <v>Курск</v>
      </c>
      <c r="C131">
        <v>444726</v>
      </c>
      <c r="D131" t="str">
        <f>"ГОК4.1.6.1 Курск, Краснознаменная, 20 а п. 2"</f>
        <v>ГОК4.1.6.1 Курск, Краснознаменная, 20 а п. 2</v>
      </c>
      <c r="E131" t="str">
        <f t="shared" si="32"/>
        <v>КРС-8/16-SC</v>
      </c>
      <c r="F131" t="str">
        <f t="shared" si="35"/>
        <v>09.10.2012</v>
      </c>
      <c r="G131" t="str">
        <f>""</f>
        <v/>
      </c>
      <c r="H131" t="str">
        <f>"ГОК4.1.6.1"</f>
        <v>ГОК4.1.6.1</v>
      </c>
      <c r="I131" t="str">
        <f>"ДШ (под. 2, ОУ№ 1)"</f>
        <v>ДШ (под. 2, ОУ№ 1)</v>
      </c>
      <c r="J131" t="str">
        <f>"Курск, Краснознаменная, 20 а"</f>
        <v>Курск, Краснознаменная, 20 а</v>
      </c>
      <c r="K131" t="str">
        <f>"Подъезд"</f>
        <v>Подъезд</v>
      </c>
      <c r="L131" t="str">
        <f>"09-OCT-12"</f>
        <v>09-OCT-12</v>
      </c>
      <c r="M131">
        <v>150807</v>
      </c>
      <c r="N131" t="str">
        <f>""</f>
        <v/>
      </c>
      <c r="O131" t="str">
        <f>"HSH-150807"</f>
        <v>HSH-150807</v>
      </c>
      <c r="P131" t="str">
        <f t="shared" si="37"/>
        <v>Нет</v>
      </c>
      <c r="Q131" t="str">
        <f>"КСК00000000000000353"</f>
        <v>КСК00000000000000353</v>
      </c>
      <c r="R131" t="str">
        <f>"ГОК4.1.6 МС4.1"</f>
        <v>ГОК4.1.6 МС4.1</v>
      </c>
      <c r="S131" t="str">
        <f t="shared" si="38"/>
        <v>Основной</v>
      </c>
      <c r="T131" t="str">
        <f t="shared" si="39"/>
        <v>ГУТС</v>
      </c>
      <c r="U131" t="str">
        <f>""</f>
        <v/>
      </c>
      <c r="V131" t="str">
        <f t="shared" si="40"/>
        <v>Нет</v>
      </c>
      <c r="W131">
        <v>51.7444518830292</v>
      </c>
      <c r="X131">
        <v>36.2399791181087</v>
      </c>
      <c r="Y131" t="str">
        <f>"20000004559853"</f>
        <v>20000004559853</v>
      </c>
    </row>
    <row r="132" spans="1:25" x14ac:dyDescent="0.25">
      <c r="A132">
        <v>907</v>
      </c>
      <c r="B132" t="str">
        <f t="shared" si="36"/>
        <v>Курск</v>
      </c>
      <c r="C132">
        <v>444739</v>
      </c>
      <c r="D132" t="str">
        <f>"ГОК4.1.7.1 Курск, Краснознаменная, 16  п. 2"</f>
        <v>ГОК4.1.7.1 Курск, Краснознаменная, 16  п. 2</v>
      </c>
      <c r="E132" t="str">
        <f t="shared" si="32"/>
        <v>КРС-8/16-SC</v>
      </c>
      <c r="F132" t="str">
        <f t="shared" si="35"/>
        <v>09.10.2012</v>
      </c>
      <c r="G132" t="str">
        <f>""</f>
        <v/>
      </c>
      <c r="H132" t="str">
        <f>"ГОК4.1.7.1"</f>
        <v>ГОК4.1.7.1</v>
      </c>
      <c r="I132" t="str">
        <f>"ДШ (под. 2, ОУ№ 1)"</f>
        <v>ДШ (под. 2, ОУ№ 1)</v>
      </c>
      <c r="J132" t="str">
        <f>"Курск, Краснознаменная, 16"</f>
        <v>Курск, Краснознаменная, 16</v>
      </c>
      <c r="K132" t="str">
        <f>"Подвал"</f>
        <v>Подвал</v>
      </c>
      <c r="L132" t="str">
        <f>"09-OCT-12"</f>
        <v>09-OCT-12</v>
      </c>
      <c r="M132">
        <v>150808</v>
      </c>
      <c r="N132" t="str">
        <f>""</f>
        <v/>
      </c>
      <c r="O132" t="str">
        <f>"HSH-150808"</f>
        <v>HSH-150808</v>
      </c>
      <c r="P132" t="str">
        <f t="shared" si="37"/>
        <v>Нет</v>
      </c>
      <c r="Q132" t="str">
        <f>"КСК00000000000000435"</f>
        <v>КСК00000000000000435</v>
      </c>
      <c r="R132" t="str">
        <f>"ГОК4.1.7 МС4.1"</f>
        <v>ГОК4.1.7 МС4.1</v>
      </c>
      <c r="S132" t="str">
        <f t="shared" si="38"/>
        <v>Основной</v>
      </c>
      <c r="T132" t="str">
        <f t="shared" si="39"/>
        <v>ГУТС</v>
      </c>
      <c r="U132" t="str">
        <f>""</f>
        <v/>
      </c>
      <c r="V132" t="str">
        <f t="shared" si="40"/>
        <v>Нет</v>
      </c>
      <c r="W132">
        <v>51.7459930265534</v>
      </c>
      <c r="X132">
        <v>36.2407730519772</v>
      </c>
      <c r="Y132" t="str">
        <f>"20000004559854"</f>
        <v>20000004559854</v>
      </c>
    </row>
    <row r="133" spans="1:25" x14ac:dyDescent="0.25">
      <c r="A133">
        <v>907</v>
      </c>
      <c r="B133" t="str">
        <f t="shared" si="36"/>
        <v>Курск</v>
      </c>
      <c r="C133">
        <v>446545</v>
      </c>
      <c r="D133" t="str">
        <f>"OK4.1 ППК 2.6.3 Курск, 50 Лет Октября, 145  п. 3"</f>
        <v>OK4.1 ППК 2.6.3 Курск, 50 Лет Октября, 145  п. 3</v>
      </c>
      <c r="E133" t="str">
        <f t="shared" si="32"/>
        <v>КРС-8/16-SC</v>
      </c>
      <c r="F133" t="str">
        <f t="shared" si="35"/>
        <v>09.10.2012</v>
      </c>
      <c r="G133" t="str">
        <f>""</f>
        <v/>
      </c>
      <c r="H133" t="str">
        <f>"OK4.1 ППК 2.6.3"</f>
        <v>OK4.1 ППК 2.6.3</v>
      </c>
      <c r="I133" t="str">
        <f>"ДШ (под. 3, ОУ№ 4)"</f>
        <v>ДШ (под. 3, ОУ№ 4)</v>
      </c>
      <c r="J133" t="str">
        <f>"Курск, 50 Лет Октября, 145"</f>
        <v>Курск, 50 Лет Октября, 145</v>
      </c>
      <c r="K133" t="str">
        <f>"ДШ-1"</f>
        <v>ДШ-1</v>
      </c>
      <c r="L133" t="str">
        <f>"07-NOV-18"</f>
        <v>07-NOV-18</v>
      </c>
      <c r="M133">
        <v>151288</v>
      </c>
      <c r="N133" t="str">
        <f>""</f>
        <v/>
      </c>
      <c r="O133" t="str">
        <f>"HSH-151288"</f>
        <v>HSH-151288</v>
      </c>
      <c r="P133" t="str">
        <f t="shared" si="37"/>
        <v>Нет</v>
      </c>
      <c r="Q133" t="str">
        <f>"КСК00000000000000430"</f>
        <v>КСК00000000000000430</v>
      </c>
      <c r="R133" t="str">
        <f>""</f>
        <v/>
      </c>
      <c r="S133" t="str">
        <f t="shared" si="38"/>
        <v>Основной</v>
      </c>
      <c r="T133" t="str">
        <f t="shared" si="39"/>
        <v>ГУТС</v>
      </c>
      <c r="U133" t="str">
        <f>""</f>
        <v/>
      </c>
      <c r="V133" t="str">
        <f t="shared" si="40"/>
        <v>Нет</v>
      </c>
      <c r="W133">
        <v>51.737726070000001</v>
      </c>
      <c r="X133">
        <v>36.15156382</v>
      </c>
      <c r="Y133" t="str">
        <f>"20000004560195"</f>
        <v>20000004560195</v>
      </c>
    </row>
    <row r="134" spans="1:25" x14ac:dyDescent="0.25">
      <c r="A134">
        <v>907</v>
      </c>
      <c r="B134" t="str">
        <f t="shared" si="36"/>
        <v>Курск</v>
      </c>
      <c r="C134">
        <v>446571</v>
      </c>
      <c r="D134" t="str">
        <f>"OK6.1 ППК 2.6.3 Курск, 50 Лет Октября, 147 а п. 2"</f>
        <v>OK6.1 ППК 2.6.3 Курск, 50 Лет Октября, 147 а п. 2</v>
      </c>
      <c r="E134" t="str">
        <f t="shared" ref="E134:E159" si="41">"КРС-8/16-SC"</f>
        <v>КРС-8/16-SC</v>
      </c>
      <c r="F134" t="str">
        <f t="shared" si="35"/>
        <v>09.10.2012</v>
      </c>
      <c r="G134" t="str">
        <f>""</f>
        <v/>
      </c>
      <c r="H134" t="str">
        <f>"OK6.1 ППК 2.6.3"</f>
        <v>OK6.1 ППК 2.6.3</v>
      </c>
      <c r="I134" t="str">
        <f>"ДШ (под. 2, ОУ№ 6)"</f>
        <v>ДШ (под. 2, ОУ№ 6)</v>
      </c>
      <c r="J134" t="str">
        <f>"Курск, 50 Лет Октября, 147 а"</f>
        <v>Курск, 50 Лет Октября, 147 а</v>
      </c>
      <c r="K134" t="str">
        <f>"ДШ-2"</f>
        <v>ДШ-2</v>
      </c>
      <c r="L134" t="str">
        <f>"03-NOV-16"</f>
        <v>03-NOV-16</v>
      </c>
      <c r="M134">
        <v>151318</v>
      </c>
      <c r="N134" t="str">
        <f>""</f>
        <v/>
      </c>
      <c r="O134" t="str">
        <f>"HSH-151318"</f>
        <v>HSH-151318</v>
      </c>
      <c r="P134" t="str">
        <f t="shared" si="37"/>
        <v>Нет</v>
      </c>
      <c r="Q134" t="str">
        <f>"КСК00000000000000430"</f>
        <v>КСК00000000000000430</v>
      </c>
      <c r="R134" t="str">
        <f>""</f>
        <v/>
      </c>
      <c r="S134" t="str">
        <f t="shared" si="38"/>
        <v>Основной</v>
      </c>
      <c r="T134" t="str">
        <f t="shared" si="39"/>
        <v>ГУТС</v>
      </c>
      <c r="U134" t="str">
        <f>""</f>
        <v/>
      </c>
      <c r="V134" t="str">
        <f t="shared" si="40"/>
        <v>Нет</v>
      </c>
      <c r="W134">
        <v>51.7379988</v>
      </c>
      <c r="X134">
        <v>36.152883469999999</v>
      </c>
      <c r="Y134" t="str">
        <f>"20000004560227"</f>
        <v>20000004560227</v>
      </c>
    </row>
    <row r="135" spans="1:25" x14ac:dyDescent="0.25">
      <c r="A135">
        <v>907</v>
      </c>
      <c r="B135" t="str">
        <f t="shared" si="36"/>
        <v>Курск</v>
      </c>
      <c r="C135">
        <v>447857</v>
      </c>
      <c r="D135" t="str">
        <f>"ГОК5.5.1.1 Курск, Менделеева, 49  п. 2"</f>
        <v>ГОК5.5.1.1 Курск, Менделеева, 49  п. 2</v>
      </c>
      <c r="E135" t="str">
        <f t="shared" si="41"/>
        <v>КРС-8/16-SC</v>
      </c>
      <c r="F135" t="str">
        <f t="shared" ref="F135:F142" si="42">"11.10.2012"</f>
        <v>11.10.2012</v>
      </c>
      <c r="G135" t="str">
        <f>""</f>
        <v/>
      </c>
      <c r="H135" t="str">
        <f>"ГОК5.5.1.1"</f>
        <v>ГОК5.5.1.1</v>
      </c>
      <c r="I135" t="str">
        <f>"ДШ (под. 2, ОУ№ 1)"</f>
        <v>ДШ (под. 2, ОУ№ 1)</v>
      </c>
      <c r="J135" t="str">
        <f>"Курск, Менделеева, 49"</f>
        <v>Курск, Менделеева, 49</v>
      </c>
      <c r="K135" t="str">
        <f t="shared" ref="K135:K140" si="43">"Подъезд"</f>
        <v>Подъезд</v>
      </c>
      <c r="L135" t="str">
        <f t="shared" ref="L135:L141" si="44">"11-OCT-12"</f>
        <v>11-OCT-12</v>
      </c>
      <c r="M135">
        <v>151602</v>
      </c>
      <c r="N135" t="str">
        <f>""</f>
        <v/>
      </c>
      <c r="O135" t="str">
        <f>"HSH-151602"</f>
        <v>HSH-151602</v>
      </c>
      <c r="P135" t="str">
        <f t="shared" si="37"/>
        <v>Нет</v>
      </c>
      <c r="Q135" t="str">
        <f>"КСК00000000000000330"</f>
        <v>КСК00000000000000330</v>
      </c>
      <c r="R135" t="str">
        <f>"ГОК5.5.1 МС5.5"</f>
        <v>ГОК5.5.1 МС5.5</v>
      </c>
      <c r="S135" t="str">
        <f t="shared" si="38"/>
        <v>Основной</v>
      </c>
      <c r="T135" t="str">
        <f t="shared" si="39"/>
        <v>ГУТС</v>
      </c>
      <c r="U135" t="str">
        <f>""</f>
        <v/>
      </c>
      <c r="V135" t="str">
        <f t="shared" si="40"/>
        <v>Нет</v>
      </c>
      <c r="W135">
        <v>51.669442016417698</v>
      </c>
      <c r="X135">
        <v>36.073002219200099</v>
      </c>
      <c r="Y135" t="str">
        <f>"20000004560414"</f>
        <v>20000004560414</v>
      </c>
    </row>
    <row r="136" spans="1:25" x14ac:dyDescent="0.25">
      <c r="A136">
        <v>907</v>
      </c>
      <c r="B136" t="str">
        <f t="shared" si="36"/>
        <v>Курск</v>
      </c>
      <c r="C136">
        <v>447870</v>
      </c>
      <c r="D136" t="str">
        <f>"ГОК5.5.2.1 Курск, Крюкова, 10  п. 2"</f>
        <v>ГОК5.5.2.1 Курск, Крюкова, 10  п. 2</v>
      </c>
      <c r="E136" t="str">
        <f t="shared" si="41"/>
        <v>КРС-8/16-SC</v>
      </c>
      <c r="F136" t="str">
        <f t="shared" si="42"/>
        <v>11.10.2012</v>
      </c>
      <c r="G136" t="str">
        <f>""</f>
        <v/>
      </c>
      <c r="H136" t="str">
        <f>"ГОК5.5.2.1"</f>
        <v>ГОК5.5.2.1</v>
      </c>
      <c r="I136" t="str">
        <f>"ДШ (под. 2, ОУ№ 1)"</f>
        <v>ДШ (под. 2, ОУ№ 1)</v>
      </c>
      <c r="J136" t="str">
        <f>"Курск, Крюкова, 10"</f>
        <v>Курск, Крюкова, 10</v>
      </c>
      <c r="K136" t="str">
        <f t="shared" si="43"/>
        <v>Подъезд</v>
      </c>
      <c r="L136" t="str">
        <f t="shared" si="44"/>
        <v>11-OCT-12</v>
      </c>
      <c r="M136">
        <v>151603</v>
      </c>
      <c r="N136" t="str">
        <f>""</f>
        <v/>
      </c>
      <c r="O136" t="str">
        <f>"HSH-151603"</f>
        <v>HSH-151603</v>
      </c>
      <c r="P136" t="str">
        <f t="shared" si="37"/>
        <v>Нет</v>
      </c>
      <c r="Q136" t="str">
        <f>"КСК00000000000000306"</f>
        <v>КСК00000000000000306</v>
      </c>
      <c r="R136" t="str">
        <f>"ГОК5.5.2 МС5.5"</f>
        <v>ГОК5.5.2 МС5.5</v>
      </c>
      <c r="S136" t="str">
        <f t="shared" si="38"/>
        <v>Основной</v>
      </c>
      <c r="T136" t="str">
        <f t="shared" si="39"/>
        <v>ГУТС</v>
      </c>
      <c r="U136" t="str">
        <f>""</f>
        <v/>
      </c>
      <c r="V136" t="str">
        <f t="shared" si="40"/>
        <v>Нет</v>
      </c>
      <c r="W136">
        <v>51.670639720087003</v>
      </c>
      <c r="X136">
        <v>36.072052717208898</v>
      </c>
      <c r="Y136" t="str">
        <f>"20000004560415"</f>
        <v>20000004560415</v>
      </c>
    </row>
    <row r="137" spans="1:25" x14ac:dyDescent="0.25">
      <c r="A137">
        <v>907</v>
      </c>
      <c r="B137" t="str">
        <f t="shared" si="36"/>
        <v>Курск</v>
      </c>
      <c r="C137">
        <v>447883</v>
      </c>
      <c r="D137" t="str">
        <f>"ГОК5.5.3.1 Курск, Крюкова, 18  п. 2"</f>
        <v>ГОК5.5.3.1 Курск, Крюкова, 18  п. 2</v>
      </c>
      <c r="E137" t="str">
        <f t="shared" si="41"/>
        <v>КРС-8/16-SC</v>
      </c>
      <c r="F137" t="str">
        <f t="shared" si="42"/>
        <v>11.10.2012</v>
      </c>
      <c r="G137" t="str">
        <f>""</f>
        <v/>
      </c>
      <c r="H137" t="str">
        <f>"ГОК5.5.3.1"</f>
        <v>ГОК5.5.3.1</v>
      </c>
      <c r="I137" t="str">
        <f>"ДШ (под. 2, ОУ№ 1)"</f>
        <v>ДШ (под. 2, ОУ№ 1)</v>
      </c>
      <c r="J137" t="str">
        <f>"Курск, Крюкова, 18"</f>
        <v>Курск, Крюкова, 18</v>
      </c>
      <c r="K137" t="str">
        <f t="shared" si="43"/>
        <v>Подъезд</v>
      </c>
      <c r="L137" t="str">
        <f t="shared" si="44"/>
        <v>11-OCT-12</v>
      </c>
      <c r="M137">
        <v>151604</v>
      </c>
      <c r="N137" t="str">
        <f>""</f>
        <v/>
      </c>
      <c r="O137" t="str">
        <f>"HSH-151604"</f>
        <v>HSH-151604</v>
      </c>
      <c r="P137" t="str">
        <f t="shared" si="37"/>
        <v>Нет</v>
      </c>
      <c r="Q137" t="str">
        <f>"КСК00000000000000308"</f>
        <v>КСК00000000000000308</v>
      </c>
      <c r="R137" t="str">
        <f>"ГОК5.5.3 МС5.5"</f>
        <v>ГОК5.5.3 МС5.5</v>
      </c>
      <c r="S137" t="str">
        <f t="shared" si="38"/>
        <v>Основной</v>
      </c>
      <c r="T137" t="str">
        <f t="shared" si="39"/>
        <v>ГУТС</v>
      </c>
      <c r="U137" t="str">
        <f>""</f>
        <v/>
      </c>
      <c r="V137" t="str">
        <f t="shared" si="40"/>
        <v>Нет</v>
      </c>
      <c r="W137">
        <v>51.673119864078899</v>
      </c>
      <c r="X137">
        <v>36.069265902042403</v>
      </c>
      <c r="Y137" t="str">
        <f>"20000004560416"</f>
        <v>20000004560416</v>
      </c>
    </row>
    <row r="138" spans="1:25" x14ac:dyDescent="0.25">
      <c r="A138">
        <v>907</v>
      </c>
      <c r="B138" t="str">
        <f t="shared" si="36"/>
        <v>Курск</v>
      </c>
      <c r="C138">
        <v>447896</v>
      </c>
      <c r="D138" t="str">
        <f>"ГОК5.5.4.1 Курск, Крюкова, 16  п. 4"</f>
        <v>ГОК5.5.4.1 Курск, Крюкова, 16  п. 4</v>
      </c>
      <c r="E138" t="str">
        <f t="shared" si="41"/>
        <v>КРС-8/16-SC</v>
      </c>
      <c r="F138" t="str">
        <f t="shared" si="42"/>
        <v>11.10.2012</v>
      </c>
      <c r="G138" t="str">
        <f>""</f>
        <v/>
      </c>
      <c r="H138" t="str">
        <f>"ГОК5.5.4.1"</f>
        <v>ГОК5.5.4.1</v>
      </c>
      <c r="I138" t="str">
        <f>"ДШ (под. 4, ОУ№ 1)"</f>
        <v>ДШ (под. 4, ОУ№ 1)</v>
      </c>
      <c r="J138" t="str">
        <f>"Курск, Крюкова, 16"</f>
        <v>Курск, Крюкова, 16</v>
      </c>
      <c r="K138" t="str">
        <f t="shared" si="43"/>
        <v>Подъезд</v>
      </c>
      <c r="L138" t="str">
        <f t="shared" si="44"/>
        <v>11-OCT-12</v>
      </c>
      <c r="M138">
        <v>151605</v>
      </c>
      <c r="N138" t="str">
        <f>""</f>
        <v/>
      </c>
      <c r="O138" t="str">
        <f>"HSH-151605"</f>
        <v>HSH-151605</v>
      </c>
      <c r="P138" t="str">
        <f t="shared" si="37"/>
        <v>Нет</v>
      </c>
      <c r="Q138" t="str">
        <f>"КСК00000000000000307"</f>
        <v>КСК00000000000000307</v>
      </c>
      <c r="R138" t="str">
        <f>"ГОК5.5.4 МС5.5"</f>
        <v>ГОК5.5.4 МС5.5</v>
      </c>
      <c r="S138" t="str">
        <f t="shared" si="38"/>
        <v>Основной</v>
      </c>
      <c r="T138" t="str">
        <f t="shared" si="39"/>
        <v>ГУТС</v>
      </c>
      <c r="U138" t="str">
        <f>""</f>
        <v/>
      </c>
      <c r="V138" t="str">
        <f t="shared" si="40"/>
        <v>Нет</v>
      </c>
      <c r="W138">
        <v>51.67233474935</v>
      </c>
      <c r="X138">
        <v>36.070102751255</v>
      </c>
      <c r="Y138" t="str">
        <f>"20000004560417"</f>
        <v>20000004560417</v>
      </c>
    </row>
    <row r="139" spans="1:25" x14ac:dyDescent="0.25">
      <c r="A139">
        <v>907</v>
      </c>
      <c r="B139" t="str">
        <f t="shared" si="36"/>
        <v>Курск</v>
      </c>
      <c r="C139">
        <v>447909</v>
      </c>
      <c r="D139" t="str">
        <f>"ГОК5.5.5.1 Курск, Менделеева, 61  п. 5"</f>
        <v>ГОК5.5.5.1 Курск, Менделеева, 61  п. 5</v>
      </c>
      <c r="E139" t="str">
        <f t="shared" si="41"/>
        <v>КРС-8/16-SC</v>
      </c>
      <c r="F139" t="str">
        <f t="shared" si="42"/>
        <v>11.10.2012</v>
      </c>
      <c r="G139" t="str">
        <f>""</f>
        <v/>
      </c>
      <c r="H139" t="str">
        <f>"ГОК5.5.5.1"</f>
        <v>ГОК5.5.5.1</v>
      </c>
      <c r="I139" t="str">
        <f>"ДШ (под. 5, ОУ№ 1)"</f>
        <v>ДШ (под. 5, ОУ№ 1)</v>
      </c>
      <c r="J139" t="str">
        <f>"Курск, Менделеева, 61"</f>
        <v>Курск, Менделеева, 61</v>
      </c>
      <c r="K139" t="str">
        <f t="shared" si="43"/>
        <v>Подъезд</v>
      </c>
      <c r="L139" t="str">
        <f t="shared" si="44"/>
        <v>11-OCT-12</v>
      </c>
      <c r="M139">
        <v>151606</v>
      </c>
      <c r="N139" t="str">
        <f>""</f>
        <v/>
      </c>
      <c r="O139" t="str">
        <f>"HSH-151606"</f>
        <v>HSH-151606</v>
      </c>
      <c r="P139" t="str">
        <f t="shared" si="37"/>
        <v>Нет</v>
      </c>
      <c r="Q139" t="str">
        <f>"КСК00000000000000309"</f>
        <v>КСК00000000000000309</v>
      </c>
      <c r="R139" t="str">
        <f>"ГОК5.5.5 МС5.5."</f>
        <v>ГОК5.5.5 МС5.5.</v>
      </c>
      <c r="S139" t="str">
        <f t="shared" si="38"/>
        <v>Основной</v>
      </c>
      <c r="T139" t="str">
        <f t="shared" si="39"/>
        <v>ГУТС</v>
      </c>
      <c r="U139" t="str">
        <f>""</f>
        <v/>
      </c>
      <c r="V139" t="str">
        <f t="shared" si="40"/>
        <v>Нет</v>
      </c>
      <c r="W139">
        <v>51.668510447225501</v>
      </c>
      <c r="X139">
        <v>36.0671362280846</v>
      </c>
      <c r="Y139" t="str">
        <f>"20000004560418"</f>
        <v>20000004560418</v>
      </c>
    </row>
    <row r="140" spans="1:25" x14ac:dyDescent="0.25">
      <c r="A140">
        <v>907</v>
      </c>
      <c r="B140" t="str">
        <f t="shared" si="36"/>
        <v>Курск</v>
      </c>
      <c r="C140">
        <v>447922</v>
      </c>
      <c r="D140" t="str">
        <f>"ГОК5.5.6.1 Курск, Менделеева, 65 а п. 2"</f>
        <v>ГОК5.5.6.1 Курск, Менделеева, 65 а п. 2</v>
      </c>
      <c r="E140" t="str">
        <f t="shared" si="41"/>
        <v>КРС-8/16-SC</v>
      </c>
      <c r="F140" t="str">
        <f t="shared" si="42"/>
        <v>11.10.2012</v>
      </c>
      <c r="G140" t="str">
        <f>""</f>
        <v/>
      </c>
      <c r="H140" t="str">
        <f>"ГОК5.5.6.1"</f>
        <v>ГОК5.5.6.1</v>
      </c>
      <c r="I140" t="str">
        <f>"ДШ (под. 2, ОУ№ 1)"</f>
        <v>ДШ (под. 2, ОУ№ 1)</v>
      </c>
      <c r="J140" t="str">
        <f>"Курск, Менделеева, 65 а"</f>
        <v>Курск, Менделеева, 65 а</v>
      </c>
      <c r="K140" t="str">
        <f t="shared" si="43"/>
        <v>Подъезд</v>
      </c>
      <c r="L140" t="str">
        <f t="shared" si="44"/>
        <v>11-OCT-12</v>
      </c>
      <c r="M140">
        <v>151607</v>
      </c>
      <c r="N140" t="str">
        <f>""</f>
        <v/>
      </c>
      <c r="O140" t="str">
        <f>"HSH-151607"</f>
        <v>HSH-151607</v>
      </c>
      <c r="P140" t="str">
        <f t="shared" si="37"/>
        <v>Нет</v>
      </c>
      <c r="Q140" t="str">
        <f>"КСК00000000000000314"</f>
        <v>КСК00000000000000314</v>
      </c>
      <c r="R140" t="str">
        <f>"ГОК5.5.6 МС5.5"</f>
        <v>ГОК5.5.6 МС5.5</v>
      </c>
      <c r="S140" t="str">
        <f t="shared" si="38"/>
        <v>Основной</v>
      </c>
      <c r="T140" t="str">
        <f t="shared" si="39"/>
        <v>ГУТС</v>
      </c>
      <c r="U140" t="str">
        <f>""</f>
        <v/>
      </c>
      <c r="V140" t="str">
        <f t="shared" si="40"/>
        <v>Нет</v>
      </c>
      <c r="W140">
        <v>51.667252798427597</v>
      </c>
      <c r="X140">
        <v>36.0665675997734</v>
      </c>
      <c r="Y140" t="str">
        <f>"20000004560419"</f>
        <v>20000004560419</v>
      </c>
    </row>
    <row r="141" spans="1:25" x14ac:dyDescent="0.25">
      <c r="A141">
        <v>907</v>
      </c>
      <c r="B141" t="str">
        <f t="shared" si="36"/>
        <v>Курск</v>
      </c>
      <c r="C141">
        <v>447935</v>
      </c>
      <c r="D141" t="str">
        <f>"ГОК5.5.7.1 Курск, Менделеева, 73  п. 3"</f>
        <v>ГОК5.5.7.1 Курск, Менделеева, 73  п. 3</v>
      </c>
      <c r="E141" t="str">
        <f t="shared" si="41"/>
        <v>КРС-8/16-SC</v>
      </c>
      <c r="F141" t="str">
        <f t="shared" si="42"/>
        <v>11.10.2012</v>
      </c>
      <c r="G141" t="str">
        <f>""</f>
        <v/>
      </c>
      <c r="H141" t="str">
        <f>"ГОК5.5.7.1"</f>
        <v>ГОК5.5.7.1</v>
      </c>
      <c r="I141" t="str">
        <f>"ДШ (под. 3, ОУ№ 1)"</f>
        <v>ДШ (под. 3, ОУ№ 1)</v>
      </c>
      <c r="J141" t="str">
        <f>"Курск, Менделеева, 73"</f>
        <v>Курск, Менделеева, 73</v>
      </c>
      <c r="K141" t="str">
        <f>"Чердак"</f>
        <v>Чердак</v>
      </c>
      <c r="L141" t="str">
        <f t="shared" si="44"/>
        <v>11-OCT-12</v>
      </c>
      <c r="M141">
        <v>151608</v>
      </c>
      <c r="N141" t="str">
        <f>""</f>
        <v/>
      </c>
      <c r="O141" t="str">
        <f>"HSH-151608"</f>
        <v>HSH-151608</v>
      </c>
      <c r="P141" t="str">
        <f t="shared" si="37"/>
        <v>Нет</v>
      </c>
      <c r="Q141" t="str">
        <f>"КСК00000000000000312"</f>
        <v>КСК00000000000000312</v>
      </c>
      <c r="R141" t="str">
        <f>"ГОК5.5.7 МС5.5"</f>
        <v>ГОК5.5.7 МС5.5</v>
      </c>
      <c r="S141" t="str">
        <f t="shared" si="38"/>
        <v>Основной</v>
      </c>
      <c r="T141" t="str">
        <f t="shared" si="39"/>
        <v>ГУТС</v>
      </c>
      <c r="U141" t="str">
        <f>""</f>
        <v/>
      </c>
      <c r="V141" t="str">
        <f t="shared" si="40"/>
        <v>Нет</v>
      </c>
      <c r="W141">
        <v>51.6662646213071</v>
      </c>
      <c r="X141">
        <v>36.065612733364098</v>
      </c>
      <c r="Y141" t="str">
        <f>"20000004560420"</f>
        <v>20000004560420</v>
      </c>
    </row>
    <row r="142" spans="1:25" x14ac:dyDescent="0.25">
      <c r="A142">
        <v>907</v>
      </c>
      <c r="B142" t="str">
        <f t="shared" si="36"/>
        <v>Курск</v>
      </c>
      <c r="C142">
        <v>447948</v>
      </c>
      <c r="D142" t="str">
        <f>"ГОК5.5.8.1 Курск, Ленинского Комсомола Пр-Кт, 105  п. 1"</f>
        <v>ГОК5.5.8.1 Курск, Ленинского Комсомола Пр-Кт, 105  п. 1</v>
      </c>
      <c r="E142" t="str">
        <f t="shared" si="41"/>
        <v>КРС-8/16-SC</v>
      </c>
      <c r="F142" t="str">
        <f t="shared" si="42"/>
        <v>11.10.2012</v>
      </c>
      <c r="G142" t="str">
        <f>""</f>
        <v/>
      </c>
      <c r="H142" t="str">
        <f>"ГОК5.5.8.1"</f>
        <v>ГОК5.5.8.1</v>
      </c>
      <c r="I142" t="str">
        <f>"ДШ (под. 1, ОУ№ 1)"</f>
        <v>ДШ (под. 1, ОУ№ 1)</v>
      </c>
      <c r="J142" t="str">
        <f>"Курск, Ленинского Комсомола Пр-Кт, 105"</f>
        <v>Курск, Ленинского Комсомола Пр-Кт, 105</v>
      </c>
      <c r="K142" t="str">
        <f>"Чердак"</f>
        <v>Чердак</v>
      </c>
      <c r="L142" t="str">
        <f>"10-NOV-12"</f>
        <v>10-NOV-12</v>
      </c>
      <c r="M142">
        <v>151609</v>
      </c>
      <c r="N142" t="str">
        <f>""</f>
        <v/>
      </c>
      <c r="O142" t="str">
        <f>"HSH-151609"</f>
        <v>HSH-151609</v>
      </c>
      <c r="P142" t="str">
        <f t="shared" si="37"/>
        <v>Нет</v>
      </c>
      <c r="Q142" t="str">
        <f>"КСК00000000000000313"</f>
        <v>КСК00000000000000313</v>
      </c>
      <c r="R142" t="str">
        <f>"ГОК5.5.8 МС5.5"</f>
        <v>ГОК5.5.8 МС5.5</v>
      </c>
      <c r="S142" t="str">
        <f t="shared" si="38"/>
        <v>Основной</v>
      </c>
      <c r="T142" t="str">
        <f t="shared" si="39"/>
        <v>ГУТС</v>
      </c>
      <c r="U142" t="str">
        <f>""</f>
        <v/>
      </c>
      <c r="V142" t="str">
        <f t="shared" si="40"/>
        <v>Нет</v>
      </c>
      <c r="W142">
        <v>51.665036221722403</v>
      </c>
      <c r="X142">
        <v>36.068007643035799</v>
      </c>
      <c r="Y142" t="str">
        <f>"20000004560421"</f>
        <v>20000004560421</v>
      </c>
    </row>
    <row r="143" spans="1:25" x14ac:dyDescent="0.25">
      <c r="A143">
        <v>907</v>
      </c>
      <c r="B143" t="str">
        <f t="shared" si="36"/>
        <v>Курск</v>
      </c>
      <c r="C143">
        <v>450246</v>
      </c>
      <c r="D143" t="str">
        <f>"ГОК2.6.3.1 Курск, 50 Лет Октября, 155 б п. 2"</f>
        <v>ГОК2.6.3.1 Курск, 50 Лет Октября, 155 б п. 2</v>
      </c>
      <c r="E143" t="str">
        <f t="shared" si="41"/>
        <v>КРС-8/16-SC</v>
      </c>
      <c r="F143" t="str">
        <f>"12.10.2012"</f>
        <v>12.10.2012</v>
      </c>
      <c r="G143" t="str">
        <f>""</f>
        <v/>
      </c>
      <c r="H143" t="str">
        <f>"ГОК2.6.3.1"</f>
        <v>ГОК2.6.3.1</v>
      </c>
      <c r="I143" t="str">
        <f>"ДШ (под. 2, ОУ№ 1)"</f>
        <v>ДШ (под. 2, ОУ№ 1)</v>
      </c>
      <c r="J143" t="str">
        <f>"Курск, 50 Лет Октября, 155 б"</f>
        <v>Курск, 50 Лет Октября, 155 б</v>
      </c>
      <c r="K143" t="str">
        <f>"Чердак"</f>
        <v>Чердак</v>
      </c>
      <c r="L143" t="str">
        <f>"12-OCT-12"</f>
        <v>12-OCT-12</v>
      </c>
      <c r="M143">
        <v>151802</v>
      </c>
      <c r="N143" t="str">
        <f>""</f>
        <v/>
      </c>
      <c r="O143" t="str">
        <f>"HSH-151802"</f>
        <v>HSH-151802</v>
      </c>
      <c r="P143" t="str">
        <f t="shared" si="37"/>
        <v>Нет</v>
      </c>
      <c r="Q143" t="str">
        <f>"КСК00000000000000430"</f>
        <v>КСК00000000000000430</v>
      </c>
      <c r="R143" t="str">
        <f>"ГОК2.6.3 МС2.6"</f>
        <v>ГОК2.6.3 МС2.6</v>
      </c>
      <c r="S143" t="str">
        <f t="shared" si="38"/>
        <v>Основной</v>
      </c>
      <c r="T143" t="str">
        <f t="shared" si="39"/>
        <v>ГУТС</v>
      </c>
      <c r="U143" t="str">
        <f>""</f>
        <v/>
      </c>
      <c r="V143" t="str">
        <f t="shared" si="40"/>
        <v>Нет</v>
      </c>
      <c r="W143">
        <v>51.740413605147801</v>
      </c>
      <c r="X143">
        <v>36.150204241275802</v>
      </c>
      <c r="Y143" t="str">
        <f>"20000004560491"</f>
        <v>20000004560491</v>
      </c>
    </row>
    <row r="144" spans="1:25" x14ac:dyDescent="0.25">
      <c r="A144">
        <v>907</v>
      </c>
      <c r="B144" t="str">
        <f t="shared" si="36"/>
        <v>Курск</v>
      </c>
      <c r="C144">
        <v>450633</v>
      </c>
      <c r="D144" t="str">
        <f>"ГОК4.2.7.1 Курск, Республиканская, 50 д п. 1"</f>
        <v>ГОК4.2.7.1 Курск, Республиканская, 50 д п. 1</v>
      </c>
      <c r="E144" t="str">
        <f t="shared" si="41"/>
        <v>КРС-8/16-SC</v>
      </c>
      <c r="F144" t="str">
        <f>"12.10.2012"</f>
        <v>12.10.2012</v>
      </c>
      <c r="G144" t="str">
        <f>""</f>
        <v/>
      </c>
      <c r="H144" t="str">
        <f>"ГОК4.2.7.1"</f>
        <v>ГОК4.2.7.1</v>
      </c>
      <c r="I144" t="str">
        <f>"ДШ (под. 1, ОУ№ 1)"</f>
        <v>ДШ (под. 1, ОУ№ 1)</v>
      </c>
      <c r="J144" t="str">
        <f>"Курск, Республиканская, 50 д"</f>
        <v>Курск, Республиканская, 50 д</v>
      </c>
      <c r="K144" t="str">
        <f>"Подъезд"</f>
        <v>Подъезд</v>
      </c>
      <c r="L144" t="str">
        <f>"03-OCT-12"</f>
        <v>03-OCT-12</v>
      </c>
      <c r="M144">
        <v>151806</v>
      </c>
      <c r="N144" t="str">
        <f>""</f>
        <v/>
      </c>
      <c r="O144" t="str">
        <f>"HSH-151806"</f>
        <v>HSH-151806</v>
      </c>
      <c r="P144" t="str">
        <f t="shared" si="37"/>
        <v>Нет</v>
      </c>
      <c r="Q144" t="str">
        <f>"КСК00000000000000404"</f>
        <v>КСК00000000000000404</v>
      </c>
      <c r="R144" t="str">
        <f>"ГОК4.2.7 МС4.2"</f>
        <v>ГОК4.2.7 МС4.2</v>
      </c>
      <c r="S144" t="str">
        <f t="shared" si="38"/>
        <v>Основной</v>
      </c>
      <c r="T144" t="str">
        <f t="shared" si="39"/>
        <v>ГУТС</v>
      </c>
      <c r="U144" t="str">
        <f>""</f>
        <v/>
      </c>
      <c r="V144" t="str">
        <f t="shared" si="40"/>
        <v>Нет</v>
      </c>
      <c r="W144">
        <v>51.7419947464534</v>
      </c>
      <c r="X144">
        <v>36.258124262094498</v>
      </c>
      <c r="Y144" t="str">
        <f>"20000004560494"</f>
        <v>20000004560494</v>
      </c>
    </row>
    <row r="145" spans="1:25" x14ac:dyDescent="0.25">
      <c r="A145">
        <v>907</v>
      </c>
      <c r="B145" t="str">
        <f t="shared" si="36"/>
        <v>Курск</v>
      </c>
      <c r="C145">
        <v>453633</v>
      </c>
      <c r="D145" t="str">
        <f>"ГОК4.1.8.1 Курск, Союзная, 14 б п. 1"</f>
        <v>ГОК4.1.8.1 Курск, Союзная, 14 б п. 1</v>
      </c>
      <c r="E145" t="str">
        <f t="shared" si="41"/>
        <v>КРС-8/16-SC</v>
      </c>
      <c r="F145" t="str">
        <f>"16.10.2012"</f>
        <v>16.10.2012</v>
      </c>
      <c r="G145" t="str">
        <f>""</f>
        <v/>
      </c>
      <c r="H145" t="str">
        <f>"ГОК4.1.8.1"</f>
        <v>ГОК4.1.8.1</v>
      </c>
      <c r="I145" t="str">
        <f>"ДШ (под. 1, ОУ№ 1)"</f>
        <v>ДШ (под. 1, ОУ№ 1)</v>
      </c>
      <c r="J145" t="str">
        <f>"Курск, Союзная, 14 б"</f>
        <v>Курск, Союзная, 14 б</v>
      </c>
      <c r="K145" t="str">
        <f>"Подъезд"</f>
        <v>Подъезд</v>
      </c>
      <c r="L145" t="str">
        <f>"09-OCT-12"</f>
        <v>09-OCT-12</v>
      </c>
      <c r="M145">
        <v>152339</v>
      </c>
      <c r="N145" t="str">
        <f>""</f>
        <v/>
      </c>
      <c r="O145" t="str">
        <f>"HSH-152339"</f>
        <v>HSH-152339</v>
      </c>
      <c r="P145" t="str">
        <f t="shared" si="37"/>
        <v>Нет</v>
      </c>
      <c r="Q145" t="str">
        <f>"КСК00000000000000401"</f>
        <v>КСК00000000000000401</v>
      </c>
      <c r="R145" t="str">
        <f>"ГОК4.1.8 МС4.1"</f>
        <v>ГОК4.1.8 МС4.1</v>
      </c>
      <c r="S145" t="str">
        <f t="shared" si="38"/>
        <v>Основной</v>
      </c>
      <c r="T145" t="str">
        <f t="shared" si="39"/>
        <v>ГУТС</v>
      </c>
      <c r="U145" t="str">
        <f>""</f>
        <v/>
      </c>
      <c r="V145" t="str">
        <f t="shared" si="40"/>
        <v>Нет</v>
      </c>
      <c r="W145">
        <v>51.747835105692197</v>
      </c>
      <c r="X145">
        <v>36.243722140788996</v>
      </c>
      <c r="Y145" t="str">
        <f>"20000004560845"</f>
        <v>20000004560845</v>
      </c>
    </row>
    <row r="146" spans="1:25" x14ac:dyDescent="0.25">
      <c r="A146">
        <v>907</v>
      </c>
      <c r="B146" t="str">
        <f t="shared" si="36"/>
        <v>Курск</v>
      </c>
      <c r="C146">
        <v>453646</v>
      </c>
      <c r="D146" t="str">
        <f>"ГОК3.5.1.1 Курск, Островского, 4  п. 3"</f>
        <v>ГОК3.5.1.1 Курск, Островского, 4  п. 3</v>
      </c>
      <c r="E146" t="str">
        <f t="shared" si="41"/>
        <v>КРС-8/16-SC</v>
      </c>
      <c r="F146" t="str">
        <f>"16.10.2012"</f>
        <v>16.10.2012</v>
      </c>
      <c r="G146" t="str">
        <f>""</f>
        <v/>
      </c>
      <c r="H146" t="str">
        <f>"ГОК3.5.1.1"</f>
        <v>ГОК3.5.1.1</v>
      </c>
      <c r="I146" t="str">
        <f>"ДШ (под. 3, ОУ№ 1)"</f>
        <v>ДШ (под. 3, ОУ№ 1)</v>
      </c>
      <c r="J146" t="str">
        <f>"Курск, Островского, 4"</f>
        <v>Курск, Островского, 4</v>
      </c>
      <c r="K146" t="str">
        <f>"Подъезд"</f>
        <v>Подъезд</v>
      </c>
      <c r="L146" t="str">
        <f>"16-OCT-12"</f>
        <v>16-OCT-12</v>
      </c>
      <c r="M146">
        <v>152340</v>
      </c>
      <c r="N146" t="str">
        <f>""</f>
        <v/>
      </c>
      <c r="O146" t="str">
        <f>"HSH-152340"</f>
        <v>HSH-152340</v>
      </c>
      <c r="P146" t="str">
        <f t="shared" si="37"/>
        <v>Нет</v>
      </c>
      <c r="Q146" t="str">
        <f>"КСК00000000000000360"</f>
        <v>КСК00000000000000360</v>
      </c>
      <c r="R146" t="str">
        <f>"ГОК3.5.1 МС3.5"</f>
        <v>ГОК3.5.1 МС3.5</v>
      </c>
      <c r="S146" t="str">
        <f t="shared" si="38"/>
        <v>Основной</v>
      </c>
      <c r="T146" t="str">
        <f t="shared" si="39"/>
        <v>ГУТС</v>
      </c>
      <c r="U146" t="str">
        <f>""</f>
        <v/>
      </c>
      <c r="V146" t="str">
        <f t="shared" si="40"/>
        <v>Нет</v>
      </c>
      <c r="W146">
        <v>51.755581643965002</v>
      </c>
      <c r="X146">
        <v>36.211770996451399</v>
      </c>
      <c r="Y146" t="str">
        <f>"20000004560846"</f>
        <v>20000004560846</v>
      </c>
    </row>
    <row r="147" spans="1:25" x14ac:dyDescent="0.25">
      <c r="A147">
        <v>907</v>
      </c>
      <c r="B147" t="str">
        <f t="shared" si="36"/>
        <v>Курск</v>
      </c>
      <c r="C147">
        <v>457498</v>
      </c>
      <c r="D147" t="str">
        <f>"ОК346-1 ППК3.4.6 Курск, Ленина, 43  п. 1"</f>
        <v>ОК346-1 ППК3.4.6 Курск, Ленина, 43  п. 1</v>
      </c>
      <c r="E147" t="str">
        <f t="shared" si="41"/>
        <v>КРС-8/16-SC</v>
      </c>
      <c r="F147" t="str">
        <f>"22.10.2012"</f>
        <v>22.10.2012</v>
      </c>
      <c r="G147" t="str">
        <f>""</f>
        <v/>
      </c>
      <c r="H147" t="str">
        <f>"ОК346-1 ППК3.4.6"</f>
        <v>ОК346-1 ППК3.4.6</v>
      </c>
      <c r="I147" t="str">
        <f>"ДШ (под. 1, ОУ№ 346-1)"</f>
        <v>ДШ (под. 1, ОУ№ 346-1)</v>
      </c>
      <c r="J147" t="str">
        <f>"Курск, Ленина, 43"</f>
        <v>Курск, Ленина, 43</v>
      </c>
      <c r="K147" t="str">
        <f>"Офис"</f>
        <v>Офис</v>
      </c>
      <c r="L147" t="str">
        <f>"22-OCT-12"</f>
        <v>22-OCT-12</v>
      </c>
      <c r="M147">
        <v>153107</v>
      </c>
      <c r="N147" t="str">
        <f>""</f>
        <v/>
      </c>
      <c r="O147" t="str">
        <f>"HSH-153107"</f>
        <v>HSH-153107</v>
      </c>
      <c r="P147" t="str">
        <f t="shared" si="37"/>
        <v>Нет</v>
      </c>
      <c r="Q147" t="str">
        <f>"КСК00000000000000218"</f>
        <v>КСК00000000000000218</v>
      </c>
      <c r="R147" t="str">
        <f>""</f>
        <v/>
      </c>
      <c r="S147" t="str">
        <f t="shared" si="38"/>
        <v>Основной</v>
      </c>
      <c r="T147" t="str">
        <f t="shared" si="39"/>
        <v>ГУТС</v>
      </c>
      <c r="U147" t="str">
        <f>""</f>
        <v/>
      </c>
      <c r="V147" t="str">
        <f t="shared" si="40"/>
        <v>Нет</v>
      </c>
      <c r="W147">
        <v>51.738337639893899</v>
      </c>
      <c r="X147">
        <v>36.193921263031001</v>
      </c>
      <c r="Y147" t="str">
        <f>"20000004561245"</f>
        <v>20000004561245</v>
      </c>
    </row>
    <row r="148" spans="1:25" x14ac:dyDescent="0.25">
      <c r="A148">
        <v>907</v>
      </c>
      <c r="B148" t="str">
        <f t="shared" si="36"/>
        <v>Курск</v>
      </c>
      <c r="C148">
        <v>457511</v>
      </c>
      <c r="D148" t="str">
        <f>"ОК415-1 ППК4.1.5 Курск, Республиканская, 1 б п. 1"</f>
        <v>ОК415-1 ППК4.1.5 Курск, Республиканская, 1 б п. 1</v>
      </c>
      <c r="E148" t="str">
        <f t="shared" si="41"/>
        <v>КРС-8/16-SC</v>
      </c>
      <c r="F148" t="str">
        <f>"22.10.2012"</f>
        <v>22.10.2012</v>
      </c>
      <c r="G148" t="str">
        <f>""</f>
        <v/>
      </c>
      <c r="H148" t="str">
        <f>"ОК415-1 ППК4.1.5"</f>
        <v>ОК415-1 ППК4.1.5</v>
      </c>
      <c r="I148" t="str">
        <f>"ДШ (под. 1, ОУ№ 415-1)"</f>
        <v>ДШ (под. 1, ОУ№ 415-1)</v>
      </c>
      <c r="J148" t="str">
        <f>"Курск, Республиканская, 1 б"</f>
        <v>Курск, Республиканская, 1 б</v>
      </c>
      <c r="K148" t="str">
        <f>"Подъезд"</f>
        <v>Подъезд</v>
      </c>
      <c r="L148" t="str">
        <f>"21-MAR-13"</f>
        <v>21-MAR-13</v>
      </c>
      <c r="M148">
        <v>153108</v>
      </c>
      <c r="N148" t="str">
        <f>""</f>
        <v/>
      </c>
      <c r="O148" t="str">
        <f>"HSH-153108"</f>
        <v>HSH-153108</v>
      </c>
      <c r="P148" t="str">
        <f t="shared" si="37"/>
        <v>Нет</v>
      </c>
      <c r="Q148" t="str">
        <f>"КСК00000000000000341"</f>
        <v>КСК00000000000000341</v>
      </c>
      <c r="R148" t="str">
        <f>""</f>
        <v/>
      </c>
      <c r="S148" t="str">
        <f t="shared" si="38"/>
        <v>Основной</v>
      </c>
      <c r="T148" t="str">
        <f t="shared" si="39"/>
        <v>ГУТС</v>
      </c>
      <c r="U148" t="str">
        <f>""</f>
        <v/>
      </c>
      <c r="V148" t="str">
        <f t="shared" si="40"/>
        <v>Нет</v>
      </c>
      <c r="W148">
        <v>51.743213909911198</v>
      </c>
      <c r="X148">
        <v>36.234825040709197</v>
      </c>
      <c r="Y148" t="str">
        <f>"20000004561246"</f>
        <v>20000004561246</v>
      </c>
    </row>
    <row r="149" spans="1:25" x14ac:dyDescent="0.25">
      <c r="A149">
        <v>907</v>
      </c>
      <c r="B149" t="str">
        <f t="shared" si="36"/>
        <v>Курск</v>
      </c>
      <c r="C149">
        <v>457524</v>
      </c>
      <c r="D149" t="str">
        <f>"ГОК1.3.8.1 Курск, Дейнеки, 20  п. 2"</f>
        <v>ГОК1.3.8.1 Курск, Дейнеки, 20  п. 2</v>
      </c>
      <c r="E149" t="str">
        <f t="shared" si="41"/>
        <v>КРС-8/16-SC</v>
      </c>
      <c r="F149" t="str">
        <f>"22.10.2012"</f>
        <v>22.10.2012</v>
      </c>
      <c r="G149" t="str">
        <f>""</f>
        <v/>
      </c>
      <c r="H149" t="str">
        <f>"ГОК1.3.8.1"</f>
        <v>ГОК1.3.8.1</v>
      </c>
      <c r="I149" t="str">
        <f>"ДШ (под. 2, ОУ№ 1)"</f>
        <v>ДШ (под. 2, ОУ№ 1)</v>
      </c>
      <c r="J149" t="str">
        <f>"Курск, Дейнеки, 20"</f>
        <v>Курск, Дейнеки, 20</v>
      </c>
      <c r="K149" t="str">
        <f>"Подъезд"</f>
        <v>Подъезд</v>
      </c>
      <c r="L149" t="str">
        <f>"22-OCT-12"</f>
        <v>22-OCT-12</v>
      </c>
      <c r="M149">
        <v>153109</v>
      </c>
      <c r="N149" t="str">
        <f>""</f>
        <v/>
      </c>
      <c r="O149" t="str">
        <f>"HSH-153109"</f>
        <v>HSH-153109</v>
      </c>
      <c r="P149" t="str">
        <f t="shared" si="37"/>
        <v>Нет</v>
      </c>
      <c r="Q149" t="str">
        <f>"КСК00000000000000405"</f>
        <v>КСК00000000000000405</v>
      </c>
      <c r="R149" t="str">
        <f>"ГОК1.3.8 МС1.3"</f>
        <v>ГОК1.3.8 МС1.3</v>
      </c>
      <c r="S149" t="str">
        <f t="shared" si="38"/>
        <v>Основной</v>
      </c>
      <c r="T149" t="str">
        <f t="shared" si="39"/>
        <v>ГУТС</v>
      </c>
      <c r="U149" t="str">
        <f>""</f>
        <v/>
      </c>
      <c r="V149" t="str">
        <f t="shared" si="40"/>
        <v>Нет</v>
      </c>
      <c r="W149">
        <v>51.703487269999997</v>
      </c>
      <c r="X149">
        <v>36.143602350000002</v>
      </c>
      <c r="Y149" t="str">
        <f>"20000004561247"</f>
        <v>20000004561247</v>
      </c>
    </row>
    <row r="150" spans="1:25" x14ac:dyDescent="0.25">
      <c r="A150">
        <v>907</v>
      </c>
      <c r="B150" t="str">
        <f t="shared" si="36"/>
        <v>Курск</v>
      </c>
      <c r="C150">
        <v>458046</v>
      </c>
      <c r="D150" t="str">
        <f>"ОК1.5.3-1 ППК1.5.3 Курск, Щепкина, 4 б п. 1"</f>
        <v>ОК1.5.3-1 ППК1.5.3 Курск, Щепкина, 4 б п. 1</v>
      </c>
      <c r="E150" t="str">
        <f t="shared" si="41"/>
        <v>КРС-8/16-SC</v>
      </c>
      <c r="F150" t="str">
        <f>"26.10.2012"</f>
        <v>26.10.2012</v>
      </c>
      <c r="G150" t="str">
        <f>""</f>
        <v/>
      </c>
      <c r="H150" t="str">
        <f>"ОК1.5.3-1 ППК1.5.3"</f>
        <v>ОК1.5.3-1 ППК1.5.3</v>
      </c>
      <c r="I150" t="str">
        <f>"ДШ (под. 1, ОУ№ 1.5.3-1)"</f>
        <v>ДШ (под. 1, ОУ№ 1.5.3-1)</v>
      </c>
      <c r="J150" t="str">
        <f>"Курск, Щепкина, 4 б"</f>
        <v>Курск, Щепкина, 4 б</v>
      </c>
      <c r="K150" t="str">
        <f>"ДШ-2"</f>
        <v>ДШ-2</v>
      </c>
      <c r="L150" t="str">
        <f>"26-OCT-12"</f>
        <v>26-OCT-12</v>
      </c>
      <c r="M150">
        <v>153353</v>
      </c>
      <c r="N150" t="str">
        <f>""</f>
        <v/>
      </c>
      <c r="O150" t="str">
        <f>"HSH-153353"</f>
        <v>HSH-153353</v>
      </c>
      <c r="P150" t="str">
        <f t="shared" si="37"/>
        <v>Нет</v>
      </c>
      <c r="Q150" t="str">
        <f>"КСК00000000000000151"</f>
        <v>КСК00000000000000151</v>
      </c>
      <c r="R150" t="str">
        <f>""</f>
        <v/>
      </c>
      <c r="S150" t="str">
        <f t="shared" si="38"/>
        <v>Основной</v>
      </c>
      <c r="T150" t="str">
        <f t="shared" si="39"/>
        <v>ГУТС</v>
      </c>
      <c r="U150" t="str">
        <f>""</f>
        <v/>
      </c>
      <c r="V150" t="str">
        <f t="shared" si="40"/>
        <v>Нет</v>
      </c>
      <c r="W150">
        <v>51.725521256862301</v>
      </c>
      <c r="X150">
        <v>36.175810620188699</v>
      </c>
      <c r="Y150" t="str">
        <f>"20000004561261"</f>
        <v>20000004561261</v>
      </c>
    </row>
    <row r="151" spans="1:25" x14ac:dyDescent="0.25">
      <c r="A151">
        <v>907</v>
      </c>
      <c r="B151" t="str">
        <f t="shared" si="36"/>
        <v>Курск</v>
      </c>
      <c r="C151">
        <v>461033</v>
      </c>
      <c r="D151" t="str">
        <f>"ГОК1.4.6.1 Курск, Сумская, 46 б п. 2"</f>
        <v>ГОК1.4.6.1 Курск, Сумская, 46 б п. 2</v>
      </c>
      <c r="E151" t="str">
        <f t="shared" si="41"/>
        <v>КРС-8/16-SC</v>
      </c>
      <c r="F151" t="str">
        <f>"31.10.2012"</f>
        <v>31.10.2012</v>
      </c>
      <c r="G151" t="str">
        <f>""</f>
        <v/>
      </c>
      <c r="H151" t="str">
        <f>"ГОК1.4.6.1"</f>
        <v>ГОК1.4.6.1</v>
      </c>
      <c r="I151" t="str">
        <f>"ДШ (под. 2, ОУ№ 1)"</f>
        <v>ДШ (под. 2, ОУ№ 1)</v>
      </c>
      <c r="J151" t="str">
        <f>"Курск, Сумская, 46 б"</f>
        <v>Курск, Сумская, 46 б</v>
      </c>
      <c r="K151" t="str">
        <f>"Чердак"</f>
        <v>Чердак</v>
      </c>
      <c r="L151" t="str">
        <f>"31-OCT-12"</f>
        <v>31-OCT-12</v>
      </c>
      <c r="M151">
        <v>154117</v>
      </c>
      <c r="N151" t="str">
        <f>""</f>
        <v/>
      </c>
      <c r="O151" t="str">
        <f>"HSH-154117"</f>
        <v>HSH-154117</v>
      </c>
      <c r="P151" t="str">
        <f t="shared" si="37"/>
        <v>Нет</v>
      </c>
      <c r="Q151" t="str">
        <f>"КСК00000000000000429"</f>
        <v>КСК00000000000000429</v>
      </c>
      <c r="R151" t="str">
        <f>"ГОК1.4.6 МС1.4"</f>
        <v>ГОК1.4.6 МС1.4</v>
      </c>
      <c r="S151" t="str">
        <f t="shared" si="38"/>
        <v>Основной</v>
      </c>
      <c r="T151" t="str">
        <f t="shared" si="39"/>
        <v>ГУТС</v>
      </c>
      <c r="U151" t="str">
        <f>""</f>
        <v/>
      </c>
      <c r="V151" t="str">
        <f t="shared" si="40"/>
        <v>Нет</v>
      </c>
      <c r="W151">
        <v>51.710186273320801</v>
      </c>
      <c r="X151">
        <v>36.140784658491597</v>
      </c>
      <c r="Y151" t="str">
        <f>"20000004561741"</f>
        <v>20000004561741</v>
      </c>
    </row>
    <row r="152" spans="1:25" x14ac:dyDescent="0.25">
      <c r="A152">
        <v>907</v>
      </c>
      <c r="B152" t="str">
        <f t="shared" si="36"/>
        <v>Курск</v>
      </c>
      <c r="C152">
        <v>461046</v>
      </c>
      <c r="D152" t="str">
        <f>"ГОК1.4.5.1 Курск, Ольшанского, 43 б п. 1"</f>
        <v>ГОК1.4.5.1 Курск, Ольшанского, 43 б п. 1</v>
      </c>
      <c r="E152" t="str">
        <f t="shared" si="41"/>
        <v>КРС-8/16-SC</v>
      </c>
      <c r="F152" t="str">
        <f>"31.10.2012"</f>
        <v>31.10.2012</v>
      </c>
      <c r="G152" t="str">
        <f>"Растояние до ЦГС 6 236"</f>
        <v>Растояние до ЦГС 6 236</v>
      </c>
      <c r="H152" t="str">
        <f>"ГОК1.4.5.1"</f>
        <v>ГОК1.4.5.1</v>
      </c>
      <c r="I152" t="str">
        <f>"ДШ (под. 1, ОУ№ 1)"</f>
        <v>ДШ (под. 1, ОУ№ 1)</v>
      </c>
      <c r="J152" t="str">
        <f>"Курск, Ольшанского, 43 б"</f>
        <v>Курск, Ольшанского, 43 б</v>
      </c>
      <c r="K152" t="str">
        <f>"Чердак"</f>
        <v>Чердак</v>
      </c>
      <c r="L152" t="str">
        <f>"31-OCT-12"</f>
        <v>31-OCT-12</v>
      </c>
      <c r="M152">
        <v>154118</v>
      </c>
      <c r="N152" t="str">
        <f>""</f>
        <v/>
      </c>
      <c r="O152" t="str">
        <f>"HSH-154118"</f>
        <v>HSH-154118</v>
      </c>
      <c r="P152" t="str">
        <f t="shared" si="37"/>
        <v>Нет</v>
      </c>
      <c r="Q152" t="str">
        <f>"КСК00000000000000428"</f>
        <v>КСК00000000000000428</v>
      </c>
      <c r="R152" t="str">
        <f>"ГОК1.4.5 МС1.4"</f>
        <v>ГОК1.4.5 МС1.4</v>
      </c>
      <c r="S152" t="str">
        <f t="shared" si="38"/>
        <v>Основной</v>
      </c>
      <c r="T152" t="str">
        <f t="shared" si="39"/>
        <v>ГУТС</v>
      </c>
      <c r="U152" t="str">
        <f>""</f>
        <v/>
      </c>
      <c r="V152" t="str">
        <f t="shared" si="40"/>
        <v>Нет</v>
      </c>
      <c r="W152">
        <v>51.708951804002901</v>
      </c>
      <c r="X152">
        <v>36.140941567718997</v>
      </c>
      <c r="Y152" t="str">
        <f>"20000004561742"</f>
        <v>20000004561742</v>
      </c>
    </row>
    <row r="153" spans="1:25" x14ac:dyDescent="0.25">
      <c r="A153">
        <v>907</v>
      </c>
      <c r="B153" t="str">
        <f t="shared" si="36"/>
        <v>Курск</v>
      </c>
      <c r="C153">
        <v>462233</v>
      </c>
      <c r="D153" t="str">
        <f>"ГОК1.3.2.1 Курск, Заводская, 35  п. 1"</f>
        <v>ГОК1.3.2.1 Курск, Заводская, 35  п. 1</v>
      </c>
      <c r="E153" t="str">
        <f t="shared" si="41"/>
        <v>КРС-8/16-SC</v>
      </c>
      <c r="F153" t="str">
        <f>"01.11.2012"</f>
        <v>01.11.2012</v>
      </c>
      <c r="G153" t="str">
        <f>""</f>
        <v/>
      </c>
      <c r="H153" t="str">
        <f>"ГОК1.3.2.1"</f>
        <v>ГОК1.3.2.1</v>
      </c>
      <c r="I153" t="str">
        <f>"ДШ (под. 1, ОУ№ 1)"</f>
        <v>ДШ (под. 1, ОУ№ 1)</v>
      </c>
      <c r="J153" t="str">
        <f>"Курск, Заводская, 35"</f>
        <v>Курск, Заводская, 35</v>
      </c>
      <c r="K153" t="str">
        <f>"Подъезд"</f>
        <v>Подъезд</v>
      </c>
      <c r="L153" t="str">
        <f>"01-NOV-12"</f>
        <v>01-NOV-12</v>
      </c>
      <c r="M153">
        <v>154154</v>
      </c>
      <c r="N153" t="str">
        <f>""</f>
        <v/>
      </c>
      <c r="O153" t="str">
        <f>"HSH-154154"</f>
        <v>HSH-154154</v>
      </c>
      <c r="P153" t="str">
        <f t="shared" si="37"/>
        <v>Нет</v>
      </c>
      <c r="Q153" t="str">
        <f>"КСК00000000000000427"</f>
        <v>КСК00000000000000427</v>
      </c>
      <c r="R153" t="str">
        <f>"ГОК1.3.2 МС1.3"</f>
        <v>ГОК1.3.2 МС1.3</v>
      </c>
      <c r="S153" t="str">
        <f t="shared" si="38"/>
        <v>Основной</v>
      </c>
      <c r="T153" t="str">
        <f t="shared" si="39"/>
        <v>ГУТС</v>
      </c>
      <c r="U153" t="str">
        <f>""</f>
        <v/>
      </c>
      <c r="V153" t="str">
        <f t="shared" si="40"/>
        <v>Нет</v>
      </c>
      <c r="W153">
        <v>51.700126507069797</v>
      </c>
      <c r="X153">
        <v>36.147931739687898</v>
      </c>
      <c r="Y153" t="str">
        <f>"20000004561770"</f>
        <v>20000004561770</v>
      </c>
    </row>
    <row r="154" spans="1:25" x14ac:dyDescent="0.25">
      <c r="A154">
        <v>907</v>
      </c>
      <c r="B154" t="str">
        <f t="shared" si="36"/>
        <v>Курск</v>
      </c>
      <c r="C154">
        <v>463646</v>
      </c>
      <c r="D154" t="str">
        <f>"ОК1.1.1-10 ППК1.1.1 Курск, Луговая Верхняя, 201  п. 1"</f>
        <v>ОК1.1.1-10 ППК1.1.1 Курск, Луговая Верхняя, 201  п. 1</v>
      </c>
      <c r="E154" t="str">
        <f t="shared" si="41"/>
        <v>КРС-8/16-SC</v>
      </c>
      <c r="F154" t="str">
        <f>"07.11.2012"</f>
        <v>07.11.2012</v>
      </c>
      <c r="G154" t="str">
        <f>""</f>
        <v/>
      </c>
      <c r="H154" t="str">
        <f>"ОК1.1.1-10 ППК1.1.1"</f>
        <v>ОК1.1.1-10 ППК1.1.1</v>
      </c>
      <c r="I154" t="str">
        <f>"ДШ (под. 1, ОУ№ 1.1.1-10)"</f>
        <v>ДШ (под. 1, ОУ№ 1.1.1-10)</v>
      </c>
      <c r="J154" t="str">
        <f>"Курск, Луговая Верхняя, 201"</f>
        <v>Курск, Луговая Верхняя, 201</v>
      </c>
      <c r="K154" t="str">
        <f>"Чердак"</f>
        <v>Чердак</v>
      </c>
      <c r="L154" t="str">
        <f>"07-NOV-12"</f>
        <v>07-NOV-12</v>
      </c>
      <c r="M154">
        <v>154303</v>
      </c>
      <c r="N154" t="str">
        <f>""</f>
        <v/>
      </c>
      <c r="O154" t="str">
        <f>"HSH-154303"</f>
        <v>HSH-154303</v>
      </c>
      <c r="P154" t="str">
        <f t="shared" si="37"/>
        <v>Нет</v>
      </c>
      <c r="Q154" t="str">
        <f>"КСК00000000000000027"</f>
        <v>КСК00000000000000027</v>
      </c>
      <c r="R154" t="str">
        <f>"ОК1.1.1 ЮЛ1"</f>
        <v>ОК1.1.1 ЮЛ1</v>
      </c>
      <c r="S154" t="str">
        <f t="shared" si="38"/>
        <v>Основной</v>
      </c>
      <c r="T154" t="str">
        <f t="shared" si="39"/>
        <v>ГУТС</v>
      </c>
      <c r="U154" t="str">
        <f>""</f>
        <v/>
      </c>
      <c r="V154" t="str">
        <f t="shared" si="40"/>
        <v>Нет</v>
      </c>
      <c r="W154">
        <v>51.744922289999998</v>
      </c>
      <c r="X154">
        <v>36.168626320000001</v>
      </c>
      <c r="Y154" t="str">
        <f>"20000004561773"</f>
        <v>20000004561773</v>
      </c>
    </row>
    <row r="155" spans="1:25" x14ac:dyDescent="0.25">
      <c r="A155">
        <v>907</v>
      </c>
      <c r="B155" t="str">
        <f t="shared" si="36"/>
        <v>Курск</v>
      </c>
      <c r="C155">
        <v>464500</v>
      </c>
      <c r="D155" t="str">
        <f>"ГОК3.2.7.1 Курск, Карла Маркса, 14  п. 3"</f>
        <v>ГОК3.2.7.1 Курск, Карла Маркса, 14  п. 3</v>
      </c>
      <c r="E155" t="str">
        <f t="shared" si="41"/>
        <v>КРС-8/16-SC</v>
      </c>
      <c r="F155" t="str">
        <f>"15.11.2012"</f>
        <v>15.11.2012</v>
      </c>
      <c r="G155" t="str">
        <f>""</f>
        <v/>
      </c>
      <c r="H155" t="str">
        <f>"ГОК3.2.7.1"</f>
        <v>ГОК3.2.7.1</v>
      </c>
      <c r="I155" t="str">
        <f>"ДШ (под. 3, ОУ№ 1)"</f>
        <v>ДШ (под. 3, ОУ№ 1)</v>
      </c>
      <c r="J155" t="str">
        <f>"Курск, Карла Маркса, 14"</f>
        <v>Курск, Карла Маркса, 14</v>
      </c>
      <c r="K155" t="str">
        <f>"Чердак"</f>
        <v>Чердак</v>
      </c>
      <c r="L155" t="str">
        <f>"15-NOV-12"</f>
        <v>15-NOV-12</v>
      </c>
      <c r="M155">
        <v>154802</v>
      </c>
      <c r="N155" t="str">
        <f>""</f>
        <v/>
      </c>
      <c r="O155" t="str">
        <f>"HSH-154802"</f>
        <v>HSH-154802</v>
      </c>
      <c r="P155" t="str">
        <f t="shared" si="37"/>
        <v>Нет</v>
      </c>
      <c r="Q155" t="str">
        <f>"КСК00000000000000432"</f>
        <v>КСК00000000000000432</v>
      </c>
      <c r="R155" t="str">
        <f>"ГОК3.2.7 МС3.2"</f>
        <v>ГОК3.2.7 МС3.2</v>
      </c>
      <c r="S155" t="str">
        <f t="shared" si="38"/>
        <v>Основной</v>
      </c>
      <c r="T155" t="str">
        <f t="shared" si="39"/>
        <v>ГУТС</v>
      </c>
      <c r="U155" t="str">
        <f>""</f>
        <v/>
      </c>
      <c r="V155" t="str">
        <f t="shared" si="40"/>
        <v>Нет</v>
      </c>
      <c r="W155">
        <v>51.753969640000001</v>
      </c>
      <c r="X155">
        <v>36.188958810000003</v>
      </c>
      <c r="Y155" t="str">
        <f>"20000004561911"</f>
        <v>20000004561911</v>
      </c>
    </row>
    <row r="156" spans="1:25" x14ac:dyDescent="0.25">
      <c r="A156">
        <v>907</v>
      </c>
      <c r="B156" t="str">
        <f t="shared" si="36"/>
        <v>Курск</v>
      </c>
      <c r="C156">
        <v>464833</v>
      </c>
      <c r="D156" t="str">
        <f>"ОК1.5.4-1ППК1.1.1 Курск, Луговая Верхняя, 6  п. 1"</f>
        <v>ОК1.5.4-1ППК1.1.1 Курск, Луговая Верхняя, 6  п. 1</v>
      </c>
      <c r="E156" t="str">
        <f t="shared" si="41"/>
        <v>КРС-8/16-SC</v>
      </c>
      <c r="F156" t="str">
        <f>"27.11.2012"</f>
        <v>27.11.2012</v>
      </c>
      <c r="G156" t="str">
        <f>""</f>
        <v/>
      </c>
      <c r="H156" t="str">
        <f>"ОК1.5.4-1ППК1.1.1"</f>
        <v>ОК1.5.4-1ППК1.1.1</v>
      </c>
      <c r="I156" t="str">
        <f>"ДШ (под. 1, ОУ№ 1.5.4-1)"</f>
        <v>ДШ (под. 1, ОУ№ 1.5.4-1)</v>
      </c>
      <c r="J156" t="str">
        <f>"Курск, Луговая Верхняя, 6"</f>
        <v>Курск, Луговая Верхняя, 6</v>
      </c>
      <c r="K156" t="str">
        <f>"Офис"</f>
        <v>Офис</v>
      </c>
      <c r="L156" t="str">
        <f>"27-NOV-12"</f>
        <v>27-NOV-12</v>
      </c>
      <c r="M156">
        <v>155002</v>
      </c>
      <c r="N156" t="str">
        <f>""</f>
        <v/>
      </c>
      <c r="O156" t="str">
        <f>"HSH-155002"</f>
        <v>HSH-155002</v>
      </c>
      <c r="P156" t="str">
        <f t="shared" si="37"/>
        <v>Нет</v>
      </c>
      <c r="Q156" t="str">
        <f>"КСК00000000000000027"</f>
        <v>КСК00000000000000027</v>
      </c>
      <c r="R156" t="str">
        <f>""</f>
        <v/>
      </c>
      <c r="S156" t="str">
        <f t="shared" si="38"/>
        <v>Основной</v>
      </c>
      <c r="T156" t="str">
        <f t="shared" si="39"/>
        <v>ГУТС</v>
      </c>
      <c r="U156" t="str">
        <f>""</f>
        <v/>
      </c>
      <c r="V156" t="str">
        <f t="shared" si="40"/>
        <v>Нет</v>
      </c>
      <c r="W156">
        <v>51.72804824</v>
      </c>
      <c r="X156">
        <v>36.183220220000003</v>
      </c>
      <c r="Y156" t="str">
        <f>"20000004561957"</f>
        <v>20000004561957</v>
      </c>
    </row>
    <row r="157" spans="1:25" x14ac:dyDescent="0.25">
      <c r="A157">
        <v>907</v>
      </c>
      <c r="B157" t="str">
        <f t="shared" si="36"/>
        <v>Курск</v>
      </c>
      <c r="C157">
        <v>465633</v>
      </c>
      <c r="D157" t="str">
        <f>"ООО ""Сириус"" Курск, 50 Лет Октября, 167 /3 п. 1"</f>
        <v>ООО "Сириус" Курск, 50 Лет Октября, 167 /3 п. 1</v>
      </c>
      <c r="E157" t="str">
        <f t="shared" si="41"/>
        <v>КРС-8/16-SC</v>
      </c>
      <c r="F157" t="str">
        <f>"02.08.2013"</f>
        <v>02.08.2013</v>
      </c>
      <c r="G157" t="str">
        <f>""</f>
        <v/>
      </c>
      <c r="H157" t="str">
        <f>"ООО ""Сириус"""</f>
        <v>ООО "Сириус"</v>
      </c>
      <c r="I157" t="str">
        <f>"Шкаф телекоммуникационный 1"</f>
        <v>Шкаф телекоммуникационный 1</v>
      </c>
      <c r="J157" t="str">
        <f>"Курск, 50 Лет Октября, 167 /3"</f>
        <v>Курск, 50 Лет Октября, 167 /3</v>
      </c>
      <c r="K157" t="str">
        <f>"Подъезд"</f>
        <v>Подъезд</v>
      </c>
      <c r="L157" t="str">
        <f>"31-DEC-11"</f>
        <v>31-DEC-11</v>
      </c>
      <c r="M157">
        <v>0</v>
      </c>
      <c r="N157" t="str">
        <f>""</f>
        <v/>
      </c>
      <c r="O157" t="str">
        <f>"EmptySerial&lt;50081&gt;"</f>
        <v>EmptySerial&lt;50081&gt;</v>
      </c>
      <c r="P157" t="str">
        <f t="shared" si="37"/>
        <v>Нет</v>
      </c>
      <c r="Q157" t="str">
        <f>"КСК00000000000000291"</f>
        <v>КСК00000000000000291</v>
      </c>
      <c r="R157" t="str">
        <f>""</f>
        <v/>
      </c>
      <c r="S157" t="str">
        <f t="shared" si="38"/>
        <v>Основной</v>
      </c>
      <c r="T157" t="str">
        <f t="shared" si="39"/>
        <v>ГУТС</v>
      </c>
      <c r="U157" t="str">
        <f>""</f>
        <v/>
      </c>
      <c r="V157" t="str">
        <f t="shared" si="40"/>
        <v>Нет</v>
      </c>
      <c r="W157">
        <v>51.753174299999998</v>
      </c>
      <c r="X157">
        <v>36.1400504</v>
      </c>
      <c r="Y157" t="str">
        <f>"20000004563747"</f>
        <v>20000004563747</v>
      </c>
    </row>
    <row r="158" spans="1:25" x14ac:dyDescent="0.25">
      <c r="A158">
        <v>907</v>
      </c>
      <c r="B158" t="str">
        <f t="shared" si="36"/>
        <v>Курск</v>
      </c>
      <c r="C158">
        <v>465646</v>
      </c>
      <c r="D158" t="str">
        <f>"ОАО ""МегаФон"" Курск, Дзержинского, 50  п. 1"</f>
        <v>ОАО "МегаФон" Курск, Дзержинского, 50  п. 1</v>
      </c>
      <c r="E158" t="str">
        <f t="shared" si="41"/>
        <v>КРС-8/16-SC</v>
      </c>
      <c r="F158" t="str">
        <f>"15.11.2013"</f>
        <v>15.11.2013</v>
      </c>
      <c r="G158" t="str">
        <f>""</f>
        <v/>
      </c>
      <c r="H158" t="str">
        <f>"ОАО ""МегаФон"""</f>
        <v>ОАО "МегаФон"</v>
      </c>
      <c r="I158" t="str">
        <f>"Шкаф провайдера 1"</f>
        <v>Шкаф провайдера 1</v>
      </c>
      <c r="J158" t="str">
        <f>"Курск, Дзержинского, 50"</f>
        <v>Курск, Дзержинского, 50</v>
      </c>
      <c r="K158" t="str">
        <f>"Серверная"</f>
        <v>Серверная</v>
      </c>
      <c r="L158" t="str">
        <f>"01-MAR-12"</f>
        <v>01-MAR-12</v>
      </c>
      <c r="M158">
        <v>0</v>
      </c>
      <c r="N158" t="str">
        <f>""</f>
        <v/>
      </c>
      <c r="O158" t="str">
        <f>"EmptySerial&lt;54184&gt;"</f>
        <v>EmptySerial&lt;54184&gt;</v>
      </c>
      <c r="P158" t="str">
        <f t="shared" si="37"/>
        <v>Нет</v>
      </c>
      <c r="Q158" t="str">
        <f>"КСК00000000000000035"</f>
        <v>КСК00000000000000035</v>
      </c>
      <c r="R158" t="str">
        <f>""</f>
        <v/>
      </c>
      <c r="S158" t="str">
        <f t="shared" si="38"/>
        <v>Основной</v>
      </c>
      <c r="T158" t="str">
        <f t="shared" si="39"/>
        <v>ГУТС</v>
      </c>
      <c r="U158" t="str">
        <f>""</f>
        <v/>
      </c>
      <c r="V158" t="str">
        <f t="shared" si="40"/>
        <v>Нет</v>
      </c>
      <c r="W158">
        <v>51.726042319999998</v>
      </c>
      <c r="X158">
        <v>36.184272989999997</v>
      </c>
      <c r="Y158" t="str">
        <f>"20000004566671"</f>
        <v>20000004566671</v>
      </c>
    </row>
    <row r="159" spans="1:25" x14ac:dyDescent="0.25">
      <c r="A159">
        <v>907</v>
      </c>
      <c r="B159" t="str">
        <f t="shared" si="36"/>
        <v>Курск</v>
      </c>
      <c r="C159">
        <v>466700</v>
      </c>
      <c r="D159" t="str">
        <f>"ЗАО ""Курская телефонная компания"" Курск, Карла Маркса, 70 б п. 1"</f>
        <v>ЗАО "Курская телефонная компания" Курск, Карла Маркса, 70 б п. 1</v>
      </c>
      <c r="E159" t="str">
        <f t="shared" si="41"/>
        <v>КРС-8/16-SC</v>
      </c>
      <c r="F159" t="str">
        <f>"18.10.2013"</f>
        <v>18.10.2013</v>
      </c>
      <c r="G159" t="str">
        <f>""</f>
        <v/>
      </c>
      <c r="H159" t="str">
        <f>"ЗАО ""Курская телефонная компания"""</f>
        <v>ЗАО "Курская телефонная компания"</v>
      </c>
      <c r="I159" t="str">
        <f>"Шкаф провайдера"</f>
        <v>Шкаф провайдера</v>
      </c>
      <c r="J159" t="str">
        <f>"Курск, Карла Маркса, 70 б"</f>
        <v>Курск, Карла Маркса, 70 б</v>
      </c>
      <c r="K159" t="str">
        <f>"Подъезд"</f>
        <v>Подъезд</v>
      </c>
      <c r="L159" t="str">
        <f>"29-MAY-12"</f>
        <v>29-MAY-12</v>
      </c>
      <c r="M159">
        <v>0</v>
      </c>
      <c r="N159" t="str">
        <f>""</f>
        <v/>
      </c>
      <c r="O159" t="str">
        <f>"EmptySerial&lt;53456&gt;"</f>
        <v>EmptySerial&lt;53456&gt;</v>
      </c>
      <c r="P159" t="str">
        <f t="shared" si="37"/>
        <v>Нет</v>
      </c>
      <c r="Q159" t="str">
        <f>"КСК00001211"</f>
        <v>КСК00001211</v>
      </c>
      <c r="R159" t="str">
        <f>"КТК"</f>
        <v>КТК</v>
      </c>
      <c r="S159" t="str">
        <f t="shared" si="38"/>
        <v>Основной</v>
      </c>
      <c r="T159" t="str">
        <f t="shared" si="39"/>
        <v>ГУТС</v>
      </c>
      <c r="U159" t="str">
        <f>""</f>
        <v/>
      </c>
      <c r="V159" t="str">
        <f t="shared" si="40"/>
        <v>Нет</v>
      </c>
      <c r="W159">
        <v>51.7643865752297</v>
      </c>
      <c r="X159">
        <v>36.174060143530397</v>
      </c>
      <c r="Y159" t="str">
        <f>"20000004566204"</f>
        <v>20000004566204</v>
      </c>
    </row>
    <row r="160" spans="1:25" x14ac:dyDescent="0.25">
      <c r="A160">
        <v>907</v>
      </c>
      <c r="B160" t="str">
        <f t="shared" si="36"/>
        <v>Курск</v>
      </c>
      <c r="C160">
        <v>469102</v>
      </c>
      <c r="D160" t="str">
        <f>"ТОК5.5 Курск, Гагарина, 26 а п. 1"</f>
        <v>ТОК5.5 Курск, Гагарина, 26 а п. 1</v>
      </c>
      <c r="E160" t="str">
        <f>"КРС-64-SC"</f>
        <v>КРС-64-SC</v>
      </c>
      <c r="F160" t="str">
        <f>"20.08.2013"</f>
        <v>20.08.2013</v>
      </c>
      <c r="G160" t="str">
        <f>""</f>
        <v/>
      </c>
      <c r="H160" t="str">
        <f>"ТОК5.5"</f>
        <v>ТОК5.5</v>
      </c>
      <c r="I160" t="str">
        <f>"Стойка 2 спереди"</f>
        <v>Стойка 2 спереди</v>
      </c>
      <c r="J160" t="str">
        <f>"Курск, Гагарина, 26 а"</f>
        <v>Курск, Гагарина, 26 а</v>
      </c>
      <c r="K160" t="str">
        <f>"Серверная"</f>
        <v>Серверная</v>
      </c>
      <c r="L160" t="str">
        <f>"01-AUG-12"</f>
        <v>01-AUG-12</v>
      </c>
      <c r="M160">
        <v>0</v>
      </c>
      <c r="N160" t="str">
        <f>""</f>
        <v/>
      </c>
      <c r="O160" t="str">
        <f>"EmptySerial&lt;52331&gt;"</f>
        <v>EmptySerial&lt;52331&gt;</v>
      </c>
      <c r="P160" t="str">
        <f t="shared" si="37"/>
        <v>Нет</v>
      </c>
      <c r="Q160" t="str">
        <f>"КСК00000000000000150"</f>
        <v>КСК00000000000000150</v>
      </c>
      <c r="R160" t="str">
        <f>"ТОК 5.5 ТС5"</f>
        <v>ТОК 5.5 ТС5</v>
      </c>
      <c r="S160" t="str">
        <f t="shared" si="38"/>
        <v>Основной</v>
      </c>
      <c r="T160" t="str">
        <f t="shared" si="39"/>
        <v>ГУТС</v>
      </c>
      <c r="U160" t="str">
        <f>""</f>
        <v/>
      </c>
      <c r="V160" t="str">
        <f t="shared" si="40"/>
        <v>Нет</v>
      </c>
      <c r="W160">
        <v>51.669450329999997</v>
      </c>
      <c r="X160">
        <v>36.132227399999998</v>
      </c>
      <c r="Y160" t="str">
        <f>"20000004565626"</f>
        <v>20000004565626</v>
      </c>
    </row>
    <row r="161" spans="1:25" x14ac:dyDescent="0.25">
      <c r="A161">
        <v>907</v>
      </c>
      <c r="B161" t="str">
        <f t="shared" si="36"/>
        <v>Курск</v>
      </c>
      <c r="C161">
        <v>469941</v>
      </c>
      <c r="D161" t="str">
        <f>"ГОК3.4.2.1 Курск, Блинова, 2 /1 п. 1"</f>
        <v>ГОК3.4.2.1 Курск, Блинова, 2 /1 п. 1</v>
      </c>
      <c r="E161" t="str">
        <f t="shared" ref="E161:E174" si="45">"КРС-8/16-SC"</f>
        <v>КРС-8/16-SC</v>
      </c>
      <c r="F161" t="str">
        <f>"31.01.2013"</f>
        <v>31.01.2013</v>
      </c>
      <c r="G161" t="str">
        <f>""</f>
        <v/>
      </c>
      <c r="H161" t="str">
        <f>"ГОК3.4.2.1"</f>
        <v>ГОК3.4.2.1</v>
      </c>
      <c r="I161" t="str">
        <f>"ДШ (под. 1, ОУ№ 1)"</f>
        <v>ДШ (под. 1, ОУ№ 1)</v>
      </c>
      <c r="J161" t="str">
        <f>"Курск, Блинова, 2 /1"</f>
        <v>Курск, Блинова, 2 /1</v>
      </c>
      <c r="K161" t="str">
        <f>"Подъезд"</f>
        <v>Подъезд</v>
      </c>
      <c r="L161" t="str">
        <f>"16-OCT-12"</f>
        <v>16-OCT-12</v>
      </c>
      <c r="M161">
        <v>157355</v>
      </c>
      <c r="N161" t="str">
        <f>""</f>
        <v/>
      </c>
      <c r="O161" t="str">
        <f>"HSH-157355"</f>
        <v>HSH-157355</v>
      </c>
      <c r="P161" t="str">
        <f t="shared" si="37"/>
        <v>Нет</v>
      </c>
      <c r="Q161" t="str">
        <f>"КСК00000000000000433"</f>
        <v>КСК00000000000000433</v>
      </c>
      <c r="R161" t="str">
        <f>"ГОК 3.4.2 МС3.4"</f>
        <v>ГОК 3.4.2 МС3.4</v>
      </c>
      <c r="S161" t="str">
        <f t="shared" si="38"/>
        <v>Основной</v>
      </c>
      <c r="T161" t="str">
        <f t="shared" si="39"/>
        <v>ГУТС</v>
      </c>
      <c r="U161" t="str">
        <f>""</f>
        <v/>
      </c>
      <c r="V161" t="str">
        <f t="shared" si="40"/>
        <v>Нет</v>
      </c>
      <c r="W161">
        <v>51.746258735640303</v>
      </c>
      <c r="X161">
        <v>36.198450475931203</v>
      </c>
      <c r="Y161" t="str">
        <f>"20000004562282"</f>
        <v>20000004562282</v>
      </c>
    </row>
    <row r="162" spans="1:25" x14ac:dyDescent="0.25">
      <c r="A162">
        <v>907</v>
      </c>
      <c r="B162" t="str">
        <f t="shared" si="36"/>
        <v>Курск</v>
      </c>
      <c r="C162">
        <v>471459</v>
      </c>
      <c r="D162" t="str">
        <f>"ОК1.1.1-2 ППК1.1.1 Курск, Белинского, 29  п. 1"</f>
        <v>ОК1.1.1-2 ППК1.1.1 Курск, Белинского, 29  п. 1</v>
      </c>
      <c r="E162" t="str">
        <f t="shared" si="45"/>
        <v>КРС-8/16-SC</v>
      </c>
      <c r="F162" t="str">
        <f>"21.02.2013"</f>
        <v>21.02.2013</v>
      </c>
      <c r="G162" t="str">
        <f>""</f>
        <v/>
      </c>
      <c r="H162" t="str">
        <f>"ОК1.1.1-2 ППК1.1.1"</f>
        <v>ОК1.1.1-2 ППК1.1.1</v>
      </c>
      <c r="I162" t="str">
        <f>"ДШ (под. 1, ОУ№ 1.1.1-2)"</f>
        <v>ДШ (под. 1, ОУ№ 1.1.1-2)</v>
      </c>
      <c r="J162" t="str">
        <f>"Курск, Белинского, 29"</f>
        <v>Курск, Белинского, 29</v>
      </c>
      <c r="K162" t="str">
        <f t="shared" ref="K162:K169" si="46">"Офис"</f>
        <v>Офис</v>
      </c>
      <c r="L162" t="str">
        <f>"21-FEB-13"</f>
        <v>21-FEB-13</v>
      </c>
      <c r="M162">
        <v>157904</v>
      </c>
      <c r="N162" t="str">
        <f>""</f>
        <v/>
      </c>
      <c r="O162" t="str">
        <f>"HSH-157904"</f>
        <v>HSH-157904</v>
      </c>
      <c r="P162" t="str">
        <f t="shared" si="37"/>
        <v>Нет</v>
      </c>
      <c r="Q162" t="str">
        <f>"КСК00000000000000027"</f>
        <v>КСК00000000000000027</v>
      </c>
      <c r="R162" t="str">
        <f>""</f>
        <v/>
      </c>
      <c r="S162" t="str">
        <f t="shared" si="38"/>
        <v>Основной</v>
      </c>
      <c r="T162" t="str">
        <f t="shared" si="39"/>
        <v>ГУТС</v>
      </c>
      <c r="U162" t="str">
        <f>""</f>
        <v/>
      </c>
      <c r="V162" t="str">
        <f t="shared" si="40"/>
        <v>Нет</v>
      </c>
      <c r="W162">
        <v>51.7194844300898</v>
      </c>
      <c r="X162">
        <v>36.184753440320499</v>
      </c>
      <c r="Y162" t="str">
        <f>"20000004562376"</f>
        <v>20000004562376</v>
      </c>
    </row>
    <row r="163" spans="1:25" x14ac:dyDescent="0.25">
      <c r="A163">
        <v>907</v>
      </c>
      <c r="B163" t="str">
        <f t="shared" si="36"/>
        <v>Курск</v>
      </c>
      <c r="C163">
        <v>472259</v>
      </c>
      <c r="D163" t="str">
        <f>"ОК1.1.1-4 ППК1.1.1 Курск, Сумская, 9  п. 1"</f>
        <v>ОК1.1.1-4 ППК1.1.1 Курск, Сумская, 9  п. 1</v>
      </c>
      <c r="E163" t="str">
        <f t="shared" si="45"/>
        <v>КРС-8/16-SC</v>
      </c>
      <c r="F163" t="str">
        <f t="shared" ref="F163:F169" si="47">"14.03.2013"</f>
        <v>14.03.2013</v>
      </c>
      <c r="G163" t="str">
        <f>""</f>
        <v/>
      </c>
      <c r="H163" t="str">
        <f>"ОК1.1.1-4 ППК1.1.1"</f>
        <v>ОК1.1.1-4 ППК1.1.1</v>
      </c>
      <c r="I163" t="str">
        <f>"ДШ (под. 1, ОУ№ 1.1.1-4)"</f>
        <v>ДШ (под. 1, ОУ№ 1.1.1-4)</v>
      </c>
      <c r="J163" t="str">
        <f>"Курск, Сумская, 9"</f>
        <v>Курск, Сумская, 9</v>
      </c>
      <c r="K163" t="str">
        <f t="shared" si="46"/>
        <v>Офис</v>
      </c>
      <c r="L163" t="str">
        <f t="shared" ref="L163:L169" si="48">"14-MAR-13"</f>
        <v>14-MAR-13</v>
      </c>
      <c r="M163">
        <v>158604</v>
      </c>
      <c r="N163" t="str">
        <f>""</f>
        <v/>
      </c>
      <c r="O163" t="str">
        <f>"HSH-158604"</f>
        <v>HSH-158604</v>
      </c>
      <c r="P163" t="str">
        <f t="shared" si="37"/>
        <v>Нет</v>
      </c>
      <c r="Q163" t="str">
        <f>"КСК00000000000000027"</f>
        <v>КСК00000000000000027</v>
      </c>
      <c r="R163" t="str">
        <f>""</f>
        <v/>
      </c>
      <c r="S163" t="str">
        <f t="shared" si="38"/>
        <v>Основной</v>
      </c>
      <c r="T163" t="str">
        <f t="shared" si="39"/>
        <v>ГУТС</v>
      </c>
      <c r="U163" t="str">
        <f>""</f>
        <v/>
      </c>
      <c r="V163" t="str">
        <f t="shared" si="40"/>
        <v>Нет</v>
      </c>
      <c r="W163">
        <v>51.706855529999999</v>
      </c>
      <c r="X163">
        <v>36.160449909999997</v>
      </c>
      <c r="Y163" t="str">
        <f>"20000004562405"</f>
        <v>20000004562405</v>
      </c>
    </row>
    <row r="164" spans="1:25" x14ac:dyDescent="0.25">
      <c r="A164">
        <v>907</v>
      </c>
      <c r="B164" t="str">
        <f t="shared" si="36"/>
        <v>Курск</v>
      </c>
      <c r="C164">
        <v>472298</v>
      </c>
      <c r="D164" t="str">
        <f>"ОК3.1.1-1 ППК3.1.1 Курск, Радищева, 93  п. 1"</f>
        <v>ОК3.1.1-1 ППК3.1.1 Курск, Радищева, 93  п. 1</v>
      </c>
      <c r="E164" t="str">
        <f t="shared" si="45"/>
        <v>КРС-8/16-SC</v>
      </c>
      <c r="F164" t="str">
        <f t="shared" si="47"/>
        <v>14.03.2013</v>
      </c>
      <c r="G164" t="str">
        <f>""</f>
        <v/>
      </c>
      <c r="H164" t="str">
        <f>"ОК3.1.1-1 ППК3.1.1"</f>
        <v>ОК3.1.1-1 ППК3.1.1</v>
      </c>
      <c r="I164" t="str">
        <f>"ДШ (под. 1, ОУ№ 3.1.1-1)"</f>
        <v>ДШ (под. 1, ОУ№ 3.1.1-1)</v>
      </c>
      <c r="J164" t="str">
        <f>"Курск, Радищева, 93"</f>
        <v>Курск, Радищева, 93</v>
      </c>
      <c r="K164" t="str">
        <f t="shared" si="46"/>
        <v>Офис</v>
      </c>
      <c r="L164" t="str">
        <f t="shared" si="48"/>
        <v>14-MAR-13</v>
      </c>
      <c r="M164">
        <v>158607</v>
      </c>
      <c r="N164" t="str">
        <f>""</f>
        <v/>
      </c>
      <c r="O164" t="str">
        <f>"HSH-158607"</f>
        <v>HSH-158607</v>
      </c>
      <c r="P164" t="str">
        <f t="shared" si="37"/>
        <v>Нет</v>
      </c>
      <c r="Q164" t="str">
        <f>"КСК00000000000000178"</f>
        <v>КСК00000000000000178</v>
      </c>
      <c r="R164" t="str">
        <f>""</f>
        <v/>
      </c>
      <c r="S164" t="str">
        <f t="shared" si="38"/>
        <v>Основной</v>
      </c>
      <c r="T164" t="str">
        <f t="shared" si="39"/>
        <v>ГУТС</v>
      </c>
      <c r="U164" t="str">
        <f>""</f>
        <v/>
      </c>
      <c r="V164" t="str">
        <f t="shared" si="40"/>
        <v>Нет</v>
      </c>
      <c r="W164">
        <v>51.746805930000001</v>
      </c>
      <c r="X164">
        <v>36.190329749999997</v>
      </c>
      <c r="Y164" t="str">
        <f>"20000004562408"</f>
        <v>20000004562408</v>
      </c>
    </row>
    <row r="165" spans="1:25" x14ac:dyDescent="0.25">
      <c r="A165">
        <v>907</v>
      </c>
      <c r="B165" t="str">
        <f t="shared" si="36"/>
        <v>Курск</v>
      </c>
      <c r="C165">
        <v>472311</v>
      </c>
      <c r="D165" t="str">
        <f>"ОК5.1.1 - 1 ППК5.1.1 Курск, Ленинского Комсомола Пр-Кт, 2  п. 1"</f>
        <v>ОК5.1.1 - 1 ППК5.1.1 Курск, Ленинского Комсомола Пр-Кт, 2  п. 1</v>
      </c>
      <c r="E165" t="str">
        <f t="shared" si="45"/>
        <v>КРС-8/16-SC</v>
      </c>
      <c r="F165" t="str">
        <f t="shared" si="47"/>
        <v>14.03.2013</v>
      </c>
      <c r="G165" t="str">
        <f>""</f>
        <v/>
      </c>
      <c r="H165" t="str">
        <f>"ОК5.1.1 - 1 ППК5.1.1"</f>
        <v>ОК5.1.1 - 1 ППК5.1.1</v>
      </c>
      <c r="I165" t="str">
        <f>"ДШ (под. 1, ОУ№ 5.1.1 - 1)"</f>
        <v>ДШ (под. 1, ОУ№ 5.1.1 - 1)</v>
      </c>
      <c r="J165" t="str">
        <f>"Курск, Ленинского Комсомола Пр-Кт, 2"</f>
        <v>Курск, Ленинского Комсомола Пр-Кт, 2</v>
      </c>
      <c r="K165" t="str">
        <f t="shared" si="46"/>
        <v>Офис</v>
      </c>
      <c r="L165" t="str">
        <f t="shared" si="48"/>
        <v>14-MAR-13</v>
      </c>
      <c r="M165">
        <v>158608</v>
      </c>
      <c r="N165" t="str">
        <f>""</f>
        <v/>
      </c>
      <c r="O165" t="str">
        <f>"HSH-158608"</f>
        <v>HSH-158608</v>
      </c>
      <c r="P165" t="str">
        <f t="shared" si="37"/>
        <v>Нет</v>
      </c>
      <c r="Q165" t="str">
        <f>"КСК00000000000000219"</f>
        <v>КСК00000000000000219</v>
      </c>
      <c r="R165" t="str">
        <f>""</f>
        <v/>
      </c>
      <c r="S165" t="str">
        <f t="shared" si="38"/>
        <v>Основной</v>
      </c>
      <c r="T165" t="str">
        <f t="shared" si="39"/>
        <v>ГУТС</v>
      </c>
      <c r="U165" t="str">
        <f>""</f>
        <v/>
      </c>
      <c r="V165" t="str">
        <f t="shared" si="40"/>
        <v>Нет</v>
      </c>
      <c r="W165">
        <v>51.657921234874401</v>
      </c>
      <c r="X165">
        <v>36.133143045008197</v>
      </c>
      <c r="Y165" t="str">
        <f>"20000004562409"</f>
        <v>20000004562409</v>
      </c>
    </row>
    <row r="166" spans="1:25" x14ac:dyDescent="0.25">
      <c r="A166">
        <v>907</v>
      </c>
      <c r="B166" t="str">
        <f t="shared" si="36"/>
        <v>Курск</v>
      </c>
      <c r="C166">
        <v>472324</v>
      </c>
      <c r="D166" t="str">
        <f>"ОК1.1.1 - 6 ППК1.1.1 Курск, Пирогова, 3  п. 1"</f>
        <v>ОК1.1.1 - 6 ППК1.1.1 Курск, Пирогова, 3  п. 1</v>
      </c>
      <c r="E166" t="str">
        <f t="shared" si="45"/>
        <v>КРС-8/16-SC</v>
      </c>
      <c r="F166" t="str">
        <f t="shared" si="47"/>
        <v>14.03.2013</v>
      </c>
      <c r="G166" t="str">
        <f>""</f>
        <v/>
      </c>
      <c r="H166" t="str">
        <f>"ОК1.1.1 - 6 ППК1.1.1"</f>
        <v>ОК1.1.1 - 6 ППК1.1.1</v>
      </c>
      <c r="I166" t="str">
        <f>"ДШ (под. 1, ОУ№ 1.1.1 - 6)"</f>
        <v>ДШ (под. 1, ОУ№ 1.1.1 - 6)</v>
      </c>
      <c r="J166" t="str">
        <f>"Курск, Пирогова, 3"</f>
        <v>Курск, Пирогова, 3</v>
      </c>
      <c r="K166" t="str">
        <f t="shared" si="46"/>
        <v>Офис</v>
      </c>
      <c r="L166" t="str">
        <f t="shared" si="48"/>
        <v>14-MAR-13</v>
      </c>
      <c r="M166">
        <v>158609</v>
      </c>
      <c r="N166" t="str">
        <f>""</f>
        <v/>
      </c>
      <c r="O166" t="str">
        <f>"HSH-158609"</f>
        <v>HSH-158609</v>
      </c>
      <c r="P166" t="str">
        <f t="shared" si="37"/>
        <v>Нет</v>
      </c>
      <c r="Q166" t="str">
        <f>"КСК00000000000000027"</f>
        <v>КСК00000000000000027</v>
      </c>
      <c r="R166" t="str">
        <f>""</f>
        <v/>
      </c>
      <c r="S166" t="str">
        <f t="shared" si="38"/>
        <v>Основной</v>
      </c>
      <c r="T166" t="str">
        <f t="shared" si="39"/>
        <v>ГУТС</v>
      </c>
      <c r="U166" t="str">
        <f>""</f>
        <v/>
      </c>
      <c r="V166" t="str">
        <f t="shared" si="40"/>
        <v>Нет</v>
      </c>
      <c r="W166">
        <v>51.722920822140601</v>
      </c>
      <c r="X166">
        <v>36.157051920890801</v>
      </c>
      <c r="Y166" t="str">
        <f>"20000004562410"</f>
        <v>20000004562410</v>
      </c>
    </row>
    <row r="167" spans="1:25" x14ac:dyDescent="0.25">
      <c r="A167">
        <v>907</v>
      </c>
      <c r="B167" t="str">
        <f t="shared" si="36"/>
        <v>Курск</v>
      </c>
      <c r="C167">
        <v>472337</v>
      </c>
      <c r="D167" t="str">
        <f>"ОК1.1.1-19 ППК1.1.1 Курск, Пионеров, 84  п. 1"</f>
        <v>ОК1.1.1-19 ППК1.1.1 Курск, Пионеров, 84  п. 1</v>
      </c>
      <c r="E167" t="str">
        <f t="shared" si="45"/>
        <v>КРС-8/16-SC</v>
      </c>
      <c r="F167" t="str">
        <f t="shared" si="47"/>
        <v>14.03.2013</v>
      </c>
      <c r="G167" t="str">
        <f>""</f>
        <v/>
      </c>
      <c r="H167" t="str">
        <f>"ОК1.1.1-19 ППК1.1.1"</f>
        <v>ОК1.1.1-19 ППК1.1.1</v>
      </c>
      <c r="I167" t="str">
        <f>"ДШ (под. 1, ОУ№ 1.1.1-19)"</f>
        <v>ДШ (под. 1, ОУ№ 1.1.1-19)</v>
      </c>
      <c r="J167" t="str">
        <f>"Курск, Пионеров, 84"</f>
        <v>Курск, Пионеров, 84</v>
      </c>
      <c r="K167" t="str">
        <f t="shared" si="46"/>
        <v>Офис</v>
      </c>
      <c r="L167" t="str">
        <f t="shared" si="48"/>
        <v>14-MAR-13</v>
      </c>
      <c r="M167">
        <v>158610</v>
      </c>
      <c r="N167" t="str">
        <f>""</f>
        <v/>
      </c>
      <c r="O167" t="str">
        <f>"HSH-158610"</f>
        <v>HSH-158610</v>
      </c>
      <c r="P167" t="str">
        <f t="shared" si="37"/>
        <v>Нет</v>
      </c>
      <c r="Q167" t="str">
        <f>"КСК00000000000000027"</f>
        <v>КСК00000000000000027</v>
      </c>
      <c r="R167" t="str">
        <f>""</f>
        <v/>
      </c>
      <c r="S167" t="str">
        <f t="shared" si="38"/>
        <v>Основной</v>
      </c>
      <c r="T167" t="str">
        <f t="shared" si="39"/>
        <v>ГУТС</v>
      </c>
      <c r="U167" t="str">
        <f>""</f>
        <v/>
      </c>
      <c r="V167" t="str">
        <f t="shared" si="40"/>
        <v>Нет</v>
      </c>
      <c r="W167">
        <v>51.714292884989597</v>
      </c>
      <c r="X167">
        <v>36.167452688030302</v>
      </c>
      <c r="Y167" t="str">
        <f>"20000004562411"</f>
        <v>20000004562411</v>
      </c>
    </row>
    <row r="168" spans="1:25" x14ac:dyDescent="0.25">
      <c r="A168">
        <v>907</v>
      </c>
      <c r="B168" t="str">
        <f t="shared" si="36"/>
        <v>Курск</v>
      </c>
      <c r="C168">
        <v>472350</v>
      </c>
      <c r="D168" t="str">
        <f>"ОК1.1.1-18 ППК1.1.1 Курск, Ольшанского, 1  п. 1"</f>
        <v>ОК1.1.1-18 ППК1.1.1 Курск, Ольшанского, 1  п. 1</v>
      </c>
      <c r="E168" t="str">
        <f t="shared" si="45"/>
        <v>КРС-8/16-SC</v>
      </c>
      <c r="F168" t="str">
        <f t="shared" si="47"/>
        <v>14.03.2013</v>
      </c>
      <c r="G168" t="str">
        <f>""</f>
        <v/>
      </c>
      <c r="H168" t="str">
        <f>"ОК1.1.1-18 ППК1.1.1"</f>
        <v>ОК1.1.1-18 ППК1.1.1</v>
      </c>
      <c r="I168" t="str">
        <f>"ДШ (под. 1, ОУ№ 1.1.1-18)"</f>
        <v>ДШ (под. 1, ОУ№ 1.1.1-18)</v>
      </c>
      <c r="J168" t="str">
        <f>"Курск, Ольшанского, 1"</f>
        <v>Курск, Ольшанского, 1</v>
      </c>
      <c r="K168" t="str">
        <f t="shared" si="46"/>
        <v>Офис</v>
      </c>
      <c r="L168" t="str">
        <f t="shared" si="48"/>
        <v>14-MAR-13</v>
      </c>
      <c r="M168">
        <v>158611</v>
      </c>
      <c r="N168" t="str">
        <f>""</f>
        <v/>
      </c>
      <c r="O168" t="str">
        <f>"HSH-158611"</f>
        <v>HSH-158611</v>
      </c>
      <c r="P168" t="str">
        <f t="shared" si="37"/>
        <v>Нет</v>
      </c>
      <c r="Q168" t="str">
        <f>"КСК00000000000000027"</f>
        <v>КСК00000000000000027</v>
      </c>
      <c r="R168" t="str">
        <f>""</f>
        <v/>
      </c>
      <c r="S168" t="str">
        <f t="shared" si="38"/>
        <v>Основной</v>
      </c>
      <c r="T168" t="str">
        <f t="shared" si="39"/>
        <v>ГУТС</v>
      </c>
      <c r="U168" t="str">
        <f>""</f>
        <v/>
      </c>
      <c r="V168" t="str">
        <f t="shared" si="40"/>
        <v>Нет</v>
      </c>
      <c r="W168">
        <v>51.702837119999998</v>
      </c>
      <c r="X168">
        <v>36.161250879999997</v>
      </c>
      <c r="Y168" t="str">
        <f>"20000004562412"</f>
        <v>20000004562412</v>
      </c>
    </row>
    <row r="169" spans="1:25" x14ac:dyDescent="0.25">
      <c r="A169">
        <v>907</v>
      </c>
      <c r="B169" t="str">
        <f t="shared" si="36"/>
        <v>Курск</v>
      </c>
      <c r="C169">
        <v>472454</v>
      </c>
      <c r="D169" t="str">
        <f>"ОК3.1.1 - 2 ППК3.1.1 Курск, Ленина, 90 /2 п. 1"</f>
        <v>ОК3.1.1 - 2 ППК3.1.1 Курск, Ленина, 90 /2 п. 1</v>
      </c>
      <c r="E169" t="str">
        <f t="shared" si="45"/>
        <v>КРС-8/16-SC</v>
      </c>
      <c r="F169" t="str">
        <f t="shared" si="47"/>
        <v>14.03.2013</v>
      </c>
      <c r="G169" t="str">
        <f>""</f>
        <v/>
      </c>
      <c r="H169" t="str">
        <f>"ОК3.1.1 - 2 ППК3.1.1"</f>
        <v>ОК3.1.1 - 2 ППК3.1.1</v>
      </c>
      <c r="I169" t="str">
        <f>"ДШ (под. 1, ОУ№ 3.1.1 - 2)"</f>
        <v>ДШ (под. 1, ОУ№ 3.1.1 - 2)</v>
      </c>
      <c r="J169" t="str">
        <f>"Курск, Ленина, 90 /2"</f>
        <v>Курск, Ленина, 90 /2</v>
      </c>
      <c r="K169" t="str">
        <f t="shared" si="46"/>
        <v>Офис</v>
      </c>
      <c r="L169" t="str">
        <f t="shared" si="48"/>
        <v>14-MAR-13</v>
      </c>
      <c r="M169">
        <v>158619</v>
      </c>
      <c r="N169" t="str">
        <f>""</f>
        <v/>
      </c>
      <c r="O169" t="str">
        <f>"HSH-158619"</f>
        <v>HSH-158619</v>
      </c>
      <c r="P169" t="str">
        <f t="shared" si="37"/>
        <v>Нет</v>
      </c>
      <c r="Q169" t="str">
        <f>"КСК00000000000000178"</f>
        <v>КСК00000000000000178</v>
      </c>
      <c r="R169" t="str">
        <f>""</f>
        <v/>
      </c>
      <c r="S169" t="str">
        <f t="shared" si="38"/>
        <v>Основной</v>
      </c>
      <c r="T169" t="str">
        <f t="shared" si="39"/>
        <v>ГУТС</v>
      </c>
      <c r="U169" t="str">
        <f>""</f>
        <v/>
      </c>
      <c r="V169" t="str">
        <f t="shared" si="40"/>
        <v>Нет</v>
      </c>
      <c r="W169">
        <v>51.745887987998898</v>
      </c>
      <c r="X169">
        <v>36.1937338113785</v>
      </c>
      <c r="Y169" t="str">
        <f>"20000004562416"</f>
        <v>20000004562416</v>
      </c>
    </row>
    <row r="170" spans="1:25" x14ac:dyDescent="0.25">
      <c r="A170">
        <v>907</v>
      </c>
      <c r="B170" t="str">
        <f t="shared" si="36"/>
        <v>Курск</v>
      </c>
      <c r="C170">
        <v>473633</v>
      </c>
      <c r="D170" t="str">
        <f>"ОАО ""Ростелеком"" Курск, Белгородская, 12 б п. 1"</f>
        <v>ОАО "Ростелеком" Курск, Белгородская, 12 б п. 1</v>
      </c>
      <c r="E170" t="str">
        <f t="shared" si="45"/>
        <v>КРС-8/16-SC</v>
      </c>
      <c r="F170" t="str">
        <f>"15.11.2013"</f>
        <v>15.11.2013</v>
      </c>
      <c r="G170" t="str">
        <f>""</f>
        <v/>
      </c>
      <c r="H170" t="str">
        <f>"ОАО ""Ростелеком"""</f>
        <v>ОАО "Ростелеком"</v>
      </c>
      <c r="I170" t="str">
        <f>"Шкаф провайдера 1"</f>
        <v>Шкаф провайдера 1</v>
      </c>
      <c r="J170" t="str">
        <f>"Курск, Белгородская, 12 б"</f>
        <v>Курск, Белгородская, 12 б</v>
      </c>
      <c r="K170" t="str">
        <f>""</f>
        <v/>
      </c>
      <c r="L170" t="str">
        <f>""</f>
        <v/>
      </c>
      <c r="M170">
        <v>0</v>
      </c>
      <c r="N170" t="str">
        <f>""</f>
        <v/>
      </c>
      <c r="O170" t="str">
        <f>"EmptySerial&lt;54182&gt;"</f>
        <v>EmptySerial&lt;54182&gt;</v>
      </c>
      <c r="P170" t="str">
        <f t="shared" si="37"/>
        <v>Нет</v>
      </c>
      <c r="Q170" t="str">
        <f>"КСК00000000000000436"</f>
        <v>КСК00000000000000436</v>
      </c>
      <c r="R170" t="str">
        <f>""</f>
        <v/>
      </c>
      <c r="S170" t="str">
        <f t="shared" si="38"/>
        <v>Основной</v>
      </c>
      <c r="T170" t="str">
        <f t="shared" si="39"/>
        <v>ГУТС</v>
      </c>
      <c r="U170" t="str">
        <f>""</f>
        <v/>
      </c>
      <c r="V170" t="str">
        <f t="shared" si="40"/>
        <v>Нет</v>
      </c>
      <c r="W170">
        <v>51.671611999290697</v>
      </c>
      <c r="X170">
        <v>36.148543283343301</v>
      </c>
      <c r="Y170" t="str">
        <f>"20000004566669"</f>
        <v>20000004566669</v>
      </c>
    </row>
    <row r="171" spans="1:25" x14ac:dyDescent="0.25">
      <c r="A171">
        <v>907</v>
      </c>
      <c r="B171" t="str">
        <f t="shared" si="36"/>
        <v>Курск</v>
      </c>
      <c r="C171">
        <v>474633</v>
      </c>
      <c r="D171" t="str">
        <f>"ОК1.1.1-20 ППК1.1.1 Курск, Малиновая, 2  п. 1"</f>
        <v>ОК1.1.1-20 ППК1.1.1 Курск, Малиновая, 2  п. 1</v>
      </c>
      <c r="E171" t="str">
        <f t="shared" si="45"/>
        <v>КРС-8/16-SC</v>
      </c>
      <c r="F171" t="str">
        <f>"08.04.2013"</f>
        <v>08.04.2013</v>
      </c>
      <c r="G171" t="str">
        <f>""</f>
        <v/>
      </c>
      <c r="H171" t="str">
        <f>"ОК1.1.1-20 ППК1.1.1"</f>
        <v>ОК1.1.1-20 ППК1.1.1</v>
      </c>
      <c r="I171" t="str">
        <f>"ДШ (под. 1, ОУ№ 1.1.1 - 20)"</f>
        <v>ДШ (под. 1, ОУ№ 1.1.1 - 20)</v>
      </c>
      <c r="J171" t="str">
        <f>"Курск, Малиновая, 2"</f>
        <v>Курск, Малиновая, 2</v>
      </c>
      <c r="K171" t="str">
        <f>"Офис"</f>
        <v>Офис</v>
      </c>
      <c r="L171" t="str">
        <f>"08-APR-13"</f>
        <v>08-APR-13</v>
      </c>
      <c r="M171">
        <v>159702</v>
      </c>
      <c r="N171" t="str">
        <f>""</f>
        <v/>
      </c>
      <c r="O171" t="str">
        <f>"HSH-159702"</f>
        <v>HSH-159702</v>
      </c>
      <c r="P171" t="str">
        <f t="shared" si="37"/>
        <v>Нет</v>
      </c>
      <c r="Q171" t="str">
        <f>"КСК00000000000000027"</f>
        <v>КСК00000000000000027</v>
      </c>
      <c r="R171" t="str">
        <f>""</f>
        <v/>
      </c>
      <c r="S171" t="str">
        <f t="shared" si="38"/>
        <v>Основной</v>
      </c>
      <c r="T171" t="str">
        <f t="shared" si="39"/>
        <v>ГУТС</v>
      </c>
      <c r="U171" t="str">
        <f>""</f>
        <v/>
      </c>
      <c r="V171" t="str">
        <f t="shared" si="40"/>
        <v>Нет</v>
      </c>
      <c r="W171">
        <v>51.714463224474102</v>
      </c>
      <c r="X171">
        <v>36.186044419817001</v>
      </c>
      <c r="Y171" t="str">
        <f>"20000004562530"</f>
        <v>20000004562530</v>
      </c>
    </row>
    <row r="172" spans="1:25" x14ac:dyDescent="0.25">
      <c r="A172">
        <v>907</v>
      </c>
      <c r="B172" t="str">
        <f t="shared" si="36"/>
        <v>Курск</v>
      </c>
      <c r="C172">
        <v>474728</v>
      </c>
      <c r="D172" t="str">
        <f>"ОК 7.1 ППК 5.3.1 Курск, Кулакова Пр-Кт, 26  п. 1"</f>
        <v>ОК 7.1 ППК 5.3.1 Курск, Кулакова Пр-Кт, 26  п. 1</v>
      </c>
      <c r="E172" t="str">
        <f t="shared" si="45"/>
        <v>КРС-8/16-SC</v>
      </c>
      <c r="F172" t="str">
        <f>"29.04.2013"</f>
        <v>29.04.2013</v>
      </c>
      <c r="G172" t="str">
        <f>""</f>
        <v/>
      </c>
      <c r="H172" t="str">
        <f>"ОК 7.1 ППК 5.3.1"</f>
        <v>ОК 7.1 ППК 5.3.1</v>
      </c>
      <c r="I172" t="str">
        <f>"ДШ (под. 1, ОУ№ 5.1.1 - 2)"</f>
        <v>ДШ (под. 1, ОУ№ 5.1.1 - 2)</v>
      </c>
      <c r="J172" t="str">
        <f>"Курск, Кулакова Пр-Кт, 26"</f>
        <v>Курск, Кулакова Пр-Кт, 26</v>
      </c>
      <c r="K172" t="str">
        <f>"Офис"</f>
        <v>Офис</v>
      </c>
      <c r="L172" t="str">
        <f>"29-APR-13"</f>
        <v>29-APR-13</v>
      </c>
      <c r="M172">
        <v>160122</v>
      </c>
      <c r="N172" t="str">
        <f>""</f>
        <v/>
      </c>
      <c r="O172" t="str">
        <f>"HSH-160122"</f>
        <v>HSH-160122</v>
      </c>
      <c r="P172" t="str">
        <f t="shared" si="37"/>
        <v>Нет</v>
      </c>
      <c r="Q172" t="str">
        <f>"КСК00000000000000219"</f>
        <v>КСК00000000000000219</v>
      </c>
      <c r="R172" t="str">
        <f>""</f>
        <v/>
      </c>
      <c r="S172" t="str">
        <f t="shared" si="38"/>
        <v>Основной</v>
      </c>
      <c r="T172" t="str">
        <f t="shared" si="39"/>
        <v>ГУТС</v>
      </c>
      <c r="U172" t="str">
        <f>""</f>
        <v/>
      </c>
      <c r="V172" t="str">
        <f t="shared" si="40"/>
        <v>Нет</v>
      </c>
      <c r="W172">
        <v>51.665839762908</v>
      </c>
      <c r="X172">
        <v>36.140003497413602</v>
      </c>
      <c r="Y172" t="str">
        <f>"20000004562562"</f>
        <v>20000004562562</v>
      </c>
    </row>
    <row r="173" spans="1:25" x14ac:dyDescent="0.25">
      <c r="A173">
        <v>907</v>
      </c>
      <c r="B173" t="str">
        <f t="shared" si="36"/>
        <v>Курск</v>
      </c>
      <c r="C173">
        <v>475846</v>
      </c>
      <c r="D173" t="str">
        <f>"OK1.1.1 - 22 ППК 1.1.1 Курск, Дзержинского, 58  п. 1"</f>
        <v>OK1.1.1 - 22 ППК 1.1.1 Курск, Дзержинского, 58  п. 1</v>
      </c>
      <c r="E173" t="str">
        <f t="shared" si="45"/>
        <v>КРС-8/16-SC</v>
      </c>
      <c r="F173" t="str">
        <f>"28.06.2013"</f>
        <v>28.06.2013</v>
      </c>
      <c r="G173" t="str">
        <f>""</f>
        <v/>
      </c>
      <c r="H173" t="str">
        <f>"OK1.1.1 - 22 ППК 1.1.1"</f>
        <v>OK1.1.1 - 22 ППК 1.1.1</v>
      </c>
      <c r="I173" t="str">
        <f>"ДШ (под. 1, ОУ№ 1.1.1 - 22)"</f>
        <v>ДШ (под. 1, ОУ№ 1.1.1 - 22)</v>
      </c>
      <c r="J173" t="str">
        <f>"Курск, Дзержинского, 58"</f>
        <v>Курск, Дзержинского, 58</v>
      </c>
      <c r="K173" t="str">
        <f>"Подъезд"</f>
        <v>Подъезд</v>
      </c>
      <c r="L173" t="str">
        <f>"06-JUN-13"</f>
        <v>06-JUN-13</v>
      </c>
      <c r="M173">
        <v>161214</v>
      </c>
      <c r="N173" t="str">
        <f>""</f>
        <v/>
      </c>
      <c r="O173" t="str">
        <f>"HSH-161214"</f>
        <v>HSH-161214</v>
      </c>
      <c r="P173" t="str">
        <f t="shared" si="37"/>
        <v>Нет</v>
      </c>
      <c r="Q173" t="str">
        <f>"КСК00000000000000027"</f>
        <v>КСК00000000000000027</v>
      </c>
      <c r="R173" t="str">
        <f>""</f>
        <v/>
      </c>
      <c r="S173" t="str">
        <f t="shared" si="38"/>
        <v>Основной</v>
      </c>
      <c r="T173" t="str">
        <f t="shared" si="39"/>
        <v>ГУТС</v>
      </c>
      <c r="U173" t="str">
        <f>""</f>
        <v/>
      </c>
      <c r="V173" t="str">
        <f t="shared" si="40"/>
        <v>Нет</v>
      </c>
      <c r="W173">
        <v>51.725638222026902</v>
      </c>
      <c r="X173">
        <v>36.181900441646697</v>
      </c>
      <c r="Y173" t="str">
        <f>"20000004562625"</f>
        <v>20000004562625</v>
      </c>
    </row>
    <row r="174" spans="1:25" x14ac:dyDescent="0.25">
      <c r="A174">
        <v>907</v>
      </c>
      <c r="B174" t="str">
        <f t="shared" si="36"/>
        <v>Курск</v>
      </c>
      <c r="C174">
        <v>476846</v>
      </c>
      <c r="D174" t="str">
        <f>"ГОК 5.3.8.1 Курск, Черняховского, 52  п. 4"</f>
        <v>ГОК 5.3.8.1 Курск, Черняховского, 52  п. 4</v>
      </c>
      <c r="E174" t="str">
        <f t="shared" si="45"/>
        <v>КРС-8/16-SC</v>
      </c>
      <c r="F174" t="str">
        <f>"12.07.2013"</f>
        <v>12.07.2013</v>
      </c>
      <c r="G174" t="str">
        <f>""</f>
        <v/>
      </c>
      <c r="H174" t="str">
        <f>"ГОК 5.3.8.1"</f>
        <v>ГОК 5.3.8.1</v>
      </c>
      <c r="I174" t="str">
        <f>"ДШ (под. 4, ОУ№ 1)"</f>
        <v>ДШ (под. 4, ОУ№ 1)</v>
      </c>
      <c r="J174" t="str">
        <f>"Курск, Черняховского, 52"</f>
        <v>Курск, Черняховского, 52</v>
      </c>
      <c r="K174" t="str">
        <f>"Подъезд"</f>
        <v>Подъезд</v>
      </c>
      <c r="L174" t="str">
        <f>"28-JUL-12"</f>
        <v>28-JUL-12</v>
      </c>
      <c r="M174">
        <v>161403</v>
      </c>
      <c r="N174" t="str">
        <f>""</f>
        <v/>
      </c>
      <c r="O174" t="str">
        <f>"HSH-161403"</f>
        <v>HSH-161403</v>
      </c>
      <c r="P174" t="str">
        <f t="shared" si="37"/>
        <v>Нет</v>
      </c>
      <c r="Q174" t="str">
        <f>"КСК00000000000000299"</f>
        <v>КСК00000000000000299</v>
      </c>
      <c r="R174" t="str">
        <f>""</f>
        <v/>
      </c>
      <c r="S174" t="str">
        <f t="shared" si="38"/>
        <v>Основной</v>
      </c>
      <c r="T174" t="str">
        <f t="shared" si="39"/>
        <v>ГУТС</v>
      </c>
      <c r="U174" t="str">
        <f>""</f>
        <v/>
      </c>
      <c r="V174" t="str">
        <f t="shared" si="40"/>
        <v>Нет</v>
      </c>
      <c r="W174">
        <v>51.673739660467398</v>
      </c>
      <c r="X174">
        <v>36.159792835525501</v>
      </c>
      <c r="Y174" t="str">
        <f>"20000004562655"</f>
        <v>20000004562655</v>
      </c>
    </row>
    <row r="175" spans="1:25" x14ac:dyDescent="0.25">
      <c r="A175">
        <v>907</v>
      </c>
      <c r="B175" t="str">
        <f t="shared" si="36"/>
        <v>Курск</v>
      </c>
      <c r="C175">
        <v>477054</v>
      </c>
      <c r="D175" t="str">
        <f>"ГОК 2.3.8.1 Курск, Звездная, 19  п. 4"</f>
        <v>ГОК 2.3.8.1 Курск, Звездная, 19  п. 4</v>
      </c>
      <c r="E175" t="str">
        <f>"КРН-16-SC"</f>
        <v>КРН-16-SC</v>
      </c>
      <c r="F175" t="str">
        <f>"15.07.2013"</f>
        <v>15.07.2013</v>
      </c>
      <c r="G175" t="str">
        <f>""</f>
        <v/>
      </c>
      <c r="H175" t="str">
        <f>"ГОК 2.3.8.1"</f>
        <v>ГОК 2.3.8.1</v>
      </c>
      <c r="I175" t="str">
        <f>"ДШ (под. 4, ОУ№ 1)"</f>
        <v>ДШ (под. 4, ОУ№ 1)</v>
      </c>
      <c r="J175" t="str">
        <f>"Курск, Звездная, 19"</f>
        <v>Курск, Звездная, 19</v>
      </c>
      <c r="K175" t="str">
        <f>"ДШ-2"</f>
        <v>ДШ-2</v>
      </c>
      <c r="L175" t="str">
        <f>"17-FEB-12"</f>
        <v>17-FEB-12</v>
      </c>
      <c r="N175" t="str">
        <f>""</f>
        <v/>
      </c>
      <c r="O175" t="str">
        <f>"EmptySerial&lt;48682&gt;"</f>
        <v>EmptySerial&lt;48682&gt;</v>
      </c>
      <c r="P175" t="str">
        <f t="shared" si="37"/>
        <v>Нет</v>
      </c>
      <c r="Q175" t="str">
        <f>"КСК00000000000000133"</f>
        <v>КСК00000000000000133</v>
      </c>
      <c r="R175" t="str">
        <f>""</f>
        <v/>
      </c>
      <c r="S175" t="str">
        <f t="shared" si="38"/>
        <v>Основной</v>
      </c>
      <c r="T175" t="str">
        <f t="shared" si="39"/>
        <v>ГУТС</v>
      </c>
      <c r="U175" t="str">
        <f>""</f>
        <v/>
      </c>
      <c r="V175" t="str">
        <f t="shared" si="40"/>
        <v>Нет</v>
      </c>
      <c r="W175">
        <v>51.723391438935103</v>
      </c>
      <c r="X175">
        <v>36.145944590381603</v>
      </c>
      <c r="Y175" t="str">
        <f>"20000004562657"</f>
        <v>20000004562657</v>
      </c>
    </row>
    <row r="176" spans="1:25" x14ac:dyDescent="0.25">
      <c r="A176">
        <v>907</v>
      </c>
      <c r="B176" t="str">
        <f t="shared" si="36"/>
        <v>Курск</v>
      </c>
      <c r="C176">
        <v>477246</v>
      </c>
      <c r="D176" t="str">
        <f>"ОК1.1.1 - 25 ППК1.1.1 Курск, Дзержинского, 74  п. 1"</f>
        <v>ОК1.1.1 - 25 ППК1.1.1 Курск, Дзержинского, 74  п. 1</v>
      </c>
      <c r="E176" t="str">
        <f>"КРС-8/16-SC"</f>
        <v>КРС-8/16-SC</v>
      </c>
      <c r="F176" t="str">
        <f>"16.07.2013"</f>
        <v>16.07.2013</v>
      </c>
      <c r="G176" t="str">
        <f>""</f>
        <v/>
      </c>
      <c r="H176" t="str">
        <f>"ОК1.1.1 - 25 ППК1.1.1"</f>
        <v>ОК1.1.1 - 25 ППК1.1.1</v>
      </c>
      <c r="I176" t="str">
        <f>"ДШ (под. 1, ОУ№ 1.1.1 - 25)"</f>
        <v>ДШ (под. 1, ОУ№ 1.1.1 - 25)</v>
      </c>
      <c r="J176" t="str">
        <f>"Курск, Дзержинского, 74"</f>
        <v>Курск, Дзержинского, 74</v>
      </c>
      <c r="K176" t="str">
        <f>"Офис"</f>
        <v>Офис</v>
      </c>
      <c r="L176" t="str">
        <f>"04-JUL-13"</f>
        <v>04-JUL-13</v>
      </c>
      <c r="M176">
        <v>161502</v>
      </c>
      <c r="N176" t="str">
        <f>""</f>
        <v/>
      </c>
      <c r="O176" t="str">
        <f>"HSH-161502"</f>
        <v>HSH-161502</v>
      </c>
      <c r="P176" t="str">
        <f t="shared" si="37"/>
        <v>Нет</v>
      </c>
      <c r="Q176" t="str">
        <f>"КСК00000000000000027"</f>
        <v>КСК00000000000000027</v>
      </c>
      <c r="R176" t="str">
        <f>""</f>
        <v/>
      </c>
      <c r="S176" t="str">
        <f t="shared" si="38"/>
        <v>Основной</v>
      </c>
      <c r="T176" t="str">
        <f t="shared" si="39"/>
        <v>ГУТС</v>
      </c>
      <c r="U176" t="str">
        <f>""</f>
        <v/>
      </c>
      <c r="V176" t="str">
        <f t="shared" si="40"/>
        <v>Нет</v>
      </c>
      <c r="W176">
        <v>51.723835061907799</v>
      </c>
      <c r="X176">
        <v>36.176639253906302</v>
      </c>
      <c r="Y176" t="str">
        <f>"20000004562658"</f>
        <v>20000004562658</v>
      </c>
    </row>
    <row r="177" spans="1:25" x14ac:dyDescent="0.25">
      <c r="A177">
        <v>907</v>
      </c>
      <c r="B177" t="str">
        <f t="shared" si="36"/>
        <v>Курск</v>
      </c>
      <c r="C177">
        <v>478046</v>
      </c>
      <c r="D177" t="str">
        <f>"ГОК3.4.3.1 Курск, Л.Толстого, 1  п. 3"</f>
        <v>ГОК3.4.3.1 Курск, Л.Толстого, 1  п. 3</v>
      </c>
      <c r="E177" t="str">
        <f>"КРС-8/16-SC"</f>
        <v>КРС-8/16-SC</v>
      </c>
      <c r="F177" t="str">
        <f>"25.07.2013"</f>
        <v>25.07.2013</v>
      </c>
      <c r="G177" t="str">
        <f>""</f>
        <v/>
      </c>
      <c r="H177" t="str">
        <f>"ГОК3.4.3.1"</f>
        <v>ГОК3.4.3.1</v>
      </c>
      <c r="I177" t="str">
        <f>"ДШ (под. 3, ОУ№ 1)"</f>
        <v>ДШ (под. 3, ОУ№ 1)</v>
      </c>
      <c r="J177" t="str">
        <f>"Курск, Л.Толстого, 1"</f>
        <v>Курск, Л.Толстого, 1</v>
      </c>
      <c r="K177" t="str">
        <f>"Подъезд"</f>
        <v>Подъезд</v>
      </c>
      <c r="L177" t="str">
        <f>"17-MAY-13"</f>
        <v>17-MAY-13</v>
      </c>
      <c r="M177">
        <v>161660</v>
      </c>
      <c r="N177" t="str">
        <f>""</f>
        <v/>
      </c>
      <c r="O177" t="str">
        <f>"HSH-161660"</f>
        <v>HSH-161660</v>
      </c>
      <c r="P177" t="str">
        <f t="shared" si="37"/>
        <v>Нет</v>
      </c>
      <c r="Q177" t="str">
        <f>"КСК00000000000000494"</f>
        <v>КСК00000000000000494</v>
      </c>
      <c r="R177" t="str">
        <f>""</f>
        <v/>
      </c>
      <c r="S177" t="str">
        <f t="shared" si="38"/>
        <v>Основной</v>
      </c>
      <c r="T177" t="str">
        <f t="shared" si="39"/>
        <v>ГУТС</v>
      </c>
      <c r="U177" t="str">
        <f>""</f>
        <v/>
      </c>
      <c r="V177" t="str">
        <f t="shared" si="40"/>
        <v>Нет</v>
      </c>
      <c r="W177">
        <v>51.746196460213497</v>
      </c>
      <c r="X177">
        <v>36.202196180820501</v>
      </c>
      <c r="Y177" t="str">
        <f>"20000004562729"</f>
        <v>20000004562729</v>
      </c>
    </row>
    <row r="178" spans="1:25" x14ac:dyDescent="0.25">
      <c r="A178">
        <v>907</v>
      </c>
      <c r="B178" t="str">
        <f t="shared" si="36"/>
        <v>Курск</v>
      </c>
      <c r="C178">
        <v>481348</v>
      </c>
      <c r="D178" t="str">
        <f>"МОК 2.2.1 Курск, Дружбы Пр-Кт, 4 б п. "</f>
        <v xml:space="preserve">МОК 2.2.1 Курск, Дружбы Пр-Кт, 4 б п. </v>
      </c>
      <c r="E178" t="str">
        <f>"КРС-128-SC"</f>
        <v>КРС-128-SC</v>
      </c>
      <c r="F178" t="str">
        <f>"08.08.2013"</f>
        <v>08.08.2013</v>
      </c>
      <c r="G178" t="str">
        <f>""</f>
        <v/>
      </c>
      <c r="H178" t="str">
        <f>"МОК 2.2.1"</f>
        <v>МОК 2.2.1</v>
      </c>
      <c r="I178" t="str">
        <f>"Стойка 2 спереди"</f>
        <v>Стойка 2 спереди</v>
      </c>
      <c r="J178" t="str">
        <f>"Курск, Дружбы Пр-Кт, 4 б"</f>
        <v>Курск, Дружбы Пр-Кт, 4 б</v>
      </c>
      <c r="K178" t="str">
        <f t="shared" ref="K178:K185" si="49">"Серверная"</f>
        <v>Серверная</v>
      </c>
      <c r="L178" t="str">
        <f>"11-NOV-11"</f>
        <v>11-NOV-11</v>
      </c>
      <c r="N178" t="str">
        <f>""</f>
        <v/>
      </c>
      <c r="O178" t="str">
        <f>"EmptySerial&lt;51963&gt;"</f>
        <v>EmptySerial&lt;51963&gt;</v>
      </c>
      <c r="P178" t="str">
        <f t="shared" si="37"/>
        <v>Нет</v>
      </c>
      <c r="Q178" t="str">
        <f>"КСК00000000000000146"</f>
        <v>КСК00000000000000146</v>
      </c>
      <c r="R178" t="str">
        <f>""</f>
        <v/>
      </c>
      <c r="S178" t="str">
        <f t="shared" si="38"/>
        <v>Основной</v>
      </c>
      <c r="T178" t="str">
        <f t="shared" si="39"/>
        <v>ГУТС</v>
      </c>
      <c r="U178" t="str">
        <f>""</f>
        <v/>
      </c>
      <c r="V178" t="str">
        <f t="shared" si="40"/>
        <v>Нет</v>
      </c>
      <c r="W178">
        <v>51.742488039999998</v>
      </c>
      <c r="X178">
        <v>36.139707919999999</v>
      </c>
      <c r="Y178" t="str">
        <f>"20000004565506"</f>
        <v>20000004565506</v>
      </c>
    </row>
    <row r="179" spans="1:25" x14ac:dyDescent="0.25">
      <c r="A179">
        <v>907</v>
      </c>
      <c r="B179" t="str">
        <f t="shared" si="36"/>
        <v>Курск</v>
      </c>
      <c r="C179">
        <v>481481</v>
      </c>
      <c r="D179" t="str">
        <f>"МОК2.5.2 Курск, Дружбы Пр-Кт, 4 б п. "</f>
        <v xml:space="preserve">МОК2.5.2 Курск, Дружбы Пр-Кт, 4 б п. </v>
      </c>
      <c r="E179" t="str">
        <f>"КРС-128-SC"</f>
        <v>КРС-128-SC</v>
      </c>
      <c r="F179" t="str">
        <f>"08.08.2013"</f>
        <v>08.08.2013</v>
      </c>
      <c r="G179" t="str">
        <f>""</f>
        <v/>
      </c>
      <c r="H179" t="str">
        <f>"МОК2.5.2"</f>
        <v>МОК2.5.2</v>
      </c>
      <c r="I179" t="str">
        <f>"Стойка 2 спереди"</f>
        <v>Стойка 2 спереди</v>
      </c>
      <c r="J179" t="str">
        <f>"Курск, Дружбы Пр-Кт, 4 б"</f>
        <v>Курск, Дружбы Пр-Кт, 4 б</v>
      </c>
      <c r="K179" t="str">
        <f t="shared" si="49"/>
        <v>Серверная</v>
      </c>
      <c r="L179" t="str">
        <f>"11-NOV-11"</f>
        <v>11-NOV-11</v>
      </c>
      <c r="N179" t="str">
        <f>""</f>
        <v/>
      </c>
      <c r="O179" t="str">
        <f>"EmptySerial&lt;51957&gt;"</f>
        <v>EmptySerial&lt;51957&gt;</v>
      </c>
      <c r="P179" t="str">
        <f t="shared" si="37"/>
        <v>Нет</v>
      </c>
      <c r="Q179" t="str">
        <f>"КСК00000000000000148"</f>
        <v>КСК00000000000000148</v>
      </c>
      <c r="R179" t="str">
        <f>""</f>
        <v/>
      </c>
      <c r="S179" t="str">
        <f t="shared" si="38"/>
        <v>Основной</v>
      </c>
      <c r="T179" t="str">
        <f t="shared" si="39"/>
        <v>ГУТС</v>
      </c>
      <c r="U179" t="str">
        <f>""</f>
        <v/>
      </c>
      <c r="V179" t="str">
        <f t="shared" si="40"/>
        <v>Нет</v>
      </c>
      <c r="W179">
        <v>51.742449839999999</v>
      </c>
      <c r="X179">
        <v>36.139626110000002</v>
      </c>
      <c r="Y179" t="str">
        <f>"20000004565507"</f>
        <v>20000004565507</v>
      </c>
    </row>
    <row r="180" spans="1:25" x14ac:dyDescent="0.25">
      <c r="A180">
        <v>907</v>
      </c>
      <c r="B180" t="str">
        <f t="shared" si="36"/>
        <v>Курск</v>
      </c>
      <c r="C180">
        <v>481614</v>
      </c>
      <c r="D180" t="str">
        <f>"МОК2.3.1 Курск, Дружбы Пр-Кт, 4 б п. "</f>
        <v xml:space="preserve">МОК2.3.1 Курск, Дружбы Пр-Кт, 4 б п. </v>
      </c>
      <c r="E180" t="str">
        <f>"КРС-64-SC"</f>
        <v>КРС-64-SC</v>
      </c>
      <c r="F180" t="str">
        <f>"08.08.2013"</f>
        <v>08.08.2013</v>
      </c>
      <c r="G180" t="str">
        <f>""</f>
        <v/>
      </c>
      <c r="H180" t="str">
        <f>"МОК2.3.1"</f>
        <v>МОК2.3.1</v>
      </c>
      <c r="I180" t="str">
        <f>"Стойка 2 спереди"</f>
        <v>Стойка 2 спереди</v>
      </c>
      <c r="J180" t="str">
        <f>"Курск, Дружбы Пр-Кт, 4 б"</f>
        <v>Курск, Дружбы Пр-Кт, 4 б</v>
      </c>
      <c r="K180" t="str">
        <f t="shared" si="49"/>
        <v>Серверная</v>
      </c>
      <c r="L180" t="str">
        <f>"17-NOV-12"</f>
        <v>17-NOV-12</v>
      </c>
      <c r="N180" t="str">
        <f>""</f>
        <v/>
      </c>
      <c r="O180" t="str">
        <f>"EmptySerial&lt;51960&gt;"</f>
        <v>EmptySerial&lt;51960&gt;</v>
      </c>
      <c r="P180" t="str">
        <f t="shared" si="37"/>
        <v>Нет</v>
      </c>
      <c r="Q180" t="str">
        <f>"КСК00000000000000147"</f>
        <v>КСК00000000000000147</v>
      </c>
      <c r="R180" t="str">
        <f>""</f>
        <v/>
      </c>
      <c r="S180" t="str">
        <f t="shared" si="38"/>
        <v>Основной</v>
      </c>
      <c r="T180" t="str">
        <f t="shared" si="39"/>
        <v>ГУТС</v>
      </c>
      <c r="U180" t="str">
        <f>""</f>
        <v/>
      </c>
      <c r="V180" t="str">
        <f t="shared" si="40"/>
        <v>Нет</v>
      </c>
      <c r="W180">
        <v>51.742502159349101</v>
      </c>
      <c r="X180">
        <v>36.139573807529402</v>
      </c>
      <c r="Y180" t="str">
        <f>"20000004565503"</f>
        <v>20000004565503</v>
      </c>
    </row>
    <row r="181" spans="1:25" x14ac:dyDescent="0.25">
      <c r="A181">
        <v>907</v>
      </c>
      <c r="B181" t="str">
        <f t="shared" si="36"/>
        <v>Курск</v>
      </c>
      <c r="C181">
        <v>481816</v>
      </c>
      <c r="D181" t="str">
        <f>"МОК 2.2.2 Курск, Дружбы Пр-Кт, 4 б п. "</f>
        <v xml:space="preserve">МОК 2.2.2 Курск, Дружбы Пр-Кт, 4 б п. </v>
      </c>
      <c r="E181" t="str">
        <f>"КРС-128-SC"</f>
        <v>КРС-128-SC</v>
      </c>
      <c r="F181" t="str">
        <f>"08.08.2013"</f>
        <v>08.08.2013</v>
      </c>
      <c r="G181" t="str">
        <f>""</f>
        <v/>
      </c>
      <c r="H181" t="str">
        <f>"МОК 2.2.2"</f>
        <v>МОК 2.2.2</v>
      </c>
      <c r="I181" t="str">
        <f>"Стойка 2 спереди"</f>
        <v>Стойка 2 спереди</v>
      </c>
      <c r="J181" t="str">
        <f>"Курск, Дружбы Пр-Кт, 4 б"</f>
        <v>Курск, Дружбы Пр-Кт, 4 б</v>
      </c>
      <c r="K181" t="str">
        <f t="shared" si="49"/>
        <v>Серверная</v>
      </c>
      <c r="L181" t="str">
        <f>"11-NOV-11"</f>
        <v>11-NOV-11</v>
      </c>
      <c r="N181" t="str">
        <f>""</f>
        <v/>
      </c>
      <c r="O181" t="str">
        <f>"EmptySerial&lt;51965&gt;"</f>
        <v>EmptySerial&lt;51965&gt;</v>
      </c>
      <c r="P181" t="str">
        <f t="shared" si="37"/>
        <v>Нет</v>
      </c>
      <c r="Q181" t="str">
        <f>"КСК00000000000000149"</f>
        <v>КСК00000000000000149</v>
      </c>
      <c r="R181" t="str">
        <f>""</f>
        <v/>
      </c>
      <c r="S181" t="str">
        <f t="shared" si="38"/>
        <v>Основной</v>
      </c>
      <c r="T181" t="str">
        <f t="shared" si="39"/>
        <v>ГУТС</v>
      </c>
      <c r="U181" t="str">
        <f>""</f>
        <v/>
      </c>
      <c r="V181" t="str">
        <f t="shared" si="40"/>
        <v>Нет</v>
      </c>
      <c r="W181">
        <v>51.742527899999999</v>
      </c>
      <c r="X181">
        <v>36.139512789999998</v>
      </c>
      <c r="Y181" t="str">
        <f>"20000004565509"</f>
        <v>20000004565509</v>
      </c>
    </row>
    <row r="182" spans="1:25" x14ac:dyDescent="0.25">
      <c r="A182">
        <v>907</v>
      </c>
      <c r="B182" t="str">
        <f t="shared" si="36"/>
        <v>Курск</v>
      </c>
      <c r="C182">
        <v>483584</v>
      </c>
      <c r="D182" t="str">
        <f>"МОК4.2.1 Курск, Герцена, 3  п. "</f>
        <v xml:space="preserve">МОК4.2.1 Курск, Герцена, 3  п. </v>
      </c>
      <c r="E182" t="str">
        <f>"КРС-144-SC"</f>
        <v>КРС-144-SC</v>
      </c>
      <c r="F182" t="str">
        <f>"15.08.2013"</f>
        <v>15.08.2013</v>
      </c>
      <c r="G182" t="str">
        <f>""</f>
        <v/>
      </c>
      <c r="H182" t="str">
        <f>"МОК4.2.1"</f>
        <v>МОК4.2.1</v>
      </c>
      <c r="I182" t="str">
        <f>"Отсек 2"</f>
        <v>Отсек 2</v>
      </c>
      <c r="J182" t="str">
        <f>"Курск, Герцена, 3"</f>
        <v>Курск, Герцена, 3</v>
      </c>
      <c r="K182" t="str">
        <f t="shared" si="49"/>
        <v>Серверная</v>
      </c>
      <c r="L182" t="str">
        <f>"18-MAY-12"</f>
        <v>18-MAY-12</v>
      </c>
      <c r="N182" t="str">
        <f>""</f>
        <v/>
      </c>
      <c r="O182" t="str">
        <f>"EmptySerial&lt;52086&gt;"</f>
        <v>EmptySerial&lt;52086&gt;</v>
      </c>
      <c r="P182" t="str">
        <f t="shared" si="37"/>
        <v>Нет</v>
      </c>
      <c r="Q182" t="str">
        <f>"КСК00000000000000424"</f>
        <v>КСК00000000000000424</v>
      </c>
      <c r="R182" t="str">
        <f>""</f>
        <v/>
      </c>
      <c r="S182" t="str">
        <f t="shared" si="38"/>
        <v>Основной</v>
      </c>
      <c r="T182" t="str">
        <f t="shared" si="39"/>
        <v>ГУТС</v>
      </c>
      <c r="U182" t="str">
        <f>""</f>
        <v/>
      </c>
      <c r="V182" t="str">
        <f t="shared" si="40"/>
        <v>Нет</v>
      </c>
      <c r="W182">
        <v>51.7490036992032</v>
      </c>
      <c r="X182">
        <v>36.242848443500002</v>
      </c>
      <c r="Y182" t="str">
        <f>"20000004565618"</f>
        <v>20000004565618</v>
      </c>
    </row>
    <row r="183" spans="1:25" x14ac:dyDescent="0.25">
      <c r="A183">
        <v>907</v>
      </c>
      <c r="B183" t="str">
        <f t="shared" si="36"/>
        <v>Курск</v>
      </c>
      <c r="C183">
        <v>483733</v>
      </c>
      <c r="D183" t="str">
        <f>"МОК4.1.1 Курск, Герцена, 3  п. "</f>
        <v xml:space="preserve">МОК4.1.1 Курск, Герцена, 3  п. </v>
      </c>
      <c r="E183" t="str">
        <f>"КРС-144-SC"</f>
        <v>КРС-144-SC</v>
      </c>
      <c r="F183" t="str">
        <f>"15.08.2013"</f>
        <v>15.08.2013</v>
      </c>
      <c r="G183" t="str">
        <f>""</f>
        <v/>
      </c>
      <c r="H183" t="str">
        <f>"МОК4.1.1"</f>
        <v>МОК4.1.1</v>
      </c>
      <c r="I183" t="str">
        <f>"Отсек 2"</f>
        <v>Отсек 2</v>
      </c>
      <c r="J183" t="str">
        <f>"Курск, Герцена, 3"</f>
        <v>Курск, Герцена, 3</v>
      </c>
      <c r="K183" t="str">
        <f t="shared" si="49"/>
        <v>Серверная</v>
      </c>
      <c r="L183" t="str">
        <f>"11-JUL-12"</f>
        <v>11-JUL-12</v>
      </c>
      <c r="N183" t="str">
        <f>""</f>
        <v/>
      </c>
      <c r="O183" t="str">
        <f>"EmptySerial&lt;52087&gt;"</f>
        <v>EmptySerial&lt;52087&gt;</v>
      </c>
      <c r="P183" t="str">
        <f t="shared" si="37"/>
        <v>Нет</v>
      </c>
      <c r="Q183" t="str">
        <f>"КСК00000000000000367"</f>
        <v>КСК00000000000000367</v>
      </c>
      <c r="R183" t="str">
        <f>""</f>
        <v/>
      </c>
      <c r="S183" t="str">
        <f t="shared" si="38"/>
        <v>Основной</v>
      </c>
      <c r="T183" t="str">
        <f t="shared" si="39"/>
        <v>ГУТС</v>
      </c>
      <c r="U183" t="str">
        <f>""</f>
        <v/>
      </c>
      <c r="V183" t="str">
        <f t="shared" si="40"/>
        <v>Нет</v>
      </c>
      <c r="W183">
        <v>51.749070537337701</v>
      </c>
      <c r="X183">
        <v>36.242679799608197</v>
      </c>
      <c r="Y183" t="str">
        <f>"20000004565619"</f>
        <v>20000004565619</v>
      </c>
    </row>
    <row r="184" spans="1:25" x14ac:dyDescent="0.25">
      <c r="A184">
        <v>907</v>
      </c>
      <c r="B184" t="str">
        <f t="shared" si="36"/>
        <v>Курск</v>
      </c>
      <c r="C184">
        <v>484315</v>
      </c>
      <c r="D184" t="str">
        <f>"МОК5.2.2 Курск, Гагарина, 26 а п. "</f>
        <v xml:space="preserve">МОК5.2.2 Курск, Гагарина, 26 а п. </v>
      </c>
      <c r="E184" t="str">
        <f>"КРС-64-SC"</f>
        <v>КРС-64-SC</v>
      </c>
      <c r="F184" t="str">
        <f>"20.08.2013"</f>
        <v>20.08.2013</v>
      </c>
      <c r="G184" t="str">
        <f>""</f>
        <v/>
      </c>
      <c r="H184" t="str">
        <f>"МОК5.2.2"</f>
        <v>МОК5.2.2</v>
      </c>
      <c r="I184" t="str">
        <f>"Стойка 2 спереди"</f>
        <v>Стойка 2 спереди</v>
      </c>
      <c r="J184" t="str">
        <f>"Курск, Гагарина, 26 а"</f>
        <v>Курск, Гагарина, 26 а</v>
      </c>
      <c r="K184" t="str">
        <f t="shared" si="49"/>
        <v>Серверная</v>
      </c>
      <c r="L184" t="str">
        <f>"23-MAY-12"</f>
        <v>23-MAY-12</v>
      </c>
      <c r="N184" t="str">
        <f>""</f>
        <v/>
      </c>
      <c r="O184" t="str">
        <f>"EmptySerial&lt;52334&gt;"</f>
        <v>EmptySerial&lt;52334&gt;</v>
      </c>
      <c r="P184" t="str">
        <f t="shared" si="37"/>
        <v>Нет</v>
      </c>
      <c r="Q184" t="str">
        <f>"КСК00000000000000365"</f>
        <v>КСК00000000000000365</v>
      </c>
      <c r="R184" t="str">
        <f>""</f>
        <v/>
      </c>
      <c r="S184" t="str">
        <f t="shared" si="38"/>
        <v>Основной</v>
      </c>
      <c r="T184" t="str">
        <f t="shared" si="39"/>
        <v>ГУТС</v>
      </c>
      <c r="U184" t="str">
        <f>""</f>
        <v/>
      </c>
      <c r="V184" t="str">
        <f t="shared" si="40"/>
        <v>Нет</v>
      </c>
      <c r="W184">
        <v>51.669517903036898</v>
      </c>
      <c r="X184">
        <v>36.131917978338201</v>
      </c>
      <c r="Y184" t="str">
        <f>"20000004565629"</f>
        <v>20000004565629</v>
      </c>
    </row>
    <row r="185" spans="1:25" x14ac:dyDescent="0.25">
      <c r="A185">
        <v>907</v>
      </c>
      <c r="B185" t="str">
        <f t="shared" si="36"/>
        <v>Курск</v>
      </c>
      <c r="C185">
        <v>486646</v>
      </c>
      <c r="D185" t="str">
        <f>"УФСБ России по Курской области (СОРМ) Курск, Добролюбова, 5  п. "</f>
        <v xml:space="preserve">УФСБ России по Курской области (СОРМ) Курск, Добролюбова, 5  п. </v>
      </c>
      <c r="E185" t="str">
        <f>"КРС-8/16-SC"</f>
        <v>КРС-8/16-SC</v>
      </c>
      <c r="F185" t="str">
        <f>"18.09.2013"</f>
        <v>18.09.2013</v>
      </c>
      <c r="G185" t="str">
        <f>""</f>
        <v/>
      </c>
      <c r="H185" t="str">
        <f>"УФСБ России по Курской области (СОРМ)"</f>
        <v>УФСБ России по Курской области (СОРМ)</v>
      </c>
      <c r="I185" t="str">
        <f>"Шкаф провайдера"</f>
        <v>Шкаф провайдера</v>
      </c>
      <c r="J185" t="str">
        <f>"Курск, Добролюбова, 5"</f>
        <v>Курск, Добролюбова, 5</v>
      </c>
      <c r="K185" t="str">
        <f t="shared" si="49"/>
        <v>Серверная</v>
      </c>
      <c r="L185" t="str">
        <f>"30-NOV-11"</f>
        <v>30-NOV-11</v>
      </c>
      <c r="N185" t="str">
        <f>""</f>
        <v/>
      </c>
      <c r="O185" t="str">
        <f>"EmptySerial&lt;52883&gt;"</f>
        <v>EmptySerial&lt;52883&gt;</v>
      </c>
      <c r="P185" t="str">
        <f t="shared" si="37"/>
        <v>Нет</v>
      </c>
      <c r="Q185" t="str">
        <f>""</f>
        <v/>
      </c>
      <c r="R185" t="str">
        <f>""</f>
        <v/>
      </c>
      <c r="S185" t="str">
        <f t="shared" si="38"/>
        <v>Основной</v>
      </c>
      <c r="T185" t="str">
        <f t="shared" si="39"/>
        <v>ГУТС</v>
      </c>
      <c r="U185" t="str">
        <f>""</f>
        <v/>
      </c>
      <c r="V185" t="str">
        <f t="shared" si="40"/>
        <v>Нет</v>
      </c>
      <c r="W185">
        <v>51.725600922798897</v>
      </c>
      <c r="X185">
        <v>36.185174748301499</v>
      </c>
      <c r="Y185" t="str">
        <f>"20000004565941"</f>
        <v>20000004565941</v>
      </c>
    </row>
    <row r="186" spans="1:25" x14ac:dyDescent="0.25">
      <c r="A186">
        <v>907</v>
      </c>
      <c r="B186" t="str">
        <f t="shared" si="36"/>
        <v>Курск</v>
      </c>
      <c r="C186">
        <v>490580</v>
      </c>
      <c r="D186" t="str">
        <f>"ОК 1.1.1 - 26 Курск, Александра Невского, 7  п. 1"</f>
        <v>ОК 1.1.1 - 26 Курск, Александра Невского, 7  п. 1</v>
      </c>
      <c r="E186" t="str">
        <f>"КРС-8/16-SC"</f>
        <v>КРС-8/16-SC</v>
      </c>
      <c r="F186" t="str">
        <f>"30.10.2013"</f>
        <v>30.10.2013</v>
      </c>
      <c r="G186" t="str">
        <f>""</f>
        <v/>
      </c>
      <c r="H186" t="str">
        <f>"ОК 1.1.1 - 26"</f>
        <v>ОК 1.1.1 - 26</v>
      </c>
      <c r="I186" t="str">
        <f>"ДШ (под. 1, ОУ№ 1.1.1 - 26)"</f>
        <v>ДШ (под. 1, ОУ№ 1.1.1 - 26)</v>
      </c>
      <c r="J186" t="str">
        <f>"Курск, Александра Невского, 7"</f>
        <v>Курск, Александра Невского, 7</v>
      </c>
      <c r="K186" t="str">
        <f>"Офис"</f>
        <v>Офис</v>
      </c>
      <c r="L186" t="str">
        <f>"03-OCT-13"</f>
        <v>03-OCT-13</v>
      </c>
      <c r="M186">
        <v>164302</v>
      </c>
      <c r="N186" t="str">
        <f>""</f>
        <v/>
      </c>
      <c r="O186" t="str">
        <f>"HSH-164302"</f>
        <v>HSH-164302</v>
      </c>
      <c r="P186" t="str">
        <f t="shared" si="37"/>
        <v>Нет</v>
      </c>
      <c r="Q186" t="str">
        <f>"КСК00000000000000027"</f>
        <v>КСК00000000000000027</v>
      </c>
      <c r="R186" t="str">
        <f>""</f>
        <v/>
      </c>
      <c r="S186" t="str">
        <f t="shared" si="38"/>
        <v>Основной</v>
      </c>
      <c r="T186" t="str">
        <f t="shared" si="39"/>
        <v>ГУТС</v>
      </c>
      <c r="U186" t="str">
        <f>""</f>
        <v/>
      </c>
      <c r="V186" t="str">
        <f t="shared" si="40"/>
        <v>Нет</v>
      </c>
      <c r="W186">
        <v>51.726051460518903</v>
      </c>
      <c r="X186">
        <v>36.187387369573102</v>
      </c>
      <c r="Y186" t="str">
        <f>"20000004566608"</f>
        <v>20000004566608</v>
      </c>
    </row>
    <row r="187" spans="1:25" x14ac:dyDescent="0.25">
      <c r="A187">
        <v>907</v>
      </c>
      <c r="B187" t="str">
        <f t="shared" si="36"/>
        <v>Курск</v>
      </c>
      <c r="C187">
        <v>490593</v>
      </c>
      <c r="D187" t="str">
        <f>"ОК 1.1.1 - 27 Курск, Луговая Верхняя, 6 /2 п. 1"</f>
        <v>ОК 1.1.1 - 27 Курск, Луговая Верхняя, 6 /2 п. 1</v>
      </c>
      <c r="E187" t="str">
        <f>"КРС-8/16-SC"</f>
        <v>КРС-8/16-SC</v>
      </c>
      <c r="F187" t="str">
        <f>"30.10.2013"</f>
        <v>30.10.2013</v>
      </c>
      <c r="G187" t="str">
        <f>""</f>
        <v/>
      </c>
      <c r="H187" t="str">
        <f>"ОК 1.1.1 - 27"</f>
        <v>ОК 1.1.1 - 27</v>
      </c>
      <c r="I187" t="str">
        <f>"ДШ (под. 1, ОУ№ 1.1.1 - 27)"</f>
        <v>ДШ (под. 1, ОУ№ 1.1.1 - 27)</v>
      </c>
      <c r="J187" t="str">
        <f>"Курск, Луговая Верхняя, 6 /2"</f>
        <v>Курск, Луговая Верхняя, 6 /2</v>
      </c>
      <c r="K187" t="str">
        <f>"Офис"</f>
        <v>Офис</v>
      </c>
      <c r="L187" t="str">
        <f>"23-OCT-13"</f>
        <v>23-OCT-13</v>
      </c>
      <c r="M187">
        <v>164303</v>
      </c>
      <c r="N187" t="str">
        <f>""</f>
        <v/>
      </c>
      <c r="O187" t="str">
        <f>"HSH-164303"</f>
        <v>HSH-164303</v>
      </c>
      <c r="P187" t="str">
        <f t="shared" si="37"/>
        <v>Нет</v>
      </c>
      <c r="Q187" t="str">
        <f>"КСК00000000000000027"</f>
        <v>КСК00000000000000027</v>
      </c>
      <c r="R187" t="str">
        <f>""</f>
        <v/>
      </c>
      <c r="S187" t="str">
        <f t="shared" si="38"/>
        <v>Основной</v>
      </c>
      <c r="T187" t="str">
        <f t="shared" si="39"/>
        <v>ГУТС</v>
      </c>
      <c r="U187" t="str">
        <f>""</f>
        <v/>
      </c>
      <c r="V187" t="str">
        <f t="shared" si="40"/>
        <v>Нет</v>
      </c>
      <c r="W187">
        <v>51.7275134861734</v>
      </c>
      <c r="X187">
        <v>36.182999275624802</v>
      </c>
      <c r="Y187" t="str">
        <f>"20000004566609"</f>
        <v>20000004566609</v>
      </c>
    </row>
    <row r="188" spans="1:25" x14ac:dyDescent="0.25">
      <c r="A188">
        <v>907</v>
      </c>
      <c r="B188" t="str">
        <f t="shared" si="36"/>
        <v>Курск</v>
      </c>
      <c r="C188">
        <v>491092</v>
      </c>
      <c r="D188" t="str">
        <f>"ТОК1.4 Курск, Добролюбова, 22 а п. "</f>
        <v xml:space="preserve">ТОК1.4 Курск, Добролюбова, 22 а п. </v>
      </c>
      <c r="E188" t="str">
        <f>"КРС-64-SC"</f>
        <v>КРС-64-SC</v>
      </c>
      <c r="F188" t="str">
        <f>"21.11.2013"</f>
        <v>21.11.2013</v>
      </c>
      <c r="G188" t="str">
        <f>""</f>
        <v/>
      </c>
      <c r="H188" t="str">
        <f>"ТОК1.4"</f>
        <v>ТОК1.4</v>
      </c>
      <c r="I188" t="str">
        <f>"Стойка 08 сзади"</f>
        <v>Стойка 08 сзади</v>
      </c>
      <c r="J188" t="str">
        <f>"Курск, Добролюбова, 22 а"</f>
        <v>Курск, Добролюбова, 22 а</v>
      </c>
      <c r="K188" t="str">
        <f>"Серверная"</f>
        <v>Серверная</v>
      </c>
      <c r="L188" t="str">
        <f>"25-FEB-14"</f>
        <v>25-FEB-14</v>
      </c>
      <c r="N188" t="str">
        <f>""</f>
        <v/>
      </c>
      <c r="O188" t="str">
        <f>"EmptySerial&lt;54253&gt;"</f>
        <v>EmptySerial&lt;54253&gt;</v>
      </c>
      <c r="P188" t="str">
        <f t="shared" si="37"/>
        <v>Нет</v>
      </c>
      <c r="Q188" t="str">
        <f>"КСК00000000000000150"</f>
        <v>КСК00000000000000150</v>
      </c>
      <c r="R188" t="str">
        <f>""</f>
        <v/>
      </c>
      <c r="S188" t="str">
        <f t="shared" si="38"/>
        <v>Основной</v>
      </c>
      <c r="T188" t="str">
        <f t="shared" si="39"/>
        <v>ГУТС</v>
      </c>
      <c r="U188" t="str">
        <f>""</f>
        <v/>
      </c>
      <c r="V188" t="str">
        <f t="shared" si="40"/>
        <v>Нет</v>
      </c>
      <c r="W188">
        <v>51.723401279999997</v>
      </c>
      <c r="X188">
        <v>36.188197760000001</v>
      </c>
      <c r="Y188" t="str">
        <f>"20000004566679"</f>
        <v>20000004566679</v>
      </c>
    </row>
    <row r="189" spans="1:25" x14ac:dyDescent="0.25">
      <c r="A189">
        <v>907</v>
      </c>
      <c r="B189" t="str">
        <f t="shared" si="36"/>
        <v>Курск</v>
      </c>
      <c r="C189">
        <v>491161</v>
      </c>
      <c r="D189" t="str">
        <f>"ТОК1.3 Курск, Добролюбова, 22 а п. "</f>
        <v xml:space="preserve">ТОК1.3 Курск, Добролюбова, 22 а п. </v>
      </c>
      <c r="E189" t="str">
        <f>"КРС-64-SC"</f>
        <v>КРС-64-SC</v>
      </c>
      <c r="F189" t="str">
        <f>"21.11.2013"</f>
        <v>21.11.2013</v>
      </c>
      <c r="G189" t="str">
        <f>""</f>
        <v/>
      </c>
      <c r="H189" t="str">
        <f>"ТОК1.3"</f>
        <v>ТОК1.3</v>
      </c>
      <c r="I189" t="str">
        <f>"Стойка 08 сзади"</f>
        <v>Стойка 08 сзади</v>
      </c>
      <c r="J189" t="str">
        <f>"Курск, Добролюбова, 22 а"</f>
        <v>Курск, Добролюбова, 22 а</v>
      </c>
      <c r="K189" t="str">
        <f>"Серверная"</f>
        <v>Серверная</v>
      </c>
      <c r="L189" t="str">
        <f>"25-FEB-14"</f>
        <v>25-FEB-14</v>
      </c>
      <c r="N189" t="str">
        <f>""</f>
        <v/>
      </c>
      <c r="O189" t="str">
        <f>"EmptySerial&lt;54252&gt;"</f>
        <v>EmptySerial&lt;54252&gt;</v>
      </c>
      <c r="P189" t="str">
        <f t="shared" si="37"/>
        <v>Нет</v>
      </c>
      <c r="Q189" t="str">
        <f>"КСК00000000000000150"</f>
        <v>КСК00000000000000150</v>
      </c>
      <c r="R189" t="str">
        <f>""</f>
        <v/>
      </c>
      <c r="S189" t="str">
        <f t="shared" si="38"/>
        <v>Основной</v>
      </c>
      <c r="T189" t="str">
        <f t="shared" si="39"/>
        <v>ГУТС</v>
      </c>
      <c r="U189" t="str">
        <f>""</f>
        <v/>
      </c>
      <c r="V189" t="str">
        <f t="shared" si="40"/>
        <v>Нет</v>
      </c>
      <c r="W189">
        <v>51.723350809999999</v>
      </c>
      <c r="X189">
        <v>36.18811462</v>
      </c>
      <c r="Y189" t="str">
        <f>"20000004566678"</f>
        <v>20000004566678</v>
      </c>
    </row>
    <row r="190" spans="1:25" x14ac:dyDescent="0.25">
      <c r="A190">
        <v>907</v>
      </c>
      <c r="B190" t="str">
        <f t="shared" si="36"/>
        <v>Курск</v>
      </c>
      <c r="C190">
        <v>491654</v>
      </c>
      <c r="D190" t="str">
        <f>"ОК1.1.1 - 30 ППК1.1.1 Курск, Радищева, 2  п. 1"</f>
        <v>ОК1.1.1 - 30 ППК1.1.1 Курск, Радищева, 2  п. 1</v>
      </c>
      <c r="E190" t="str">
        <f>"КРС-8/16-SC"</f>
        <v>КРС-8/16-SC</v>
      </c>
      <c r="F190" t="str">
        <f>"02.12.2013"</f>
        <v>02.12.2013</v>
      </c>
      <c r="G190" t="str">
        <f>""</f>
        <v/>
      </c>
      <c r="H190" t="str">
        <f>"ОК1.1.1 - 30 ППК1.1.1"</f>
        <v>ОК1.1.1 - 30 ППК1.1.1</v>
      </c>
      <c r="I190" t="str">
        <f>"ДШ (под. 1, ОУ№ 1.1.1 - 30)"</f>
        <v>ДШ (под. 1, ОУ№ 1.1.1 - 30)</v>
      </c>
      <c r="J190" t="str">
        <f>"Курск, Радищева, 2"</f>
        <v>Курск, Радищева, 2</v>
      </c>
      <c r="K190" t="str">
        <f>"Офис"</f>
        <v>Офис</v>
      </c>
      <c r="L190" t="str">
        <f>"29-NOV-13"</f>
        <v>29-NOV-13</v>
      </c>
      <c r="M190">
        <v>164505</v>
      </c>
      <c r="N190" t="str">
        <f>""</f>
        <v/>
      </c>
      <c r="O190" t="str">
        <f>"HSH-164505"</f>
        <v>HSH-164505</v>
      </c>
      <c r="P190" t="str">
        <f t="shared" si="37"/>
        <v>Нет</v>
      </c>
      <c r="Q190" t="str">
        <f>"КСК00000000000000027"</f>
        <v>КСК00000000000000027</v>
      </c>
      <c r="R190" t="str">
        <f>""</f>
        <v/>
      </c>
      <c r="S190" t="str">
        <f t="shared" si="38"/>
        <v>Основной</v>
      </c>
      <c r="T190" t="str">
        <f t="shared" si="39"/>
        <v>ГУТС</v>
      </c>
      <c r="U190" t="str">
        <f>""</f>
        <v/>
      </c>
      <c r="V190" t="str">
        <f t="shared" si="40"/>
        <v>Нет</v>
      </c>
      <c r="W190">
        <v>51.729879198882102</v>
      </c>
      <c r="X190">
        <v>36.189594323448198</v>
      </c>
      <c r="Y190" t="str">
        <f>"20000004566694"</f>
        <v>20000004566694</v>
      </c>
    </row>
    <row r="191" spans="1:25" x14ac:dyDescent="0.25">
      <c r="A191">
        <v>907</v>
      </c>
      <c r="B191" t="str">
        <f t="shared" si="36"/>
        <v>Курск</v>
      </c>
      <c r="C191">
        <v>492508</v>
      </c>
      <c r="D191" t="str">
        <f>"ОК1.1.1-31 Курск, Луговая Нижняя, 1  п. 1"</f>
        <v>ОК1.1.1-31 Курск, Луговая Нижняя, 1  п. 1</v>
      </c>
      <c r="E191" t="str">
        <f>"КРС-8/16-SC"</f>
        <v>КРС-8/16-SC</v>
      </c>
      <c r="F191" t="str">
        <f>"06.12.2013"</f>
        <v>06.12.2013</v>
      </c>
      <c r="G191" t="str">
        <f>""</f>
        <v/>
      </c>
      <c r="H191" t="str">
        <f>"ОК1.1.1-31"</f>
        <v>ОК1.1.1-31</v>
      </c>
      <c r="I191" t="str">
        <f>"ДШ (под. 1, ОУ№ 1.1.1 - 31)"</f>
        <v>ДШ (под. 1, ОУ№ 1.1.1 - 31)</v>
      </c>
      <c r="J191" t="str">
        <f>"Курск, Луговая Нижняя, 1"</f>
        <v>Курск, Луговая Нижняя, 1</v>
      </c>
      <c r="K191" t="str">
        <f>"ДШ-1"</f>
        <v>ДШ-1</v>
      </c>
      <c r="L191" t="str">
        <f>"06-DEC-13"</f>
        <v>06-DEC-13</v>
      </c>
      <c r="M191">
        <v>164602</v>
      </c>
      <c r="N191" t="str">
        <f>""</f>
        <v/>
      </c>
      <c r="O191" t="str">
        <f>"HSH-164602"</f>
        <v>HSH-164602</v>
      </c>
      <c r="P191" t="str">
        <f t="shared" si="37"/>
        <v>Нет</v>
      </c>
      <c r="Q191" t="str">
        <f>"КСК00000000000000027"</f>
        <v>КСК00000000000000027</v>
      </c>
      <c r="R191" t="str">
        <f>""</f>
        <v/>
      </c>
      <c r="S191" t="str">
        <f t="shared" si="38"/>
        <v>Основной</v>
      </c>
      <c r="T191" t="str">
        <f t="shared" si="39"/>
        <v>ГУТС</v>
      </c>
      <c r="U191" t="str">
        <f>""</f>
        <v/>
      </c>
      <c r="V191" t="str">
        <f t="shared" si="40"/>
        <v>Нет</v>
      </c>
      <c r="W191">
        <v>51.718836990328697</v>
      </c>
      <c r="X191">
        <v>36.187628264240303</v>
      </c>
      <c r="Y191" t="str">
        <f>"20000004566706"</f>
        <v>20000004566706</v>
      </c>
    </row>
    <row r="192" spans="1:25" x14ac:dyDescent="0.25">
      <c r="A192">
        <v>907</v>
      </c>
      <c r="B192" t="str">
        <f t="shared" si="36"/>
        <v>Курск</v>
      </c>
      <c r="C192">
        <v>492846</v>
      </c>
      <c r="D192" t="str">
        <f>"ОК1.1.1 - 22_ ППК1.1.1 Курск, Дзержинского, 58  п. 1"</f>
        <v>ОК1.1.1 - 22_ ППК1.1.1 Курск, Дзержинского, 58  п. 1</v>
      </c>
      <c r="E192" t="str">
        <f>"КРС-8/16-SC"</f>
        <v>КРС-8/16-SC</v>
      </c>
      <c r="F192" t="str">
        <f>"23.12.2013"</f>
        <v>23.12.2013</v>
      </c>
      <c r="G192" t="str">
        <f>""</f>
        <v/>
      </c>
      <c r="H192" t="str">
        <f>"ОК1.1.1 - 22_ ППК1.1.1"</f>
        <v>ОК1.1.1 - 22_ ППК1.1.1</v>
      </c>
      <c r="I192" t="str">
        <f>"ДШ (под. 1, ОУ№ 1.1.1 - 22)"</f>
        <v>ДШ (под. 1, ОУ№ 1.1.1 - 22)</v>
      </c>
      <c r="J192" t="str">
        <f>"Курск, Дзержинского, 58"</f>
        <v>Курск, Дзержинского, 58</v>
      </c>
      <c r="K192" t="str">
        <f>"ДШ-1"</f>
        <v>ДШ-1</v>
      </c>
      <c r="L192" t="str">
        <f>"23-DEC-13"</f>
        <v>23-DEC-13</v>
      </c>
      <c r="M192">
        <v>164858</v>
      </c>
      <c r="N192" t="str">
        <f>""</f>
        <v/>
      </c>
      <c r="O192" t="str">
        <f>"HSH-164858"</f>
        <v>HSH-164858</v>
      </c>
      <c r="P192" t="str">
        <f t="shared" si="37"/>
        <v>Нет</v>
      </c>
      <c r="Q192" t="str">
        <f>"КСК00000000000000027"</f>
        <v>КСК00000000000000027</v>
      </c>
      <c r="R192" t="str">
        <f>""</f>
        <v/>
      </c>
      <c r="S192" t="str">
        <f t="shared" si="38"/>
        <v>Основной</v>
      </c>
      <c r="T192" t="str">
        <f t="shared" si="39"/>
        <v>ГУТС</v>
      </c>
      <c r="U192" t="str">
        <f>""</f>
        <v/>
      </c>
      <c r="V192" t="str">
        <f t="shared" si="40"/>
        <v>Нет</v>
      </c>
      <c r="W192">
        <v>51.725632573148097</v>
      </c>
      <c r="X192">
        <v>36.181941948831202</v>
      </c>
      <c r="Y192" t="str">
        <f>"20000004566738"</f>
        <v>20000004566738</v>
      </c>
    </row>
    <row r="193" spans="1:25" x14ac:dyDescent="0.25">
      <c r="A193">
        <v>907</v>
      </c>
      <c r="B193" t="str">
        <f t="shared" si="36"/>
        <v>Курск</v>
      </c>
      <c r="C193">
        <v>492859</v>
      </c>
      <c r="D193" t="str">
        <f>"ОК1.1.1-32 ППК1.1.1 Курск, Дзержинского, 54  п. 1"</f>
        <v>ОК1.1.1-32 ППК1.1.1 Курск, Дзержинского, 54  п. 1</v>
      </c>
      <c r="E193" t="str">
        <f>"КРС-8/16-SC"</f>
        <v>КРС-8/16-SC</v>
      </c>
      <c r="F193" t="str">
        <f>"23.12.2013"</f>
        <v>23.12.2013</v>
      </c>
      <c r="G193" t="str">
        <f>""</f>
        <v/>
      </c>
      <c r="H193" t="str">
        <f>"ОК1.1.1-32 ППК1.1.1"</f>
        <v>ОК1.1.1-32 ППК1.1.1</v>
      </c>
      <c r="I193" t="str">
        <f>"ДШ (под. 1, ОУ№ 1.1.1-32)"</f>
        <v>ДШ (под. 1, ОУ№ 1.1.1-32)</v>
      </c>
      <c r="J193" t="str">
        <f>"Курск, Дзержинского, 54"</f>
        <v>Курск, Дзержинского, 54</v>
      </c>
      <c r="K193" t="str">
        <f>"ДШ-1"</f>
        <v>ДШ-1</v>
      </c>
      <c r="L193" t="str">
        <f>"23-DEC-13"</f>
        <v>23-DEC-13</v>
      </c>
      <c r="M193">
        <v>164857</v>
      </c>
      <c r="N193" t="str">
        <f>""</f>
        <v/>
      </c>
      <c r="O193" t="str">
        <f>"HSH-164857"</f>
        <v>HSH-164857</v>
      </c>
      <c r="P193" t="str">
        <f t="shared" si="37"/>
        <v>Нет</v>
      </c>
      <c r="Q193" t="str">
        <f>"КСК00000000000000027"</f>
        <v>КСК00000000000000027</v>
      </c>
      <c r="R193" t="str">
        <f>""</f>
        <v/>
      </c>
      <c r="S193" t="str">
        <f t="shared" si="38"/>
        <v>Основной</v>
      </c>
      <c r="T193" t="str">
        <f t="shared" si="39"/>
        <v>ГУТС</v>
      </c>
      <c r="U193" t="str">
        <f>""</f>
        <v/>
      </c>
      <c r="V193" t="str">
        <f t="shared" si="40"/>
        <v>Нет</v>
      </c>
      <c r="W193">
        <v>51.725808466780101</v>
      </c>
      <c r="X193">
        <v>36.182960952333502</v>
      </c>
      <c r="Y193" t="str">
        <f>"20000004566739"</f>
        <v>20000004566739</v>
      </c>
    </row>
    <row r="194" spans="1:25" x14ac:dyDescent="0.25">
      <c r="A194">
        <v>907</v>
      </c>
      <c r="B194" t="str">
        <f t="shared" ref="B194:B257" si="50">"Курск"</f>
        <v>Курск</v>
      </c>
      <c r="C194">
        <v>492872</v>
      </c>
      <c r="D194" t="str">
        <f>"ОК3.1.1-4 ППК3.1.1 Курск, Карла Маркса, 14 а п. 1"</f>
        <v>ОК3.1.1-4 ППК3.1.1 Курск, Карла Маркса, 14 а п. 1</v>
      </c>
      <c r="E194" t="str">
        <f>"КРС-8/16-SC"</f>
        <v>КРС-8/16-SC</v>
      </c>
      <c r="F194" t="str">
        <f>"23.12.2013"</f>
        <v>23.12.2013</v>
      </c>
      <c r="G194" t="str">
        <f>""</f>
        <v/>
      </c>
      <c r="H194" t="str">
        <f>"ОК3.1.1-4 ППК3.1.1"</f>
        <v>ОК3.1.1-4 ППК3.1.1</v>
      </c>
      <c r="I194" t="str">
        <f>"ДШ (под. 1, ОУ№ 3.1.1-4)"</f>
        <v>ДШ (под. 1, ОУ№ 3.1.1-4)</v>
      </c>
      <c r="J194" t="str">
        <f>"Курск, Карла Маркса, 14 а"</f>
        <v>Курск, Карла Маркса, 14 а</v>
      </c>
      <c r="K194" t="str">
        <f>"ДШ-1"</f>
        <v>ДШ-1</v>
      </c>
      <c r="L194" t="str">
        <f>"23-DEC-13"</f>
        <v>23-DEC-13</v>
      </c>
      <c r="M194">
        <v>164859</v>
      </c>
      <c r="N194" t="str">
        <f>""</f>
        <v/>
      </c>
      <c r="O194" t="str">
        <f>"HSH-164859"</f>
        <v>HSH-164859</v>
      </c>
      <c r="P194" t="str">
        <f t="shared" ref="P194:P257" si="51">"Нет"</f>
        <v>Нет</v>
      </c>
      <c r="Q194" t="str">
        <f>"КСК00000000000000178"</f>
        <v>КСК00000000000000178</v>
      </c>
      <c r="R194" t="str">
        <f>""</f>
        <v/>
      </c>
      <c r="S194" t="str">
        <f t="shared" ref="S194:S257" si="52">"Основной"</f>
        <v>Основной</v>
      </c>
      <c r="T194" t="str">
        <f t="shared" ref="T194:T257" si="53">"ГУТС"</f>
        <v>ГУТС</v>
      </c>
      <c r="U194" t="str">
        <f>""</f>
        <v/>
      </c>
      <c r="V194" t="str">
        <f t="shared" ref="V194:V257" si="54">"Нет"</f>
        <v>Нет</v>
      </c>
      <c r="W194">
        <v>51.754439184629703</v>
      </c>
      <c r="X194">
        <v>36.189022476486201</v>
      </c>
      <c r="Y194" t="str">
        <f>"20000004566740"</f>
        <v>20000004566740</v>
      </c>
    </row>
    <row r="195" spans="1:25" x14ac:dyDescent="0.25">
      <c r="A195">
        <v>907</v>
      </c>
      <c r="B195" t="str">
        <f t="shared" si="50"/>
        <v>Курск</v>
      </c>
      <c r="C195">
        <v>493446</v>
      </c>
      <c r="D195" t="str">
        <f>"ЗАО ""ЦентрТранстелеком"" Курск, Вчк, 79  п. "</f>
        <v xml:space="preserve">ЗАО "ЦентрТранстелеком" Курск, Вчк, 79  п. </v>
      </c>
      <c r="E195" t="str">
        <f>"КРС-32-FC"</f>
        <v>КРС-32-FC</v>
      </c>
      <c r="F195" t="str">
        <f>"14.01.2014"</f>
        <v>14.01.2014</v>
      </c>
      <c r="G195" t="str">
        <f>""</f>
        <v/>
      </c>
      <c r="H195" t="str">
        <f>"ЗАО ""ЦентрТранстелеком"""</f>
        <v>ЗАО "ЦентрТранстелеком"</v>
      </c>
      <c r="I195" t="str">
        <f>"Шкаф провайдера 1"</f>
        <v>Шкаф провайдера 1</v>
      </c>
      <c r="J195" t="str">
        <f>"Курск, Вчк, 79"</f>
        <v>Курск, Вчк, 79</v>
      </c>
      <c r="K195" t="str">
        <f>"ДШ-1"</f>
        <v>ДШ-1</v>
      </c>
      <c r="L195" t="str">
        <f>"12-DEC-11"</f>
        <v>12-DEC-11</v>
      </c>
      <c r="N195" t="str">
        <f>""</f>
        <v/>
      </c>
      <c r="O195" t="str">
        <f>"KURSK000201"</f>
        <v>KURSK000201</v>
      </c>
      <c r="P195" t="str">
        <f t="shared" si="51"/>
        <v>Нет</v>
      </c>
      <c r="Q195" t="str">
        <f>""</f>
        <v/>
      </c>
      <c r="R195" t="str">
        <f>""</f>
        <v/>
      </c>
      <c r="S195" t="str">
        <f t="shared" si="52"/>
        <v>Основной</v>
      </c>
      <c r="T195" t="str">
        <f t="shared" si="53"/>
        <v>ГУТС</v>
      </c>
      <c r="U195" t="str">
        <f>""</f>
        <v/>
      </c>
      <c r="V195" t="str">
        <f t="shared" si="54"/>
        <v>Нет</v>
      </c>
      <c r="W195">
        <v>51.749037659999999</v>
      </c>
      <c r="X195">
        <v>36.222771639999998</v>
      </c>
      <c r="Y195" t="str">
        <f>"20000004566753"</f>
        <v>20000004566753</v>
      </c>
    </row>
    <row r="196" spans="1:25" x14ac:dyDescent="0.25">
      <c r="A196">
        <v>907</v>
      </c>
      <c r="B196" t="str">
        <f t="shared" si="50"/>
        <v>Курск</v>
      </c>
      <c r="C196">
        <v>495446</v>
      </c>
      <c r="D196" t="str">
        <f>"ОК1.6ППК1.1.1 Курск, Добролюбова, 22 а п. "</f>
        <v xml:space="preserve">ОК1.6ППК1.1.1 Курск, Добролюбова, 22 а п. </v>
      </c>
      <c r="E196" t="str">
        <f>"КРС-8/16-SC"</f>
        <v>КРС-8/16-SC</v>
      </c>
      <c r="F196" t="str">
        <f>"11.03.2014"</f>
        <v>11.03.2014</v>
      </c>
      <c r="G196" t="str">
        <f>""</f>
        <v/>
      </c>
      <c r="H196" t="str">
        <f>"ОК1.6ППК1.1.1"</f>
        <v>ОК1.6ППК1.1.1</v>
      </c>
      <c r="I196" t="str">
        <f>"Стойка 08 спереди"</f>
        <v>Стойка 08 спереди</v>
      </c>
      <c r="J196" t="str">
        <f t="shared" ref="J196:J201" si="55">"Курск, Добролюбова, 22 а"</f>
        <v>Курск, Добролюбова, 22 а</v>
      </c>
      <c r="K196" t="str">
        <f t="shared" ref="K196:K201" si="56">"Серверная"</f>
        <v>Серверная</v>
      </c>
      <c r="L196" t="str">
        <f>"11-MAR-14"</f>
        <v>11-MAR-14</v>
      </c>
      <c r="N196" t="str">
        <f>""</f>
        <v/>
      </c>
      <c r="O196" t="str">
        <f>"KURSK000436"</f>
        <v>KURSK000436</v>
      </c>
      <c r="P196" t="str">
        <f t="shared" si="51"/>
        <v>Нет</v>
      </c>
      <c r="Q196" t="str">
        <f>"КСК00000000000000036"</f>
        <v>КСК00000000000000036</v>
      </c>
      <c r="R196" t="str">
        <f>""</f>
        <v/>
      </c>
      <c r="S196" t="str">
        <f t="shared" si="52"/>
        <v>Основной</v>
      </c>
      <c r="T196" t="str">
        <f t="shared" si="53"/>
        <v>ГУТС</v>
      </c>
      <c r="U196" t="str">
        <f>""</f>
        <v/>
      </c>
      <c r="V196" t="str">
        <f t="shared" si="54"/>
        <v>Нет</v>
      </c>
      <c r="W196">
        <v>51.723436933413304</v>
      </c>
      <c r="X196">
        <v>36.188240982592099</v>
      </c>
      <c r="Y196" t="str">
        <f>"20000004566868"</f>
        <v>20000004566868</v>
      </c>
    </row>
    <row r="197" spans="1:25" x14ac:dyDescent="0.25">
      <c r="A197">
        <v>907</v>
      </c>
      <c r="B197" t="str">
        <f t="shared" si="50"/>
        <v>Курск</v>
      </c>
      <c r="C197">
        <v>495459</v>
      </c>
      <c r="D197" t="str">
        <f>"ОК1.5ППК1.1.1 Курск, Добролюбова, 22 а п. "</f>
        <v xml:space="preserve">ОК1.5ППК1.1.1 Курск, Добролюбова, 22 а п. </v>
      </c>
      <c r="E197" t="str">
        <f>"КРС-8/16-SC"</f>
        <v>КРС-8/16-SC</v>
      </c>
      <c r="F197" t="str">
        <f>"11.03.2014"</f>
        <v>11.03.2014</v>
      </c>
      <c r="G197" t="str">
        <f>""</f>
        <v/>
      </c>
      <c r="H197" t="str">
        <f>"ОК1.5ППК1.1.1"</f>
        <v>ОК1.5ППК1.1.1</v>
      </c>
      <c r="I197" t="str">
        <f>"Стойка 08 спереди"</f>
        <v>Стойка 08 спереди</v>
      </c>
      <c r="J197" t="str">
        <f t="shared" si="55"/>
        <v>Курск, Добролюбова, 22 а</v>
      </c>
      <c r="K197" t="str">
        <f t="shared" si="56"/>
        <v>Серверная</v>
      </c>
      <c r="L197" t="str">
        <f>"11-MAR-14"</f>
        <v>11-MAR-14</v>
      </c>
      <c r="N197" t="str">
        <f>""</f>
        <v/>
      </c>
      <c r="O197" t="str">
        <f>"KURSK000435"</f>
        <v>KURSK000435</v>
      </c>
      <c r="P197" t="str">
        <f t="shared" si="51"/>
        <v>Нет</v>
      </c>
      <c r="Q197" t="str">
        <f>"КСК00000000000000035"</f>
        <v>КСК00000000000000035</v>
      </c>
      <c r="R197" t="str">
        <f>""</f>
        <v/>
      </c>
      <c r="S197" t="str">
        <f t="shared" si="52"/>
        <v>Основной</v>
      </c>
      <c r="T197" t="str">
        <f t="shared" si="53"/>
        <v>ГУТС</v>
      </c>
      <c r="U197" t="str">
        <f>""</f>
        <v/>
      </c>
      <c r="V197" t="str">
        <f t="shared" si="54"/>
        <v>Нет</v>
      </c>
      <c r="W197">
        <v>51.723427172007298</v>
      </c>
      <c r="X197">
        <v>36.188227571547003</v>
      </c>
      <c r="Y197" t="str">
        <f>"20000004566867"</f>
        <v>20000004566867</v>
      </c>
    </row>
    <row r="198" spans="1:25" x14ac:dyDescent="0.25">
      <c r="A198">
        <v>907</v>
      </c>
      <c r="B198" t="str">
        <f t="shared" si="50"/>
        <v>Курск</v>
      </c>
      <c r="C198">
        <v>495472</v>
      </c>
      <c r="D198" t="str">
        <f>"ТОК1.1 ТТК Курск, Добролюбова, 22 а п. "</f>
        <v xml:space="preserve">ТОК1.1 ТТК Курск, Добролюбова, 22 а п. </v>
      </c>
      <c r="E198" t="str">
        <f>"КРС-8/16-FC"</f>
        <v>КРС-8/16-FC</v>
      </c>
      <c r="F198" t="str">
        <f>"11.03.2014"</f>
        <v>11.03.2014</v>
      </c>
      <c r="G198" t="str">
        <f>""</f>
        <v/>
      </c>
      <c r="H198" t="str">
        <f>"ТОК1.1 ТТК"</f>
        <v>ТОК1.1 ТТК</v>
      </c>
      <c r="I198" t="str">
        <f>"Стойка 08 спереди"</f>
        <v>Стойка 08 спереди</v>
      </c>
      <c r="J198" t="str">
        <f t="shared" si="55"/>
        <v>Курск, Добролюбова, 22 а</v>
      </c>
      <c r="K198" t="str">
        <f t="shared" si="56"/>
        <v>Серверная</v>
      </c>
      <c r="L198" t="str">
        <f>"11-MAR-14"</f>
        <v>11-MAR-14</v>
      </c>
      <c r="N198" t="str">
        <f>""</f>
        <v/>
      </c>
      <c r="O198" t="str">
        <f>"KURSK000438"</f>
        <v>KURSK000438</v>
      </c>
      <c r="P198" t="str">
        <f t="shared" si="51"/>
        <v>Нет</v>
      </c>
      <c r="Q198" t="str">
        <f>""</f>
        <v/>
      </c>
      <c r="R198" t="str">
        <f>""</f>
        <v/>
      </c>
      <c r="S198" t="str">
        <f t="shared" si="52"/>
        <v>Основной</v>
      </c>
      <c r="T198" t="str">
        <f t="shared" si="53"/>
        <v>ГУТС</v>
      </c>
      <c r="U198" t="str">
        <f>""</f>
        <v/>
      </c>
      <c r="V198" t="str">
        <f t="shared" si="54"/>
        <v>Нет</v>
      </c>
      <c r="W198">
        <v>51.723359950000003</v>
      </c>
      <c r="X198">
        <v>36.188173290000002</v>
      </c>
      <c r="Y198" t="str">
        <f>"20000004566853"</f>
        <v>20000004566853</v>
      </c>
    </row>
    <row r="199" spans="1:25" x14ac:dyDescent="0.25">
      <c r="A199">
        <v>907</v>
      </c>
      <c r="B199" t="str">
        <f t="shared" si="50"/>
        <v>Курск</v>
      </c>
      <c r="C199">
        <v>495485</v>
      </c>
      <c r="D199" t="str">
        <f>"ТОК2.1 ТТК Курск, Добролюбова, 22 а п. "</f>
        <v xml:space="preserve">ТОК2.1 ТТК Курск, Добролюбова, 22 а п. </v>
      </c>
      <c r="E199" t="str">
        <f>"КРС-8/16-FC"</f>
        <v>КРС-8/16-FC</v>
      </c>
      <c r="F199" t="str">
        <f>"11.03.2014"</f>
        <v>11.03.2014</v>
      </c>
      <c r="G199" t="str">
        <f>""</f>
        <v/>
      </c>
      <c r="H199" t="str">
        <f>"ТОК2.1 ТТК"</f>
        <v>ТОК2.1 ТТК</v>
      </c>
      <c r="I199" t="str">
        <f>"Стойка 08 спереди"</f>
        <v>Стойка 08 спереди</v>
      </c>
      <c r="J199" t="str">
        <f t="shared" si="55"/>
        <v>Курск, Добролюбова, 22 а</v>
      </c>
      <c r="K199" t="str">
        <f t="shared" si="56"/>
        <v>Серверная</v>
      </c>
      <c r="L199" t="str">
        <f>"11-MAR-14"</f>
        <v>11-MAR-14</v>
      </c>
      <c r="N199" t="str">
        <f>""</f>
        <v/>
      </c>
      <c r="O199" t="str">
        <f>"KURSK000437"</f>
        <v>KURSK000437</v>
      </c>
      <c r="P199" t="str">
        <f t="shared" si="51"/>
        <v>Нет</v>
      </c>
      <c r="Q199" t="str">
        <f>""</f>
        <v/>
      </c>
      <c r="R199" t="str">
        <f>""</f>
        <v/>
      </c>
      <c r="S199" t="str">
        <f t="shared" si="52"/>
        <v>Основной</v>
      </c>
      <c r="T199" t="str">
        <f t="shared" si="53"/>
        <v>ГУТС</v>
      </c>
      <c r="U199" t="str">
        <f>""</f>
        <v/>
      </c>
      <c r="V199" t="str">
        <f t="shared" si="54"/>
        <v>Нет</v>
      </c>
      <c r="W199">
        <v>51.723399209999997</v>
      </c>
      <c r="X199">
        <v>36.188234309999999</v>
      </c>
      <c r="Y199" t="str">
        <f>"20000004566852"</f>
        <v>20000004566852</v>
      </c>
    </row>
    <row r="200" spans="1:25" x14ac:dyDescent="0.25">
      <c r="A200">
        <v>907</v>
      </c>
      <c r="B200" t="str">
        <f t="shared" si="50"/>
        <v>Курск</v>
      </c>
      <c r="C200">
        <v>495935</v>
      </c>
      <c r="D200" t="str">
        <f>"МОК1.5.1 Курск, Добролюбова, 22 а п. "</f>
        <v xml:space="preserve">МОК1.5.1 Курск, Добролюбова, 22 а п. </v>
      </c>
      <c r="E200" t="str">
        <f>"КРС-64-SC"</f>
        <v>КРС-64-SC</v>
      </c>
      <c r="F200" t="str">
        <f>"25.03.2014"</f>
        <v>25.03.2014</v>
      </c>
      <c r="G200" t="str">
        <f>""</f>
        <v/>
      </c>
      <c r="H200" t="str">
        <f>"МОК1.5.1"</f>
        <v>МОК1.5.1</v>
      </c>
      <c r="I200" t="str">
        <f>"Стойка 08 сзади"</f>
        <v>Стойка 08 сзади</v>
      </c>
      <c r="J200" t="str">
        <f t="shared" si="55"/>
        <v>Курск, Добролюбова, 22 а</v>
      </c>
      <c r="K200" t="str">
        <f t="shared" si="56"/>
        <v>Серверная</v>
      </c>
      <c r="L200" t="str">
        <f>"25-MAR-14"</f>
        <v>25-MAR-14</v>
      </c>
      <c r="N200" t="str">
        <f>""</f>
        <v/>
      </c>
      <c r="O200" t="str">
        <f>"KURSK000462"</f>
        <v>KURSK000462</v>
      </c>
      <c r="P200" t="str">
        <f t="shared" si="51"/>
        <v>Нет</v>
      </c>
      <c r="Q200" t="str">
        <f>"КСК00000000000000174"</f>
        <v>КСК00000000000000174</v>
      </c>
      <c r="R200" t="str">
        <f>""</f>
        <v/>
      </c>
      <c r="S200" t="str">
        <f t="shared" si="52"/>
        <v>Основной</v>
      </c>
      <c r="T200" t="str">
        <f t="shared" si="53"/>
        <v>ГУТС</v>
      </c>
      <c r="U200" t="str">
        <f>""</f>
        <v/>
      </c>
      <c r="V200" t="str">
        <f t="shared" si="54"/>
        <v>Нет</v>
      </c>
      <c r="W200">
        <v>51.723341261081302</v>
      </c>
      <c r="X200">
        <v>36.188174294940502</v>
      </c>
      <c r="Y200" t="str">
        <f>"20000004566919"</f>
        <v>20000004566919</v>
      </c>
    </row>
    <row r="201" spans="1:25" x14ac:dyDescent="0.25">
      <c r="A201">
        <v>907</v>
      </c>
      <c r="B201" t="str">
        <f t="shared" si="50"/>
        <v>Курск</v>
      </c>
      <c r="C201">
        <v>496004</v>
      </c>
      <c r="D201" t="str">
        <f>"ТОК1.5 Курск, Добролюбова, 22 а п. "</f>
        <v xml:space="preserve">ТОК1.5 Курск, Добролюбова, 22 а п. </v>
      </c>
      <c r="E201" t="str">
        <f>"КРС-64-SC"</f>
        <v>КРС-64-SC</v>
      </c>
      <c r="F201" t="str">
        <f>"25.03.2014"</f>
        <v>25.03.2014</v>
      </c>
      <c r="G201" t="str">
        <f>""</f>
        <v/>
      </c>
      <c r="H201" t="str">
        <f>"ТОК1.5"</f>
        <v>ТОК1.5</v>
      </c>
      <c r="I201" t="str">
        <f>"Стойка 08 сзади"</f>
        <v>Стойка 08 сзади</v>
      </c>
      <c r="J201" t="str">
        <f t="shared" si="55"/>
        <v>Курск, Добролюбова, 22 а</v>
      </c>
      <c r="K201" t="str">
        <f t="shared" si="56"/>
        <v>Серверная</v>
      </c>
      <c r="L201" t="str">
        <f>"25-MAR-14"</f>
        <v>25-MAR-14</v>
      </c>
      <c r="N201" t="str">
        <f>""</f>
        <v/>
      </c>
      <c r="O201" t="str">
        <f>"KURSK000461"</f>
        <v>KURSK000461</v>
      </c>
      <c r="P201" t="str">
        <f t="shared" si="51"/>
        <v>Нет</v>
      </c>
      <c r="Q201" t="str">
        <f>"КСК00000000000000150"</f>
        <v>КСК00000000000000150</v>
      </c>
      <c r="R201" t="str">
        <f>""</f>
        <v/>
      </c>
      <c r="S201" t="str">
        <f t="shared" si="52"/>
        <v>Основной</v>
      </c>
      <c r="T201" t="str">
        <f t="shared" si="53"/>
        <v>ГУТС</v>
      </c>
      <c r="U201" t="str">
        <f>""</f>
        <v/>
      </c>
      <c r="V201" t="str">
        <f t="shared" si="54"/>
        <v>Нет</v>
      </c>
      <c r="W201">
        <v>51.723464829999998</v>
      </c>
      <c r="X201">
        <v>36.18824403</v>
      </c>
      <c r="Y201" t="str">
        <f>"20000004566918"</f>
        <v>20000004566918</v>
      </c>
    </row>
    <row r="202" spans="1:25" x14ac:dyDescent="0.25">
      <c r="A202">
        <v>907</v>
      </c>
      <c r="B202" t="str">
        <f t="shared" si="50"/>
        <v>Курск</v>
      </c>
      <c r="C202">
        <v>496466</v>
      </c>
      <c r="D202" t="str">
        <f>"ОК1.1.1-33 Курск, Дзержинского, 49  п. 1"</f>
        <v>ОК1.1.1-33 Курск, Дзержинского, 49  п. 1</v>
      </c>
      <c r="E202" t="str">
        <f>"КРН-16-SC"</f>
        <v>КРН-16-SC</v>
      </c>
      <c r="F202" t="str">
        <f>"21.08.2014"</f>
        <v>21.08.2014</v>
      </c>
      <c r="G202" t="str">
        <f>""</f>
        <v/>
      </c>
      <c r="H202" t="str">
        <f>"ОК1.1.1-33"</f>
        <v>ОК1.1.1-33</v>
      </c>
      <c r="I202" t="str">
        <f>"ДШ (под. 1, ОУ№ 1.1.1-33)"</f>
        <v>ДШ (под. 1, ОУ№ 1.1.1-33)</v>
      </c>
      <c r="J202" t="str">
        <f>"Курск, Дзержинского, 49"</f>
        <v>Курск, Дзержинского, 49</v>
      </c>
      <c r="K202" t="str">
        <f>"ДШ-1"</f>
        <v>ДШ-1</v>
      </c>
      <c r="L202" t="str">
        <f>"19-SEP-14"</f>
        <v>19-SEP-14</v>
      </c>
      <c r="M202">
        <v>166552</v>
      </c>
      <c r="N202" t="str">
        <f>""</f>
        <v/>
      </c>
      <c r="O202" t="str">
        <f>"HSH-166552"</f>
        <v>HSH-166552</v>
      </c>
      <c r="P202" t="str">
        <f t="shared" si="51"/>
        <v>Нет</v>
      </c>
      <c r="Q202" t="str">
        <f>"КСК00000000000000027"</f>
        <v>КСК00000000000000027</v>
      </c>
      <c r="R202" t="str">
        <f>""</f>
        <v/>
      </c>
      <c r="S202" t="str">
        <f t="shared" si="52"/>
        <v>Основной</v>
      </c>
      <c r="T202" t="str">
        <f t="shared" si="53"/>
        <v>ГУТС</v>
      </c>
      <c r="U202" t="str">
        <f>""</f>
        <v/>
      </c>
      <c r="V202" t="str">
        <f t="shared" si="54"/>
        <v>Нет</v>
      </c>
      <c r="W202">
        <v>51.724933100000001</v>
      </c>
      <c r="X202">
        <v>36.178100890000003</v>
      </c>
      <c r="Y202" t="str">
        <f>"20000004567348"</f>
        <v>20000004567348</v>
      </c>
    </row>
    <row r="203" spans="1:25" x14ac:dyDescent="0.25">
      <c r="A203">
        <v>907</v>
      </c>
      <c r="B203" t="str">
        <f t="shared" si="50"/>
        <v>Курск</v>
      </c>
      <c r="C203">
        <v>496666</v>
      </c>
      <c r="D203" t="str">
        <f>"ОК1.1.1-34 Курск, Сумская, 29 а п. 1"</f>
        <v>ОК1.1.1-34 Курск, Сумская, 29 а п. 1</v>
      </c>
      <c r="E203" t="str">
        <f>"КРН-16-SC"</f>
        <v>КРН-16-SC</v>
      </c>
      <c r="F203" t="str">
        <f>"29.08.2014"</f>
        <v>29.08.2014</v>
      </c>
      <c r="G203" t="str">
        <f>""</f>
        <v/>
      </c>
      <c r="H203" t="str">
        <f>"ОК1.1.1-34"</f>
        <v>ОК1.1.1-34</v>
      </c>
      <c r="I203" t="str">
        <f>"ДШ (под. 1, ОУ№ 1.1.1-34)"</f>
        <v>ДШ (под. 1, ОУ№ 1.1.1-34)</v>
      </c>
      <c r="J203" t="str">
        <f>"Курск, Сумская, 29 а"</f>
        <v>Курск, Сумская, 29 а</v>
      </c>
      <c r="K203" t="str">
        <f>"ДШ-1"</f>
        <v>ДШ-1</v>
      </c>
      <c r="L203" t="str">
        <f>"22-SEP-14"</f>
        <v>22-SEP-14</v>
      </c>
      <c r="M203">
        <v>166602</v>
      </c>
      <c r="N203" t="str">
        <f>""</f>
        <v/>
      </c>
      <c r="O203" t="str">
        <f>"HSH-166602"</f>
        <v>HSH-166602</v>
      </c>
      <c r="P203" t="str">
        <f t="shared" si="51"/>
        <v>Нет</v>
      </c>
      <c r="Q203" t="str">
        <f>"КСК00000000000000027"</f>
        <v>КСК00000000000000027</v>
      </c>
      <c r="R203" t="str">
        <f>""</f>
        <v/>
      </c>
      <c r="S203" t="str">
        <f t="shared" si="52"/>
        <v>Основной</v>
      </c>
      <c r="T203" t="str">
        <f t="shared" si="53"/>
        <v>ГУТС</v>
      </c>
      <c r="U203" t="str">
        <f>""</f>
        <v/>
      </c>
      <c r="V203" t="str">
        <f t="shared" si="54"/>
        <v>Нет</v>
      </c>
      <c r="W203">
        <v>51.70991059</v>
      </c>
      <c r="X203">
        <v>36.1493751</v>
      </c>
      <c r="Y203" t="str">
        <f>"20000004567349"</f>
        <v>20000004567349</v>
      </c>
    </row>
    <row r="204" spans="1:25" x14ac:dyDescent="0.25">
      <c r="A204">
        <v>907</v>
      </c>
      <c r="B204" t="str">
        <f t="shared" si="50"/>
        <v>Курск</v>
      </c>
      <c r="C204">
        <v>497470</v>
      </c>
      <c r="D204" t="str">
        <f>"ОК 8.1 ППК 5.3.1 Курск, Кулакова Пр-Кт, 24  п. 1"</f>
        <v>ОК 8.1 ППК 5.3.1 Курск, Кулакова Пр-Кт, 24  п. 1</v>
      </c>
      <c r="E204" t="str">
        <f>"КРН-16-SC"</f>
        <v>КРН-16-SC</v>
      </c>
      <c r="F204" t="str">
        <f>"06.10.2014"</f>
        <v>06.10.2014</v>
      </c>
      <c r="G204" t="str">
        <f>""</f>
        <v/>
      </c>
      <c r="H204" t="str">
        <f>"ОК 8.1 ППК 5.3.1"</f>
        <v>ОК 8.1 ППК 5.3.1</v>
      </c>
      <c r="I204" t="str">
        <f>"ДШ (под. 1, ОУ№ 5.1.1-5)"</f>
        <v>ДШ (под. 1, ОУ№ 5.1.1-5)</v>
      </c>
      <c r="J204" t="str">
        <f>"Курск, Кулакова Пр-Кт, 24"</f>
        <v>Курск, Кулакова Пр-Кт, 24</v>
      </c>
      <c r="K204" t="str">
        <f>"Чердак"</f>
        <v>Чердак</v>
      </c>
      <c r="L204" t="str">
        <f>"09-SEP-14"</f>
        <v>09-SEP-14</v>
      </c>
      <c r="M204">
        <v>166952</v>
      </c>
      <c r="N204" t="str">
        <f>""</f>
        <v/>
      </c>
      <c r="O204" t="str">
        <f>"HSH-166952"</f>
        <v>HSH-166952</v>
      </c>
      <c r="P204" t="str">
        <f t="shared" si="51"/>
        <v>Нет</v>
      </c>
      <c r="Q204" t="str">
        <f>"КСК00000000000000219"</f>
        <v>КСК00000000000000219</v>
      </c>
      <c r="R204" t="str">
        <f>""</f>
        <v/>
      </c>
      <c r="S204" t="str">
        <f t="shared" si="52"/>
        <v>Основной</v>
      </c>
      <c r="T204" t="str">
        <f t="shared" si="53"/>
        <v>ГУТС</v>
      </c>
      <c r="U204" t="str">
        <f>""</f>
        <v/>
      </c>
      <c r="V204" t="str">
        <f t="shared" si="54"/>
        <v>Нет</v>
      </c>
      <c r="W204">
        <v>51.666188300000002</v>
      </c>
      <c r="X204">
        <v>36.140291130000001</v>
      </c>
      <c r="Y204" t="str">
        <f>"20000004567384"</f>
        <v>20000004567384</v>
      </c>
    </row>
    <row r="205" spans="1:25" x14ac:dyDescent="0.25">
      <c r="A205">
        <v>907</v>
      </c>
      <c r="B205" t="str">
        <f t="shared" si="50"/>
        <v>Курск</v>
      </c>
      <c r="C205">
        <v>497705</v>
      </c>
      <c r="D205" t="str">
        <f>"ОК1.1.1-35 Курск, Почтовая, 18  п. 1"</f>
        <v>ОК1.1.1-35 Курск, Почтовая, 18  п. 1</v>
      </c>
      <c r="E205" t="str">
        <f t="shared" ref="E205:E251" si="57">"КРС-8/16-SC"</f>
        <v>КРС-8/16-SC</v>
      </c>
      <c r="F205" t="str">
        <f>"29.11.2014"</f>
        <v>29.11.2014</v>
      </c>
      <c r="G205" t="str">
        <f>""</f>
        <v/>
      </c>
      <c r="H205" t="str">
        <f>"ОК1.1.1-35"</f>
        <v>ОК1.1.1-35</v>
      </c>
      <c r="I205" t="str">
        <f>"ДШ (под. 1, ОУ№ 1.1.1-36)"</f>
        <v>ДШ (под. 1, ОУ№ 1.1.1-36)</v>
      </c>
      <c r="J205" t="str">
        <f>"Курск, Почтовая, 18"</f>
        <v>Курск, Почтовая, 18</v>
      </c>
      <c r="K205" t="str">
        <f>"Серверная"</f>
        <v>Серверная</v>
      </c>
      <c r="L205" t="str">
        <f>"19-NOV-14"</f>
        <v>19-NOV-14</v>
      </c>
      <c r="M205">
        <v>167617</v>
      </c>
      <c r="N205" t="str">
        <f>""</f>
        <v/>
      </c>
      <c r="O205" t="str">
        <f>"HSH-167617"</f>
        <v>HSH-167617</v>
      </c>
      <c r="P205" t="str">
        <f t="shared" si="51"/>
        <v>Нет</v>
      </c>
      <c r="Q205" t="str">
        <f>"КСК00000000000000027"</f>
        <v>КСК00000000000000027</v>
      </c>
      <c r="R205" t="str">
        <f>""</f>
        <v/>
      </c>
      <c r="S205" t="str">
        <f t="shared" si="52"/>
        <v>Основной</v>
      </c>
      <c r="T205" t="str">
        <f t="shared" si="53"/>
        <v>ГУТС</v>
      </c>
      <c r="U205" t="str">
        <f>""</f>
        <v/>
      </c>
      <c r="V205" t="str">
        <f t="shared" si="54"/>
        <v>Нет</v>
      </c>
      <c r="W205">
        <v>51.73318587</v>
      </c>
      <c r="X205">
        <v>36.187629100000002</v>
      </c>
      <c r="Y205" t="str">
        <f>"20000004567423"</f>
        <v>20000004567423</v>
      </c>
    </row>
    <row r="206" spans="1:25" x14ac:dyDescent="0.25">
      <c r="A206">
        <v>907</v>
      </c>
      <c r="B206" t="str">
        <f t="shared" si="50"/>
        <v>Курск</v>
      </c>
      <c r="C206">
        <v>499266</v>
      </c>
      <c r="D206" t="str">
        <f>"ОК3.4.8-3 ППК3.4.8 Курск, Ленина, 60  п. 1"</f>
        <v>ОК3.4.8-3 ППК3.4.8 Курск, Ленина, 60  п. 1</v>
      </c>
      <c r="E206" t="str">
        <f t="shared" si="57"/>
        <v>КРС-8/16-SC</v>
      </c>
      <c r="F206" t="str">
        <f>"10.02.2015"</f>
        <v>10.02.2015</v>
      </c>
      <c r="G206" t="str">
        <f>""</f>
        <v/>
      </c>
      <c r="H206" t="str">
        <f>"ОК3.4.8-3 ППК3.4.8"</f>
        <v>ОК3.4.8-3 ППК3.4.8</v>
      </c>
      <c r="I206" t="str">
        <f>"ДШ (под. 1, ОУ№ 3.4.8-3)"</f>
        <v>ДШ (под. 1, ОУ№ 3.4.8-3)</v>
      </c>
      <c r="J206" t="str">
        <f>"Курск, Ленина, 60"</f>
        <v>Курск, Ленина, 60</v>
      </c>
      <c r="K206" t="str">
        <f>"Офис"</f>
        <v>Офис</v>
      </c>
      <c r="L206" t="str">
        <f>"17-DEC-14"</f>
        <v>17-DEC-14</v>
      </c>
      <c r="M206">
        <v>168303</v>
      </c>
      <c r="N206" t="str">
        <f>""</f>
        <v/>
      </c>
      <c r="O206" t="str">
        <f>"HSH-168303"</f>
        <v>HSH-168303</v>
      </c>
      <c r="P206" t="str">
        <f t="shared" si="51"/>
        <v>Нет</v>
      </c>
      <c r="Q206" t="str">
        <f>"КСК00000000000000192"</f>
        <v>КСК00000000000000192</v>
      </c>
      <c r="R206" t="str">
        <f>""</f>
        <v/>
      </c>
      <c r="S206" t="str">
        <f t="shared" si="52"/>
        <v>Основной</v>
      </c>
      <c r="T206" t="str">
        <f t="shared" si="53"/>
        <v>ГУТС</v>
      </c>
      <c r="U206" t="str">
        <f>""</f>
        <v/>
      </c>
      <c r="V206" t="str">
        <f t="shared" si="54"/>
        <v>Нет</v>
      </c>
      <c r="W206">
        <v>51.741361759999997</v>
      </c>
      <c r="X206">
        <v>36.192565369999997</v>
      </c>
      <c r="Y206" t="str">
        <f>"20000004567494"</f>
        <v>20000004567494</v>
      </c>
    </row>
    <row r="207" spans="1:25" x14ac:dyDescent="0.25">
      <c r="A207">
        <v>907</v>
      </c>
      <c r="B207" t="str">
        <f t="shared" si="50"/>
        <v>Курск</v>
      </c>
      <c r="C207">
        <v>499666</v>
      </c>
      <c r="D207" t="str">
        <f>"ОК1.1.1-36 ППК1.1.1 Курск, Добролюбова, 16  п. 1"</f>
        <v>ОК1.1.1-36 ППК1.1.1 Курск, Добролюбова, 16  п. 1</v>
      </c>
      <c r="E207" t="str">
        <f t="shared" si="57"/>
        <v>КРС-8/16-SC</v>
      </c>
      <c r="F207" t="str">
        <f>"03.03.2015"</f>
        <v>03.03.2015</v>
      </c>
      <c r="G207" t="str">
        <f>""</f>
        <v/>
      </c>
      <c r="H207" t="str">
        <f>"ОК1.1.1-36 ППК1.1.1"</f>
        <v>ОК1.1.1-36 ППК1.1.1</v>
      </c>
      <c r="I207" t="str">
        <f>"ДШ (под. 1, ОУ№ 1.1.1-37)"</f>
        <v>ДШ (под. 1, ОУ№ 1.1.1-37)</v>
      </c>
      <c r="J207" t="str">
        <f>"Курск, Добролюбова, 16"</f>
        <v>Курск, Добролюбова, 16</v>
      </c>
      <c r="K207" t="str">
        <f>"ДШ-1"</f>
        <v>ДШ-1</v>
      </c>
      <c r="L207" t="str">
        <f>"27-FEB-15"</f>
        <v>27-FEB-15</v>
      </c>
      <c r="M207">
        <v>168561</v>
      </c>
      <c r="N207" t="str">
        <f>""</f>
        <v/>
      </c>
      <c r="O207" t="str">
        <f>"HSH-168561"</f>
        <v>HSH-168561</v>
      </c>
      <c r="P207" t="str">
        <f t="shared" si="51"/>
        <v>Нет</v>
      </c>
      <c r="Q207" t="str">
        <f>"КСК00000000000000027"</f>
        <v>КСК00000000000000027</v>
      </c>
      <c r="R207" t="str">
        <f>""</f>
        <v/>
      </c>
      <c r="S207" t="str">
        <f t="shared" si="52"/>
        <v>Основной</v>
      </c>
      <c r="T207" t="str">
        <f t="shared" si="53"/>
        <v>ГУТС</v>
      </c>
      <c r="U207" t="str">
        <f>""</f>
        <v/>
      </c>
      <c r="V207" t="str">
        <f t="shared" si="54"/>
        <v>Нет</v>
      </c>
      <c r="W207">
        <v>51.724672050000002</v>
      </c>
      <c r="X207">
        <v>36.187077240000001</v>
      </c>
      <c r="Y207" t="str">
        <f>"20000004567506"</f>
        <v>20000004567506</v>
      </c>
    </row>
    <row r="208" spans="1:25" x14ac:dyDescent="0.25">
      <c r="A208">
        <v>907</v>
      </c>
      <c r="B208" t="str">
        <f t="shared" si="50"/>
        <v>Курск</v>
      </c>
      <c r="C208">
        <v>500092</v>
      </c>
      <c r="D208" t="str">
        <f>"ППК1.1.1-36 ППК Ендовищенская д.13 Курск, Ендовищенская, 13  п. 1"</f>
        <v>ППК1.1.1-36 ППК Ендовищенская д.13 Курск, Ендовищенская, 13  п. 1</v>
      </c>
      <c r="E208" t="str">
        <f t="shared" si="57"/>
        <v>КРС-8/16-SC</v>
      </c>
      <c r="F208" t="str">
        <f>"01.04.2015"</f>
        <v>01.04.2015</v>
      </c>
      <c r="G208" t="str">
        <f>""</f>
        <v/>
      </c>
      <c r="H208" t="str">
        <f>"ППК1.1.1-36 ППК Ендовищенская д.13"</f>
        <v>ППК1.1.1-36 ППК Ендовищенская д.13</v>
      </c>
      <c r="I208" t="str">
        <f>"ДШ (под. 1, ОУ№ 1.1.1-38)"</f>
        <v>ДШ (под. 1, ОУ№ 1.1.1-38)</v>
      </c>
      <c r="J208" t="str">
        <f>"Курск, Ендовищенская, 13"</f>
        <v>Курск, Ендовищенская, 13</v>
      </c>
      <c r="K208" t="str">
        <f>"Серверная"</f>
        <v>Серверная</v>
      </c>
      <c r="L208" t="str">
        <f>"31-MAR-15"</f>
        <v>31-MAR-15</v>
      </c>
      <c r="M208">
        <v>168819</v>
      </c>
      <c r="N208" t="str">
        <f>""</f>
        <v/>
      </c>
      <c r="O208" t="str">
        <f>"HSH-168819"</f>
        <v>HSH-168819</v>
      </c>
      <c r="P208" t="str">
        <f t="shared" si="51"/>
        <v>Нет</v>
      </c>
      <c r="Q208" t="str">
        <f>"КСК00000000000000027"</f>
        <v>КСК00000000000000027</v>
      </c>
      <c r="R208" t="str">
        <f>""</f>
        <v/>
      </c>
      <c r="S208" t="str">
        <f t="shared" si="52"/>
        <v>Основной</v>
      </c>
      <c r="T208" t="str">
        <f t="shared" si="53"/>
        <v>ГУТС</v>
      </c>
      <c r="U208" t="str">
        <f>""</f>
        <v/>
      </c>
      <c r="V208" t="str">
        <f t="shared" si="54"/>
        <v>Нет</v>
      </c>
      <c r="W208">
        <v>51.729500209999998</v>
      </c>
      <c r="X208">
        <v>36.187033329999998</v>
      </c>
      <c r="Y208" t="str">
        <f>"20000004567523"</f>
        <v>20000004567523</v>
      </c>
    </row>
    <row r="209" spans="1:25" x14ac:dyDescent="0.25">
      <c r="A209">
        <v>907</v>
      </c>
      <c r="B209" t="str">
        <f t="shared" si="50"/>
        <v>Курск</v>
      </c>
      <c r="C209">
        <v>500866</v>
      </c>
      <c r="D209" t="str">
        <f>"ОК 5.1.1-6 ППК 5.1.1 Курск, Кулакова Пр-Кт, 28  п. 1"</f>
        <v>ОК 5.1.1-6 ППК 5.1.1 Курск, Кулакова Пр-Кт, 28  п. 1</v>
      </c>
      <c r="E209" t="str">
        <f t="shared" si="57"/>
        <v>КРС-8/16-SC</v>
      </c>
      <c r="F209" t="str">
        <f>"22.05.2015"</f>
        <v>22.05.2015</v>
      </c>
      <c r="G209" t="str">
        <f>""</f>
        <v/>
      </c>
      <c r="H209" t="str">
        <f>"ОК 5.1.1-6 ППК 5.1.1"</f>
        <v>ОК 5.1.1-6 ППК 5.1.1</v>
      </c>
      <c r="I209" t="str">
        <f>"ДШ (под. 1, ОУ№ 5.3.1-2)"</f>
        <v>ДШ (под. 1, ОУ№ 5.3.1-2)</v>
      </c>
      <c r="J209" t="str">
        <f>"Курск, Кулакова Пр-Кт, 28"</f>
        <v>Курск, Кулакова Пр-Кт, 28</v>
      </c>
      <c r="K209" t="str">
        <f>"ДШ-1"</f>
        <v>ДШ-1</v>
      </c>
      <c r="L209" t="str">
        <f>"18-MAR-15"</f>
        <v>18-MAR-15</v>
      </c>
      <c r="M209">
        <v>169358</v>
      </c>
      <c r="N209" t="str">
        <f>""</f>
        <v/>
      </c>
      <c r="O209" t="str">
        <f>"HSH-169358"</f>
        <v>HSH-169358</v>
      </c>
      <c r="P209" t="str">
        <f t="shared" si="51"/>
        <v>Нет</v>
      </c>
      <c r="Q209" t="str">
        <f>"КСК00000000000000231"</f>
        <v>КСК00000000000000231</v>
      </c>
      <c r="R209" t="str">
        <f>""</f>
        <v/>
      </c>
      <c r="S209" t="str">
        <f t="shared" si="52"/>
        <v>Основной</v>
      </c>
      <c r="T209" t="str">
        <f t="shared" si="53"/>
        <v>ГУТС</v>
      </c>
      <c r="U209" t="str">
        <f>""</f>
        <v/>
      </c>
      <c r="V209" t="str">
        <f t="shared" si="54"/>
        <v>Нет</v>
      </c>
      <c r="W209">
        <v>51.665590850000001</v>
      </c>
      <c r="X209">
        <v>36.139904559999998</v>
      </c>
      <c r="Y209" t="str">
        <f>"20000004567549"</f>
        <v>20000004567549</v>
      </c>
    </row>
    <row r="210" spans="1:25" x14ac:dyDescent="0.25">
      <c r="A210">
        <v>907</v>
      </c>
      <c r="B210" t="str">
        <f t="shared" si="50"/>
        <v>Курск</v>
      </c>
      <c r="C210">
        <v>501066</v>
      </c>
      <c r="D210" t="str">
        <f>"ОК 5.1.1-5 ППК 5.1.1 Курск, Энгельса, 134  п. 1"</f>
        <v>ОК 5.1.1-5 ППК 5.1.1 Курск, Энгельса, 134  п. 1</v>
      </c>
      <c r="E210" t="str">
        <f t="shared" si="57"/>
        <v>КРС-8/16-SC</v>
      </c>
      <c r="F210" t="str">
        <f>"29.05.2015"</f>
        <v>29.05.2015</v>
      </c>
      <c r="G210" t="str">
        <f>""</f>
        <v/>
      </c>
      <c r="H210" t="str">
        <f>"ОК 5.1.1-5 ППК 5.1.1"</f>
        <v>ОК 5.1.1-5 ППК 5.1.1</v>
      </c>
      <c r="I210" t="str">
        <f>"ДШ (под. 1, ОУ№ 5.1.1-6)"</f>
        <v>ДШ (под. 1, ОУ№ 5.1.1-6)</v>
      </c>
      <c r="J210" t="str">
        <f>"Курск, Энгельса, 134"</f>
        <v>Курск, Энгельса, 134</v>
      </c>
      <c r="K210" t="str">
        <f>"ДШ-1"</f>
        <v>ДШ-1</v>
      </c>
      <c r="L210" t="str">
        <f>"25-JUN-15"</f>
        <v>25-JUN-15</v>
      </c>
      <c r="M210">
        <v>169453</v>
      </c>
      <c r="N210" t="str">
        <f>""</f>
        <v/>
      </c>
      <c r="O210" t="str">
        <f>"HSH-169453"</f>
        <v>HSH-169453</v>
      </c>
      <c r="P210" t="str">
        <f t="shared" si="51"/>
        <v>Нет</v>
      </c>
      <c r="Q210" t="str">
        <f>"КСК00000000000000219"</f>
        <v>КСК00000000000000219</v>
      </c>
      <c r="R210" t="str">
        <f>""</f>
        <v/>
      </c>
      <c r="S210" t="str">
        <f t="shared" si="52"/>
        <v>Основной</v>
      </c>
      <c r="T210" t="str">
        <f t="shared" si="53"/>
        <v>ГУТС</v>
      </c>
      <c r="U210" t="str">
        <f>""</f>
        <v/>
      </c>
      <c r="V210" t="str">
        <f t="shared" si="54"/>
        <v>Нет</v>
      </c>
      <c r="W210">
        <v>51.698393449999998</v>
      </c>
      <c r="X210">
        <v>36.161649230000002</v>
      </c>
      <c r="Y210" t="str">
        <f>"20000004567554"</f>
        <v>20000004567554</v>
      </c>
    </row>
    <row r="211" spans="1:25" x14ac:dyDescent="0.25">
      <c r="A211">
        <v>907</v>
      </c>
      <c r="B211" t="str">
        <f t="shared" si="50"/>
        <v>Курск</v>
      </c>
      <c r="C211">
        <v>501718</v>
      </c>
      <c r="D211" t="str">
        <f>"ОК1.1.1-37 Курск, Луговая Верхняя, 22  п. 1"</f>
        <v>ОК1.1.1-37 Курск, Луговая Верхняя, 22  п. 1</v>
      </c>
      <c r="E211" t="str">
        <f t="shared" si="57"/>
        <v>КРС-8/16-SC</v>
      </c>
      <c r="F211" t="str">
        <f>"23.06.2015"</f>
        <v>23.06.2015</v>
      </c>
      <c r="G211" t="str">
        <f>""</f>
        <v/>
      </c>
      <c r="H211" t="str">
        <f>"ОК1.1.1-37"</f>
        <v>ОК1.1.1-37</v>
      </c>
      <c r="I211" t="str">
        <f>"ДШ (под. 1, ОУ№ 1.1.1-39)"</f>
        <v>ДШ (под. 1, ОУ№ 1.1.1-39)</v>
      </c>
      <c r="J211" t="str">
        <f>"Курск, Луговая Верхняя, 22"</f>
        <v>Курск, Луговая Верхняя, 22</v>
      </c>
      <c r="K211" t="str">
        <f>"ДШ-1"</f>
        <v>ДШ-1</v>
      </c>
      <c r="L211" t="str">
        <f>"30-JUN-15"</f>
        <v>30-JUN-15</v>
      </c>
      <c r="M211">
        <v>169839</v>
      </c>
      <c r="N211" t="str">
        <f>""</f>
        <v/>
      </c>
      <c r="O211" t="str">
        <f>"HSH-169839"</f>
        <v>HSH-169839</v>
      </c>
      <c r="P211" t="str">
        <f t="shared" si="51"/>
        <v>Нет</v>
      </c>
      <c r="Q211" t="str">
        <f>"КСК00000000000000027"</f>
        <v>КСК00000000000000027</v>
      </c>
      <c r="R211" t="str">
        <f>""</f>
        <v/>
      </c>
      <c r="S211" t="str">
        <f t="shared" si="52"/>
        <v>Основной</v>
      </c>
      <c r="T211" t="str">
        <f t="shared" si="53"/>
        <v>ГУТС</v>
      </c>
      <c r="U211" t="str">
        <f>""</f>
        <v/>
      </c>
      <c r="V211" t="str">
        <f t="shared" si="54"/>
        <v>Нет</v>
      </c>
      <c r="W211">
        <v>51.729884609999999</v>
      </c>
      <c r="X211">
        <v>36.181603520000003</v>
      </c>
      <c r="Y211" t="str">
        <f>"20000004567582"</f>
        <v>20000004567582</v>
      </c>
    </row>
    <row r="212" spans="1:25" x14ac:dyDescent="0.25">
      <c r="A212">
        <v>907</v>
      </c>
      <c r="B212" t="str">
        <f t="shared" si="50"/>
        <v>Курск</v>
      </c>
      <c r="C212">
        <v>501866</v>
      </c>
      <c r="D212" t="str">
        <f>"ОК1.1.1-49 Курск, Радищева, 2  п. 1"</f>
        <v>ОК1.1.1-49 Курск, Радищева, 2  п. 1</v>
      </c>
      <c r="E212" t="str">
        <f t="shared" si="57"/>
        <v>КРС-8/16-SC</v>
      </c>
      <c r="F212" t="str">
        <f>"03.07.2015"</f>
        <v>03.07.2015</v>
      </c>
      <c r="G212" t="str">
        <f>""</f>
        <v/>
      </c>
      <c r="H212" t="str">
        <f>"ОК1.1.1-49"</f>
        <v>ОК1.1.1-49</v>
      </c>
      <c r="I212" t="str">
        <f>"ДШ (под. 1, ОУ№ 1.1.1 - 30)"</f>
        <v>ДШ (под. 1, ОУ№ 1.1.1 - 30)</v>
      </c>
      <c r="J212" t="str">
        <f>"Курск, Радищева, 2"</f>
        <v>Курск, Радищева, 2</v>
      </c>
      <c r="K212" t="str">
        <f>"Офис"</f>
        <v>Офис</v>
      </c>
      <c r="L212" t="str">
        <f>"16-SEP-15"</f>
        <v>16-SEP-15</v>
      </c>
      <c r="M212">
        <v>170059</v>
      </c>
      <c r="N212" t="str">
        <f>""</f>
        <v/>
      </c>
      <c r="O212" t="str">
        <f>"HSH-170059"</f>
        <v>HSH-170059</v>
      </c>
      <c r="P212" t="str">
        <f t="shared" si="51"/>
        <v>Нет</v>
      </c>
      <c r="Q212" t="str">
        <f>"КСК00000000000000027"</f>
        <v>КСК00000000000000027</v>
      </c>
      <c r="R212" t="str">
        <f>""</f>
        <v/>
      </c>
      <c r="S212" t="str">
        <f t="shared" si="52"/>
        <v>Основной</v>
      </c>
      <c r="T212" t="str">
        <f t="shared" si="53"/>
        <v>ГУТС</v>
      </c>
      <c r="U212" t="str">
        <f>""</f>
        <v/>
      </c>
      <c r="V212" t="str">
        <f t="shared" si="54"/>
        <v>Нет</v>
      </c>
      <c r="W212">
        <v>51.729897680000001</v>
      </c>
      <c r="X212">
        <v>36.189554430000001</v>
      </c>
      <c r="Y212" t="str">
        <f>"20000004567606"</f>
        <v>20000004567606</v>
      </c>
    </row>
    <row r="213" spans="1:25" x14ac:dyDescent="0.25">
      <c r="A213">
        <v>907</v>
      </c>
      <c r="B213" t="str">
        <f t="shared" si="50"/>
        <v>Курск</v>
      </c>
      <c r="C213">
        <v>503066</v>
      </c>
      <c r="D213" t="str">
        <f>"ОК 3.1.1-5 ППК 3.1.1 Курск, Радищева, 86  п. 1"</f>
        <v>ОК 3.1.1-5 ППК 3.1.1 Курск, Радищева, 86  п. 1</v>
      </c>
      <c r="E213" t="str">
        <f t="shared" si="57"/>
        <v>КРС-8/16-SC</v>
      </c>
      <c r="F213" t="str">
        <f>"24.08.2015"</f>
        <v>24.08.2015</v>
      </c>
      <c r="G213" t="str">
        <f>""</f>
        <v/>
      </c>
      <c r="H213" t="str">
        <f>"ОК 3.1.1-5 ППК 3.1.1"</f>
        <v>ОК 3.1.1-5 ППК 3.1.1</v>
      </c>
      <c r="I213" t="str">
        <f>"ДШ (под. 1, ОУ№ 3.1.1-5)"</f>
        <v>ДШ (под. 1, ОУ№ 3.1.1-5)</v>
      </c>
      <c r="J213" t="str">
        <f>"Курск, Радищева, 86"</f>
        <v>Курск, Радищева, 86</v>
      </c>
      <c r="K213" t="str">
        <f t="shared" ref="K213:K222" si="58">"ДШ-1"</f>
        <v>ДШ-1</v>
      </c>
      <c r="L213" t="str">
        <f>"16-SEP-15"</f>
        <v>16-SEP-15</v>
      </c>
      <c r="M213">
        <v>170561</v>
      </c>
      <c r="N213" t="str">
        <f>""</f>
        <v/>
      </c>
      <c r="O213" t="str">
        <f>"HSH-170561"</f>
        <v>HSH-170561</v>
      </c>
      <c r="P213" t="str">
        <f t="shared" si="51"/>
        <v>Нет</v>
      </c>
      <c r="Q213" t="str">
        <f>"КСК00000000000000178"</f>
        <v>КСК00000000000000178</v>
      </c>
      <c r="R213" t="str">
        <f>""</f>
        <v/>
      </c>
      <c r="S213" t="str">
        <f t="shared" si="52"/>
        <v>Основной</v>
      </c>
      <c r="T213" t="str">
        <f t="shared" si="53"/>
        <v>ГУТС</v>
      </c>
      <c r="U213" t="str">
        <f>""</f>
        <v/>
      </c>
      <c r="V213" t="str">
        <f t="shared" si="54"/>
        <v>Нет</v>
      </c>
      <c r="W213">
        <v>51.747898829999997</v>
      </c>
      <c r="X213">
        <v>36.189659200000001</v>
      </c>
      <c r="Y213" t="str">
        <f>"20000004567678"</f>
        <v>20000004567678</v>
      </c>
    </row>
    <row r="214" spans="1:25" x14ac:dyDescent="0.25">
      <c r="A214">
        <v>907</v>
      </c>
      <c r="B214" t="str">
        <f t="shared" si="50"/>
        <v>Курск</v>
      </c>
      <c r="C214">
        <v>503092</v>
      </c>
      <c r="D214" t="str">
        <f>"ОК1.1.1-45 Курск, Луговая Верхняя, 25  п. 1"</f>
        <v>ОК1.1.1-45 Курск, Луговая Верхняя, 25  п. 1</v>
      </c>
      <c r="E214" t="str">
        <f t="shared" si="57"/>
        <v>КРС-8/16-SC</v>
      </c>
      <c r="F214" t="str">
        <f>"24.08.2015"</f>
        <v>24.08.2015</v>
      </c>
      <c r="G214" t="str">
        <f>""</f>
        <v/>
      </c>
      <c r="H214" t="str">
        <f>"ОК1.1.1-45"</f>
        <v>ОК1.1.1-45</v>
      </c>
      <c r="I214" t="str">
        <f>"ДШ (под. 1, ОУ№ 1.1.1-45)"</f>
        <v>ДШ (под. 1, ОУ№ 1.1.1-45)</v>
      </c>
      <c r="J214" t="str">
        <f>"Курск, Луговая Верхняя, 25"</f>
        <v>Курск, Луговая Верхняя, 25</v>
      </c>
      <c r="K214" t="str">
        <f t="shared" si="58"/>
        <v>ДШ-1</v>
      </c>
      <c r="L214" t="str">
        <f>"02-SEP-15"</f>
        <v>02-SEP-15</v>
      </c>
      <c r="M214">
        <v>170563</v>
      </c>
      <c r="N214" t="str">
        <f>""</f>
        <v/>
      </c>
      <c r="O214" t="str">
        <f>"HSH-170563"</f>
        <v>HSH-170563</v>
      </c>
      <c r="P214" t="str">
        <f t="shared" si="51"/>
        <v>Нет</v>
      </c>
      <c r="Q214" t="str">
        <f>"КСК00000000000000027"</f>
        <v>КСК00000000000000027</v>
      </c>
      <c r="R214" t="str">
        <f>""</f>
        <v/>
      </c>
      <c r="S214" t="str">
        <f t="shared" si="52"/>
        <v>Основной</v>
      </c>
      <c r="T214" t="str">
        <f t="shared" si="53"/>
        <v>ГУТС</v>
      </c>
      <c r="U214" t="str">
        <f>""</f>
        <v/>
      </c>
      <c r="V214" t="str">
        <f t="shared" si="54"/>
        <v>Нет</v>
      </c>
      <c r="W214">
        <v>51.72998802</v>
      </c>
      <c r="X214">
        <v>36.182168130000001</v>
      </c>
      <c r="Y214" t="str">
        <f>"20000004567680"</f>
        <v>20000004567680</v>
      </c>
    </row>
    <row r="215" spans="1:25" x14ac:dyDescent="0.25">
      <c r="A215">
        <v>907</v>
      </c>
      <c r="B215" t="str">
        <f t="shared" si="50"/>
        <v>Курск</v>
      </c>
      <c r="C215">
        <v>503266</v>
      </c>
      <c r="D215" t="str">
        <f>"ОК1.1.1-44 Курск, Дзержинского, 60  п. 1"</f>
        <v>ОК1.1.1-44 Курск, Дзержинского, 60  п. 1</v>
      </c>
      <c r="E215" t="str">
        <f t="shared" si="57"/>
        <v>КРС-8/16-SC</v>
      </c>
      <c r="F215" t="str">
        <f>"27.08.2015"</f>
        <v>27.08.2015</v>
      </c>
      <c r="G215" t="str">
        <f>""</f>
        <v/>
      </c>
      <c r="H215" t="str">
        <f>"ОК1.1.1-44"</f>
        <v>ОК1.1.1-44</v>
      </c>
      <c r="I215" t="str">
        <f>"ДШ (под. 1, ОУ№ 1.1.1-44)"</f>
        <v>ДШ (под. 1, ОУ№ 1.1.1-44)</v>
      </c>
      <c r="J215" t="str">
        <f>"Курск, Дзержинского, 60"</f>
        <v>Курск, Дзержинского, 60</v>
      </c>
      <c r="K215" t="str">
        <f t="shared" si="58"/>
        <v>ДШ-1</v>
      </c>
      <c r="L215" t="str">
        <f>"15-SEP-15"</f>
        <v>15-SEP-15</v>
      </c>
      <c r="M215">
        <v>170716</v>
      </c>
      <c r="N215" t="str">
        <f>""</f>
        <v/>
      </c>
      <c r="O215" t="str">
        <f>"HSH-170716"</f>
        <v>HSH-170716</v>
      </c>
      <c r="P215" t="str">
        <f t="shared" si="51"/>
        <v>Нет</v>
      </c>
      <c r="Q215" t="str">
        <f>"КСК00000000000000027"</f>
        <v>КСК00000000000000027</v>
      </c>
      <c r="R215" t="str">
        <f>""</f>
        <v/>
      </c>
      <c r="S215" t="str">
        <f t="shared" si="52"/>
        <v>Основной</v>
      </c>
      <c r="T215" t="str">
        <f t="shared" si="53"/>
        <v>ГУТС</v>
      </c>
      <c r="U215" t="str">
        <f>""</f>
        <v/>
      </c>
      <c r="V215" t="str">
        <f t="shared" si="54"/>
        <v>Нет</v>
      </c>
      <c r="W215">
        <v>51.725441510000003</v>
      </c>
      <c r="X215">
        <v>36.181348710000002</v>
      </c>
      <c r="Y215" t="str">
        <f>"20000004567692"</f>
        <v>20000004567692</v>
      </c>
    </row>
    <row r="216" spans="1:25" x14ac:dyDescent="0.25">
      <c r="A216">
        <v>907</v>
      </c>
      <c r="B216" t="str">
        <f t="shared" si="50"/>
        <v>Курск</v>
      </c>
      <c r="C216">
        <v>503666</v>
      </c>
      <c r="D216" t="str">
        <f>"ОК1.1.1-41 Курск, Кожевенная 1-Я, 31  п. 1"</f>
        <v>ОК1.1.1-41 Курск, Кожевенная 1-Я, 31  п. 1</v>
      </c>
      <c r="E216" t="str">
        <f t="shared" si="57"/>
        <v>КРС-8/16-SC</v>
      </c>
      <c r="F216" t="str">
        <f>"01.09.2015"</f>
        <v>01.09.2015</v>
      </c>
      <c r="G216" t="str">
        <f>""</f>
        <v/>
      </c>
      <c r="H216" t="str">
        <f>"ОК1.1.1-41"</f>
        <v>ОК1.1.1-41</v>
      </c>
      <c r="I216" t="str">
        <f>"ДШ (под. 1, ОУ№ 1.1.1-41)"</f>
        <v>ДШ (под. 1, ОУ№ 1.1.1-41)</v>
      </c>
      <c r="J216" t="str">
        <f>"Курск, Кожевенная 1-Я, 31"</f>
        <v>Курск, Кожевенная 1-Я, 31</v>
      </c>
      <c r="K216" t="str">
        <f t="shared" si="58"/>
        <v>ДШ-1</v>
      </c>
      <c r="L216" t="str">
        <f>"01-SEP-15"</f>
        <v>01-SEP-15</v>
      </c>
      <c r="M216">
        <v>170811</v>
      </c>
      <c r="N216" t="str">
        <f>""</f>
        <v/>
      </c>
      <c r="O216" t="str">
        <f>"HSH-170811"</f>
        <v>HSH-170811</v>
      </c>
      <c r="P216" t="str">
        <f t="shared" si="51"/>
        <v>Нет</v>
      </c>
      <c r="Q216" t="str">
        <f>"КСК00000000000000027"</f>
        <v>КСК00000000000000027</v>
      </c>
      <c r="R216" t="str">
        <f>""</f>
        <v/>
      </c>
      <c r="S216" t="str">
        <f t="shared" si="52"/>
        <v>Основной</v>
      </c>
      <c r="T216" t="str">
        <f t="shared" si="53"/>
        <v>ГУТС</v>
      </c>
      <c r="U216" t="str">
        <f>""</f>
        <v/>
      </c>
      <c r="V216" t="str">
        <f t="shared" si="54"/>
        <v>Нет</v>
      </c>
      <c r="W216">
        <v>51.717449260000002</v>
      </c>
      <c r="X216">
        <v>36.187224090000001</v>
      </c>
      <c r="Y216" t="str">
        <f>"20000004567693"</f>
        <v>20000004567693</v>
      </c>
    </row>
    <row r="217" spans="1:25" x14ac:dyDescent="0.25">
      <c r="A217">
        <v>907</v>
      </c>
      <c r="B217" t="str">
        <f t="shared" si="50"/>
        <v>Курск</v>
      </c>
      <c r="C217">
        <v>503679</v>
      </c>
      <c r="D217" t="str">
        <f>"ОК1.1.1-42 Курск, Кожевенная 1-Я, 31  п. 2"</f>
        <v>ОК1.1.1-42 Курск, Кожевенная 1-Я, 31  п. 2</v>
      </c>
      <c r="E217" t="str">
        <f t="shared" si="57"/>
        <v>КРС-8/16-SC</v>
      </c>
      <c r="F217" t="str">
        <f>"01.09.2015"</f>
        <v>01.09.2015</v>
      </c>
      <c r="G217" t="str">
        <f>""</f>
        <v/>
      </c>
      <c r="H217" t="str">
        <f>"ОК1.1.1-42"</f>
        <v>ОК1.1.1-42</v>
      </c>
      <c r="I217" t="str">
        <f>"ДШ (под. 2, ОУ№ 1.1.1-42)"</f>
        <v>ДШ (под. 2, ОУ№ 1.1.1-42)</v>
      </c>
      <c r="J217" t="str">
        <f>"Курск, Кожевенная 1-Я, 31"</f>
        <v>Курск, Кожевенная 1-Я, 31</v>
      </c>
      <c r="K217" t="str">
        <f t="shared" si="58"/>
        <v>ДШ-1</v>
      </c>
      <c r="L217" t="str">
        <f>"01-SEP-15"</f>
        <v>01-SEP-15</v>
      </c>
      <c r="M217">
        <v>170812</v>
      </c>
      <c r="N217" t="str">
        <f>""</f>
        <v/>
      </c>
      <c r="O217" t="str">
        <f>"HSH-170812"</f>
        <v>HSH-170812</v>
      </c>
      <c r="P217" t="str">
        <f t="shared" si="51"/>
        <v>Нет</v>
      </c>
      <c r="Q217" t="str">
        <f>"КСК00000000000000027"</f>
        <v>КСК00000000000000027</v>
      </c>
      <c r="R217" t="str">
        <f>""</f>
        <v/>
      </c>
      <c r="S217" t="str">
        <f t="shared" si="52"/>
        <v>Основной</v>
      </c>
      <c r="T217" t="str">
        <f t="shared" si="53"/>
        <v>ГУТС</v>
      </c>
      <c r="U217" t="str">
        <f>""</f>
        <v/>
      </c>
      <c r="V217" t="str">
        <f t="shared" si="54"/>
        <v>Нет</v>
      </c>
      <c r="W217">
        <v>51.71705377</v>
      </c>
      <c r="X217">
        <v>36.186697039999999</v>
      </c>
      <c r="Y217" t="str">
        <f>"20000004567694"</f>
        <v>20000004567694</v>
      </c>
    </row>
    <row r="218" spans="1:25" x14ac:dyDescent="0.25">
      <c r="A218">
        <v>907</v>
      </c>
      <c r="B218" t="str">
        <f t="shared" si="50"/>
        <v>Курск</v>
      </c>
      <c r="C218">
        <v>503692</v>
      </c>
      <c r="D218" t="str">
        <f>"ОК1.1.1-43 Курск, Кожевенная 1-Я, 31  п. 3"</f>
        <v>ОК1.1.1-43 Курск, Кожевенная 1-Я, 31  п. 3</v>
      </c>
      <c r="E218" t="str">
        <f t="shared" si="57"/>
        <v>КРС-8/16-SC</v>
      </c>
      <c r="F218" t="str">
        <f>"01.09.2015"</f>
        <v>01.09.2015</v>
      </c>
      <c r="G218" t="str">
        <f>""</f>
        <v/>
      </c>
      <c r="H218" t="str">
        <f>"ОК1.1.1-43"</f>
        <v>ОК1.1.1-43</v>
      </c>
      <c r="I218" t="str">
        <f>"ДШ (под. 3, ОУ№ 1.1.1-43)"</f>
        <v>ДШ (под. 3, ОУ№ 1.1.1-43)</v>
      </c>
      <c r="J218" t="str">
        <f>"Курск, Кожевенная 1-Я, 31"</f>
        <v>Курск, Кожевенная 1-Я, 31</v>
      </c>
      <c r="K218" t="str">
        <f t="shared" si="58"/>
        <v>ДШ-1</v>
      </c>
      <c r="L218" t="str">
        <f>"01-SEP-15"</f>
        <v>01-SEP-15</v>
      </c>
      <c r="M218">
        <v>170813</v>
      </c>
      <c r="N218" t="str">
        <f>""</f>
        <v/>
      </c>
      <c r="O218" t="str">
        <f>"HSH-170813"</f>
        <v>HSH-170813</v>
      </c>
      <c r="P218" t="str">
        <f t="shared" si="51"/>
        <v>Нет</v>
      </c>
      <c r="Q218" t="str">
        <f>"КСК00000000000000027"</f>
        <v>КСК00000000000000027</v>
      </c>
      <c r="R218" t="str">
        <f>""</f>
        <v/>
      </c>
      <c r="S218" t="str">
        <f t="shared" si="52"/>
        <v>Основной</v>
      </c>
      <c r="T218" t="str">
        <f t="shared" si="53"/>
        <v>ГУТС</v>
      </c>
      <c r="U218" t="str">
        <f>""</f>
        <v/>
      </c>
      <c r="V218" t="str">
        <f t="shared" si="54"/>
        <v>Нет</v>
      </c>
      <c r="W218">
        <v>51.71630639</v>
      </c>
      <c r="X218">
        <v>36.185880969999999</v>
      </c>
      <c r="Y218" t="str">
        <f>"20000004567695"</f>
        <v>20000004567695</v>
      </c>
    </row>
    <row r="219" spans="1:25" x14ac:dyDescent="0.25">
      <c r="A219">
        <v>907</v>
      </c>
      <c r="B219" t="str">
        <f t="shared" si="50"/>
        <v>Курск</v>
      </c>
      <c r="C219">
        <v>503869</v>
      </c>
      <c r="D219" t="str">
        <f>"ОК 3.1.1-7 ППК 3.1.1 Курск, 50 Лет Октября, 169 б п. 1"</f>
        <v>ОК 3.1.1-7 ППК 3.1.1 Курск, 50 Лет Октября, 169 б п. 1</v>
      </c>
      <c r="E219" t="str">
        <f t="shared" si="57"/>
        <v>КРС-8/16-SC</v>
      </c>
      <c r="F219" t="str">
        <f>"02.10.2015"</f>
        <v>02.10.2015</v>
      </c>
      <c r="G219" t="str">
        <f>""</f>
        <v/>
      </c>
      <c r="H219" t="str">
        <f>"ОК 3.1.1-7 ППК 3.1.1"</f>
        <v>ОК 3.1.1-7 ППК 3.1.1</v>
      </c>
      <c r="I219" t="str">
        <f>"ДШ (под. 1, ОУ№ 3.1.1-7)"</f>
        <v>ДШ (под. 1, ОУ№ 3.1.1-7)</v>
      </c>
      <c r="J219" t="str">
        <f>"Курск, 50 Лет Октября, 169 б"</f>
        <v>Курск, 50 Лет Октября, 169 б</v>
      </c>
      <c r="K219" t="str">
        <f t="shared" si="58"/>
        <v>ДШ-1</v>
      </c>
      <c r="L219" t="str">
        <f>"10-SEP-15"</f>
        <v>10-SEP-15</v>
      </c>
      <c r="M219">
        <v>171364</v>
      </c>
      <c r="N219" t="str">
        <f>""</f>
        <v/>
      </c>
      <c r="O219" t="str">
        <f>"HSH-171364"</f>
        <v>HSH-171364</v>
      </c>
      <c r="P219" t="str">
        <f t="shared" si="51"/>
        <v>Нет</v>
      </c>
      <c r="Q219" t="str">
        <f>"КСК00000000000000178"</f>
        <v>КСК00000000000000178</v>
      </c>
      <c r="R219" t="str">
        <f>""</f>
        <v/>
      </c>
      <c r="S219" t="str">
        <f t="shared" si="52"/>
        <v>Основной</v>
      </c>
      <c r="T219" t="str">
        <f t="shared" si="53"/>
        <v>ГУТС</v>
      </c>
      <c r="U219" t="str">
        <f>""</f>
        <v/>
      </c>
      <c r="V219" t="str">
        <f t="shared" si="54"/>
        <v>Нет</v>
      </c>
      <c r="W219">
        <v>51.756240380000001</v>
      </c>
      <c r="X219">
        <v>36.137057390000002</v>
      </c>
      <c r="Y219" t="str">
        <f>"20000004567762"</f>
        <v>20000004567762</v>
      </c>
    </row>
    <row r="220" spans="1:25" x14ac:dyDescent="0.25">
      <c r="A220">
        <v>907</v>
      </c>
      <c r="B220" t="str">
        <f t="shared" si="50"/>
        <v>Курск</v>
      </c>
      <c r="C220">
        <v>504266</v>
      </c>
      <c r="D220" t="str">
        <f>"ОК1.1.1-46.2 Курск, Литовская, 10 а п. 1"</f>
        <v>ОК1.1.1-46.2 Курск, Литовская, 10 а п. 1</v>
      </c>
      <c r="E220" t="str">
        <f t="shared" si="57"/>
        <v>КРС-8/16-SC</v>
      </c>
      <c r="F220" t="str">
        <f>"07.10.2015"</f>
        <v>07.10.2015</v>
      </c>
      <c r="G220" t="str">
        <f>""</f>
        <v/>
      </c>
      <c r="H220" t="str">
        <f>"ОК1.1.1-46.2"</f>
        <v>ОК1.1.1-46.2</v>
      </c>
      <c r="I220" t="str">
        <f>"ДШ (под. 1, ОУ№ 1.1.1-46)"</f>
        <v>ДШ (под. 1, ОУ№ 1.1.1-46)</v>
      </c>
      <c r="J220" t="str">
        <f>"Курск, Литовская, 10 а"</f>
        <v>Курск, Литовская, 10 а</v>
      </c>
      <c r="K220" t="str">
        <f t="shared" si="58"/>
        <v>ДШ-1</v>
      </c>
      <c r="L220" t="str">
        <f>"16-SEP-15"</f>
        <v>16-SEP-15</v>
      </c>
      <c r="M220">
        <v>171414</v>
      </c>
      <c r="N220" t="str">
        <f>""</f>
        <v/>
      </c>
      <c r="O220" t="str">
        <f>"HSH-171414"</f>
        <v>HSH-171414</v>
      </c>
      <c r="P220" t="str">
        <f t="shared" si="51"/>
        <v>Нет</v>
      </c>
      <c r="Q220" t="str">
        <f>"КСК00000000000000027"</f>
        <v>КСК00000000000000027</v>
      </c>
      <c r="R220" t="str">
        <f>""</f>
        <v/>
      </c>
      <c r="S220" t="str">
        <f t="shared" si="52"/>
        <v>Основной</v>
      </c>
      <c r="T220" t="str">
        <f t="shared" si="53"/>
        <v>ГУТС</v>
      </c>
      <c r="U220" t="str">
        <f>""</f>
        <v/>
      </c>
      <c r="V220" t="str">
        <f t="shared" si="54"/>
        <v>Нет</v>
      </c>
      <c r="W220">
        <v>51.704505189999999</v>
      </c>
      <c r="X220">
        <v>36.174392070000003</v>
      </c>
      <c r="Y220" t="str">
        <f>"20000004567763"</f>
        <v>20000004567763</v>
      </c>
    </row>
    <row r="221" spans="1:25" x14ac:dyDescent="0.25">
      <c r="A221">
        <v>907</v>
      </c>
      <c r="B221" t="str">
        <f t="shared" si="50"/>
        <v>Курск</v>
      </c>
      <c r="C221">
        <v>504280</v>
      </c>
      <c r="D221" t="str">
        <f>"ОК1.1.1-47 Курск, Литовская, 10 а п. 2"</f>
        <v>ОК1.1.1-47 Курск, Литовская, 10 а п. 2</v>
      </c>
      <c r="E221" t="str">
        <f t="shared" si="57"/>
        <v>КРС-8/16-SC</v>
      </c>
      <c r="F221" t="str">
        <f>"07.10.2015"</f>
        <v>07.10.2015</v>
      </c>
      <c r="G221" t="str">
        <f>""</f>
        <v/>
      </c>
      <c r="H221" t="str">
        <f>"ОК1.1.1-47"</f>
        <v>ОК1.1.1-47</v>
      </c>
      <c r="I221" t="str">
        <f>"ДШ (под. 2, ОУ№ 1.1.1-47)"</f>
        <v>ДШ (под. 2, ОУ№ 1.1.1-47)</v>
      </c>
      <c r="J221" t="str">
        <f>"Курск, Литовская, 10 а"</f>
        <v>Курск, Литовская, 10 а</v>
      </c>
      <c r="K221" t="str">
        <f t="shared" si="58"/>
        <v>ДШ-1</v>
      </c>
      <c r="L221" t="str">
        <f>"08-SEP-15"</f>
        <v>08-SEP-15</v>
      </c>
      <c r="M221">
        <v>171415</v>
      </c>
      <c r="N221" t="str">
        <f>""</f>
        <v/>
      </c>
      <c r="O221" t="str">
        <f>"HSH-171415"</f>
        <v>HSH-171415</v>
      </c>
      <c r="P221" t="str">
        <f t="shared" si="51"/>
        <v>Нет</v>
      </c>
      <c r="Q221" t="str">
        <f>"КСК00000000000000027"</f>
        <v>КСК00000000000000027</v>
      </c>
      <c r="R221" t="str">
        <f>""</f>
        <v/>
      </c>
      <c r="S221" t="str">
        <f t="shared" si="52"/>
        <v>Основной</v>
      </c>
      <c r="T221" t="str">
        <f t="shared" si="53"/>
        <v>ГУТС</v>
      </c>
      <c r="U221" t="str">
        <f>""</f>
        <v/>
      </c>
      <c r="V221" t="str">
        <f t="shared" si="54"/>
        <v>Нет</v>
      </c>
      <c r="W221">
        <v>51.705151579999999</v>
      </c>
      <c r="X221">
        <v>36.174720970000003</v>
      </c>
      <c r="Y221" t="str">
        <f>"20000004567764"</f>
        <v>20000004567764</v>
      </c>
    </row>
    <row r="222" spans="1:25" x14ac:dyDescent="0.25">
      <c r="A222">
        <v>907</v>
      </c>
      <c r="B222" t="str">
        <f t="shared" si="50"/>
        <v>Курск</v>
      </c>
      <c r="C222">
        <v>504466</v>
      </c>
      <c r="D222" t="str">
        <f>"ОК 1.1.1-48 Курск, Дзержинского, 9 а п. 1"</f>
        <v>ОК 1.1.1-48 Курск, Дзержинского, 9 а п. 1</v>
      </c>
      <c r="E222" t="str">
        <f t="shared" si="57"/>
        <v>КРС-8/16-SC</v>
      </c>
      <c r="F222" t="str">
        <f>"13.10.2015"</f>
        <v>13.10.2015</v>
      </c>
      <c r="G222" t="str">
        <f>""</f>
        <v/>
      </c>
      <c r="H222" t="str">
        <f>"ОК 1.1.1-48"</f>
        <v>ОК 1.1.1-48</v>
      </c>
      <c r="I222" t="str">
        <f>"ДШ (под. 1, ОУ№ 1.1.1-40)"</f>
        <v>ДШ (под. 1, ОУ№ 1.1.1-40)</v>
      </c>
      <c r="J222" t="str">
        <f>"Курск, Дзержинского, 9 а"</f>
        <v>Курск, Дзержинского, 9 а</v>
      </c>
      <c r="K222" t="str">
        <f t="shared" si="58"/>
        <v>ДШ-1</v>
      </c>
      <c r="L222" t="str">
        <f>"15-SEP-15"</f>
        <v>15-SEP-15</v>
      </c>
      <c r="M222">
        <v>171522</v>
      </c>
      <c r="N222" t="str">
        <f>""</f>
        <v/>
      </c>
      <c r="O222" t="str">
        <f>"HSH-171522"</f>
        <v>HSH-171522</v>
      </c>
      <c r="P222" t="str">
        <f t="shared" si="51"/>
        <v>Нет</v>
      </c>
      <c r="Q222" t="str">
        <f>"КСК00000000000000027"</f>
        <v>КСК00000000000000027</v>
      </c>
      <c r="R222" t="str">
        <f>""</f>
        <v/>
      </c>
      <c r="S222" t="str">
        <f t="shared" si="52"/>
        <v>Основной</v>
      </c>
      <c r="T222" t="str">
        <f t="shared" si="53"/>
        <v>ГУТС</v>
      </c>
      <c r="U222" t="str">
        <f>""</f>
        <v/>
      </c>
      <c r="V222" t="str">
        <f t="shared" si="54"/>
        <v>Нет</v>
      </c>
      <c r="W222">
        <v>51.728882429999999</v>
      </c>
      <c r="X222">
        <v>36.188999709999997</v>
      </c>
      <c r="Y222" t="str">
        <f>"20000004567776"</f>
        <v>20000004567776</v>
      </c>
    </row>
    <row r="223" spans="1:25" x14ac:dyDescent="0.25">
      <c r="A223">
        <v>907</v>
      </c>
      <c r="B223" t="str">
        <f t="shared" si="50"/>
        <v>Курск</v>
      </c>
      <c r="C223">
        <v>505066</v>
      </c>
      <c r="D223" t="str">
        <f>"ОК3.1.1-8 ППК 3.1.1 Курск, Карла Маркса, 10  п. 1"</f>
        <v>ОК3.1.1-8 ППК 3.1.1 Курск, Карла Маркса, 10  п. 1</v>
      </c>
      <c r="E223" t="str">
        <f t="shared" si="57"/>
        <v>КРС-8/16-SC</v>
      </c>
      <c r="F223" t="str">
        <f>"03.11.2015"</f>
        <v>03.11.2015</v>
      </c>
      <c r="G223" t="str">
        <f>""</f>
        <v/>
      </c>
      <c r="H223" t="str">
        <f>"ОК3.1.1-8 ППК 3.1.1"</f>
        <v>ОК3.1.1-8 ППК 3.1.1</v>
      </c>
      <c r="I223" t="str">
        <f>"ДШ (под. 1, ОУ№ 3.1.1-9)"</f>
        <v>ДШ (под. 1, ОУ№ 3.1.1-9)</v>
      </c>
      <c r="J223" t="str">
        <f>"Курск, Карла Маркса, 10"</f>
        <v>Курск, Карла Маркса, 10</v>
      </c>
      <c r="K223" t="str">
        <f>"Серверная"</f>
        <v>Серверная</v>
      </c>
      <c r="L223" t="str">
        <f>"29-OCT-15"</f>
        <v>29-OCT-15</v>
      </c>
      <c r="M223">
        <v>171942</v>
      </c>
      <c r="N223" t="str">
        <f>""</f>
        <v/>
      </c>
      <c r="O223" t="str">
        <f>"HSH-171942"</f>
        <v>HSH-171942</v>
      </c>
      <c r="P223" t="str">
        <f t="shared" si="51"/>
        <v>Нет</v>
      </c>
      <c r="Q223" t="str">
        <f>"КСК00000000000000178"</f>
        <v>КСК00000000000000178</v>
      </c>
      <c r="R223" t="str">
        <f>""</f>
        <v/>
      </c>
      <c r="S223" t="str">
        <f t="shared" si="52"/>
        <v>Основной</v>
      </c>
      <c r="T223" t="str">
        <f t="shared" si="53"/>
        <v>ГУТС</v>
      </c>
      <c r="U223" t="str">
        <f>""</f>
        <v/>
      </c>
      <c r="V223" t="str">
        <f t="shared" si="54"/>
        <v>Нет</v>
      </c>
      <c r="W223">
        <v>51.750615160000002</v>
      </c>
      <c r="X223">
        <v>36.190911870000001</v>
      </c>
      <c r="Y223" t="str">
        <f>"20000004567861"</f>
        <v>20000004567861</v>
      </c>
    </row>
    <row r="224" spans="1:25" x14ac:dyDescent="0.25">
      <c r="A224">
        <v>907</v>
      </c>
      <c r="B224" t="str">
        <f t="shared" si="50"/>
        <v>Курск</v>
      </c>
      <c r="C224">
        <v>505266</v>
      </c>
      <c r="D224" t="str">
        <f>"МОК 3.1.2 Курск, Карла Маркса, 62 /21 п. "</f>
        <v xml:space="preserve">МОК 3.1.2 Курск, Карла Маркса, 62 /21 п. </v>
      </c>
      <c r="E224" t="str">
        <f t="shared" si="57"/>
        <v>КРС-8/16-SC</v>
      </c>
      <c r="F224" t="str">
        <f>"03.11.2015"</f>
        <v>03.11.2015</v>
      </c>
      <c r="G224" t="str">
        <f>""</f>
        <v/>
      </c>
      <c r="H224" t="str">
        <f>"МОК 3.1.2"</f>
        <v>МОК 3.1.2</v>
      </c>
      <c r="I224" t="str">
        <f>"Стойка #2"</f>
        <v>Стойка #2</v>
      </c>
      <c r="J224" t="str">
        <f>"Курск, Карла Маркса, 62 /21"</f>
        <v>Курск, Карла Маркса, 62 /21</v>
      </c>
      <c r="K224" t="str">
        <f>"Серверная"</f>
        <v>Серверная</v>
      </c>
      <c r="L224" t="str">
        <f>"21-OCT-15"</f>
        <v>21-OCT-15</v>
      </c>
      <c r="N224" t="str">
        <f>""</f>
        <v/>
      </c>
      <c r="O224" t="str">
        <f>"EmptySerial&lt;59427&gt;"</f>
        <v>EmptySerial&lt;59427&gt;</v>
      </c>
      <c r="P224" t="str">
        <f t="shared" si="51"/>
        <v>Нет</v>
      </c>
      <c r="Q224" t="str">
        <f>""</f>
        <v/>
      </c>
      <c r="R224" t="str">
        <f>""</f>
        <v/>
      </c>
      <c r="S224" t="str">
        <f t="shared" si="52"/>
        <v>Основной</v>
      </c>
      <c r="T224" t="str">
        <f t="shared" si="53"/>
        <v>ГУТС</v>
      </c>
      <c r="U224" t="str">
        <f>""</f>
        <v/>
      </c>
      <c r="V224" t="str">
        <f t="shared" si="54"/>
        <v>Нет</v>
      </c>
      <c r="W224">
        <v>51.758031809999999</v>
      </c>
      <c r="X224">
        <v>36.187270030000001</v>
      </c>
      <c r="Y224" t="str">
        <f>"20000004567862"</f>
        <v>20000004567862</v>
      </c>
    </row>
    <row r="225" spans="1:25" x14ac:dyDescent="0.25">
      <c r="A225">
        <v>907</v>
      </c>
      <c r="B225" t="str">
        <f t="shared" si="50"/>
        <v>Курск</v>
      </c>
      <c r="C225">
        <v>505279</v>
      </c>
      <c r="D225" t="str">
        <f>"ОК3.1.1-6 Курск, Карла Маркса, 66  п. 1"</f>
        <v>ОК3.1.1-6 Курск, Карла Маркса, 66  п. 1</v>
      </c>
      <c r="E225" t="str">
        <f t="shared" si="57"/>
        <v>КРС-8/16-SC</v>
      </c>
      <c r="F225" t="str">
        <f>"03.11.2015"</f>
        <v>03.11.2015</v>
      </c>
      <c r="G225" t="str">
        <f>""</f>
        <v/>
      </c>
      <c r="H225" t="str">
        <f>"ОК3.1.1-6"</f>
        <v>ОК3.1.1-6</v>
      </c>
      <c r="I225" t="str">
        <f>"ДШ (под. 1, ОУ№ 3.1.1-8)"</f>
        <v>ДШ (под. 1, ОУ№ 3.1.1-8)</v>
      </c>
      <c r="J225" t="str">
        <f>"Курск, Карла Маркса, 66"</f>
        <v>Курск, Карла Маркса, 66</v>
      </c>
      <c r="K225" t="str">
        <f>"ДШ-1"</f>
        <v>ДШ-1</v>
      </c>
      <c r="L225" t="str">
        <f>"21-OCT-15"</f>
        <v>21-OCT-15</v>
      </c>
      <c r="M225">
        <v>171949</v>
      </c>
      <c r="N225" t="str">
        <f>""</f>
        <v/>
      </c>
      <c r="O225" t="str">
        <f>"HSH-171949"</f>
        <v>HSH-171949</v>
      </c>
      <c r="P225" t="str">
        <f t="shared" si="51"/>
        <v>Нет</v>
      </c>
      <c r="Q225" t="str">
        <f>"КСК00000000000000178"</f>
        <v>КСК00000000000000178</v>
      </c>
      <c r="R225" t="str">
        <f>""</f>
        <v/>
      </c>
      <c r="S225" t="str">
        <f t="shared" si="52"/>
        <v>Основной</v>
      </c>
      <c r="T225" t="str">
        <f t="shared" si="53"/>
        <v>ГУТС</v>
      </c>
      <c r="U225" t="str">
        <f>""</f>
        <v/>
      </c>
      <c r="V225" t="str">
        <f t="shared" si="54"/>
        <v>Нет</v>
      </c>
      <c r="W225">
        <v>51.757424579999999</v>
      </c>
      <c r="X225">
        <v>36.183153169999997</v>
      </c>
      <c r="Y225" t="str">
        <f>"20000004567863"</f>
        <v>20000004567863</v>
      </c>
    </row>
    <row r="226" spans="1:25" x14ac:dyDescent="0.25">
      <c r="A226">
        <v>907</v>
      </c>
      <c r="B226" t="str">
        <f t="shared" si="50"/>
        <v>Курск</v>
      </c>
      <c r="C226">
        <v>506066</v>
      </c>
      <c r="D226" t="str">
        <f>"ОК 1.1.1-50 ППК 1.1.1 Курск, Гайдара, 10  п. 1"</f>
        <v>ОК 1.1.1-50 ППК 1.1.1 Курск, Гайдара, 10  п. 1</v>
      </c>
      <c r="E226" t="str">
        <f t="shared" si="57"/>
        <v>КРС-8/16-SC</v>
      </c>
      <c r="F226" t="str">
        <f>"11.11.2015"</f>
        <v>11.11.2015</v>
      </c>
      <c r="G226" t="str">
        <f>""</f>
        <v/>
      </c>
      <c r="H226" t="str">
        <f>"ОК 1.1.1-50 ППК 1.1.1"</f>
        <v>ОК 1.1.1-50 ППК 1.1.1</v>
      </c>
      <c r="I226" t="str">
        <f>"ДШ (под. 1, ОУ№ 1.1.1-48)"</f>
        <v>ДШ (под. 1, ОУ№ 1.1.1-48)</v>
      </c>
      <c r="J226" t="str">
        <f>"Курск, Гайдара, 10"</f>
        <v>Курск, Гайдара, 10</v>
      </c>
      <c r="K226" t="str">
        <f>"ДШ-1"</f>
        <v>ДШ-1</v>
      </c>
      <c r="L226" t="str">
        <f>"22-OCT-15"</f>
        <v>22-OCT-15</v>
      </c>
      <c r="M226">
        <v>172114</v>
      </c>
      <c r="N226" t="str">
        <f>""</f>
        <v/>
      </c>
      <c r="O226" t="str">
        <f>"HSH-172114"</f>
        <v>HSH-172114</v>
      </c>
      <c r="P226" t="str">
        <f t="shared" si="51"/>
        <v>Нет</v>
      </c>
      <c r="Q226" t="str">
        <f>"КСК00000000000000027"</f>
        <v>КСК00000000000000027</v>
      </c>
      <c r="R226" t="str">
        <f>""</f>
        <v/>
      </c>
      <c r="S226" t="str">
        <f t="shared" si="52"/>
        <v>Основной</v>
      </c>
      <c r="T226" t="str">
        <f t="shared" si="53"/>
        <v>ГУТС</v>
      </c>
      <c r="U226" t="str">
        <f>""</f>
        <v/>
      </c>
      <c r="V226" t="str">
        <f t="shared" si="54"/>
        <v>Нет</v>
      </c>
      <c r="W226">
        <v>51.724957809999999</v>
      </c>
      <c r="X226">
        <v>36.183767060000001</v>
      </c>
      <c r="Y226" t="str">
        <f>"20000004567880"</f>
        <v>20000004567880</v>
      </c>
    </row>
    <row r="227" spans="1:25" x14ac:dyDescent="0.25">
      <c r="A227">
        <v>907</v>
      </c>
      <c r="B227" t="str">
        <f t="shared" si="50"/>
        <v>Курск</v>
      </c>
      <c r="C227">
        <v>506094</v>
      </c>
      <c r="D227" t="str">
        <f>"ТОК 1.7 Курск, Добролюбова, 22 а п. "</f>
        <v xml:space="preserve">ТОК 1.7 Курск, Добролюбова, 22 а п. </v>
      </c>
      <c r="E227" t="str">
        <f t="shared" si="57"/>
        <v>КРС-8/16-SC</v>
      </c>
      <c r="F227" t="str">
        <f>"11.11.2015"</f>
        <v>11.11.2015</v>
      </c>
      <c r="G227" t="str">
        <f>""</f>
        <v/>
      </c>
      <c r="H227" t="str">
        <f>"ТОК 1.7"</f>
        <v>ТОК 1.7</v>
      </c>
      <c r="I227" t="str">
        <f>"Стойка 06"</f>
        <v>Стойка 06</v>
      </c>
      <c r="J227" t="str">
        <f>"Курск, Добролюбова, 22 а"</f>
        <v>Курск, Добролюбова, 22 а</v>
      </c>
      <c r="K227" t="str">
        <f>"Серверная"</f>
        <v>Серверная</v>
      </c>
      <c r="L227" t="str">
        <f>"29-OCT-15"</f>
        <v>29-OCT-15</v>
      </c>
      <c r="N227" t="str">
        <f>""</f>
        <v/>
      </c>
      <c r="O227" t="str">
        <f>"EmptySerial&lt;59565&gt;"</f>
        <v>EmptySerial&lt;59565&gt;</v>
      </c>
      <c r="P227" t="str">
        <f t="shared" si="51"/>
        <v>Нет</v>
      </c>
      <c r="Q227" t="str">
        <f>""</f>
        <v/>
      </c>
      <c r="R227" t="str">
        <f>""</f>
        <v/>
      </c>
      <c r="S227" t="str">
        <f t="shared" si="52"/>
        <v>Основной</v>
      </c>
      <c r="T227" t="str">
        <f t="shared" si="53"/>
        <v>ГУТС</v>
      </c>
      <c r="U227" t="str">
        <f>""</f>
        <v/>
      </c>
      <c r="V227" t="str">
        <f t="shared" si="54"/>
        <v>Нет</v>
      </c>
      <c r="W227">
        <v>51.723377739999997</v>
      </c>
      <c r="X227">
        <v>36.188277530000001</v>
      </c>
      <c r="Y227" t="str">
        <f>"20000004567881"</f>
        <v>20000004567881</v>
      </c>
    </row>
    <row r="228" spans="1:25" x14ac:dyDescent="0.25">
      <c r="A228">
        <v>907</v>
      </c>
      <c r="B228" t="str">
        <f t="shared" si="50"/>
        <v>Курск</v>
      </c>
      <c r="C228">
        <v>506107</v>
      </c>
      <c r="D228" t="str">
        <f>"ОК 1.1.1-51 ППК 1.1.1 ДЕЛЬТА Курск, Добролюбова, 22 а п. 1"</f>
        <v>ОК 1.1.1-51 ППК 1.1.1 ДЕЛЬТА Курск, Добролюбова, 22 а п. 1</v>
      </c>
      <c r="E228" t="str">
        <f t="shared" si="57"/>
        <v>КРС-8/16-SC</v>
      </c>
      <c r="F228" t="str">
        <f>"11.11.2015"</f>
        <v>11.11.2015</v>
      </c>
      <c r="G228" t="str">
        <f>""</f>
        <v/>
      </c>
      <c r="H228" t="str">
        <f>"ОК 1.1.1-51 ППК 1.1.1 ДЕЛЬТА"</f>
        <v>ОК 1.1.1-51 ППК 1.1.1 ДЕЛЬТА</v>
      </c>
      <c r="I228" t="str">
        <f>"ДШ (под. 1, ОУ№ 1.1.1-49)"</f>
        <v>ДШ (под. 1, ОУ№ 1.1.1-49)</v>
      </c>
      <c r="J228" t="str">
        <f>"Курск, Добролюбова, 22 а"</f>
        <v>Курск, Добролюбова, 22 а</v>
      </c>
      <c r="K228" t="str">
        <f>"Серверная"</f>
        <v>Серверная</v>
      </c>
      <c r="L228" t="str">
        <f>"29-OCT-15"</f>
        <v>29-OCT-15</v>
      </c>
      <c r="M228">
        <v>172115</v>
      </c>
      <c r="N228" t="str">
        <f>""</f>
        <v/>
      </c>
      <c r="O228" t="str">
        <f>"HSH-172115"</f>
        <v>HSH-172115</v>
      </c>
      <c r="P228" t="str">
        <f t="shared" si="51"/>
        <v>Нет</v>
      </c>
      <c r="Q228" t="str">
        <f>"КСК00000000000000027"</f>
        <v>КСК00000000000000027</v>
      </c>
      <c r="R228" t="str">
        <f>""</f>
        <v/>
      </c>
      <c r="S228" t="str">
        <f t="shared" si="52"/>
        <v>Основной</v>
      </c>
      <c r="T228" t="str">
        <f t="shared" si="53"/>
        <v>ГУТС</v>
      </c>
      <c r="U228" t="str">
        <f>""</f>
        <v/>
      </c>
      <c r="V228" t="str">
        <f t="shared" si="54"/>
        <v>Нет</v>
      </c>
      <c r="W228">
        <v>51.723332259999999</v>
      </c>
      <c r="X228">
        <v>36.188374420000002</v>
      </c>
      <c r="Y228" t="str">
        <f>"20000004567882"</f>
        <v>20000004567882</v>
      </c>
    </row>
    <row r="229" spans="1:25" x14ac:dyDescent="0.25">
      <c r="A229">
        <v>907</v>
      </c>
      <c r="B229" t="str">
        <f t="shared" si="50"/>
        <v>Курск</v>
      </c>
      <c r="C229">
        <v>506120</v>
      </c>
      <c r="D229" t="str">
        <f>"ОК 1.1.1-52 ППК 1.1.1 ЦОКОЛЬ Курск, Добролюбова, 22 а п. 1"</f>
        <v>ОК 1.1.1-52 ППК 1.1.1 ЦОКОЛЬ Курск, Добролюбова, 22 а п. 1</v>
      </c>
      <c r="E229" t="str">
        <f t="shared" si="57"/>
        <v>КРС-8/16-SC</v>
      </c>
      <c r="F229" t="str">
        <f>"11.11.2015"</f>
        <v>11.11.2015</v>
      </c>
      <c r="G229" t="str">
        <f>""</f>
        <v/>
      </c>
      <c r="H229" t="str">
        <f>"ОК 1.1.1-52 ППК 1.1.1 ЦОКОЛЬ"</f>
        <v>ОК 1.1.1-52 ППК 1.1.1 ЦОКОЛЬ</v>
      </c>
      <c r="I229" t="str">
        <f>"ДШ (под. 1, ОУ№ 1.1.1-49)"</f>
        <v>ДШ (под. 1, ОУ№ 1.1.1-49)</v>
      </c>
      <c r="J229" t="str">
        <f>"Курск, Добролюбова, 22 а"</f>
        <v>Курск, Добролюбова, 22 а</v>
      </c>
      <c r="K229" t="str">
        <f>"ДШ-1"</f>
        <v>ДШ-1</v>
      </c>
      <c r="L229" t="str">
        <f>"22-OCT-15"</f>
        <v>22-OCT-15</v>
      </c>
      <c r="M229">
        <v>172116</v>
      </c>
      <c r="N229" t="str">
        <f>""</f>
        <v/>
      </c>
      <c r="O229" t="str">
        <f>"HSH-172116"</f>
        <v>HSH-172116</v>
      </c>
      <c r="P229" t="str">
        <f t="shared" si="51"/>
        <v>Нет</v>
      </c>
      <c r="Q229" t="str">
        <f>"КСК00000000000000027"</f>
        <v>КСК00000000000000027</v>
      </c>
      <c r="R229" t="str">
        <f>""</f>
        <v/>
      </c>
      <c r="S229" t="str">
        <f t="shared" si="52"/>
        <v>Основной</v>
      </c>
      <c r="T229" t="str">
        <f t="shared" si="53"/>
        <v>ГУТС</v>
      </c>
      <c r="U229" t="str">
        <f>""</f>
        <v/>
      </c>
      <c r="V229" t="str">
        <f t="shared" si="54"/>
        <v>Нет</v>
      </c>
      <c r="W229">
        <v>51.72328864</v>
      </c>
      <c r="X229">
        <v>36.188417000000001</v>
      </c>
      <c r="Y229" t="str">
        <f>"20000004567883"</f>
        <v>20000004567883</v>
      </c>
    </row>
    <row r="230" spans="1:25" x14ac:dyDescent="0.25">
      <c r="A230">
        <v>907</v>
      </c>
      <c r="B230" t="str">
        <f t="shared" si="50"/>
        <v>Курск</v>
      </c>
      <c r="C230">
        <v>506466</v>
      </c>
      <c r="D230" t="str">
        <f>"ОК 3.4.8-5 ППК 3.4.8 Курск, Ленина, 60  п. 1"</f>
        <v>ОК 3.4.8-5 ППК 3.4.8 Курск, Ленина, 60  п. 1</v>
      </c>
      <c r="E230" t="str">
        <f t="shared" si="57"/>
        <v>КРС-8/16-SC</v>
      </c>
      <c r="F230" t="str">
        <f>"16.11.2015"</f>
        <v>16.11.2015</v>
      </c>
      <c r="G230" t="str">
        <f>""</f>
        <v/>
      </c>
      <c r="H230" t="str">
        <f>"ОК 3.4.8-5 ППК 3.4.8"</f>
        <v>ОК 3.4.8-5 ППК 3.4.8</v>
      </c>
      <c r="I230" t="str">
        <f>"ДШ (под. 1, ОУ№ 3.4.8-5)"</f>
        <v>ДШ (под. 1, ОУ№ 3.4.8-5)</v>
      </c>
      <c r="J230" t="str">
        <f>"Курск, Ленина, 60"</f>
        <v>Курск, Ленина, 60</v>
      </c>
      <c r="K230" t="str">
        <f>"Офис"</f>
        <v>Офис</v>
      </c>
      <c r="L230" t="str">
        <f>"16-NOV-15"</f>
        <v>16-NOV-15</v>
      </c>
      <c r="M230">
        <v>172168</v>
      </c>
      <c r="N230" t="str">
        <f>""</f>
        <v/>
      </c>
      <c r="O230" t="str">
        <f>"HSH-172168"</f>
        <v>HSH-172168</v>
      </c>
      <c r="P230" t="str">
        <f t="shared" si="51"/>
        <v>Нет</v>
      </c>
      <c r="Q230" t="str">
        <f>"КСК00000000000000192"</f>
        <v>КСК00000000000000192</v>
      </c>
      <c r="R230" t="str">
        <f>""</f>
        <v/>
      </c>
      <c r="S230" t="str">
        <f t="shared" si="52"/>
        <v>Основной</v>
      </c>
      <c r="T230" t="str">
        <f t="shared" si="53"/>
        <v>ГУТС</v>
      </c>
      <c r="U230" t="str">
        <f>""</f>
        <v/>
      </c>
      <c r="V230" t="str">
        <f t="shared" si="54"/>
        <v>Нет</v>
      </c>
      <c r="W230">
        <v>51.741504800000001</v>
      </c>
      <c r="X230">
        <v>36.193115560000003</v>
      </c>
      <c r="Y230" t="str">
        <f>"20000004567891"</f>
        <v>20000004567891</v>
      </c>
    </row>
    <row r="231" spans="1:25" x14ac:dyDescent="0.25">
      <c r="A231">
        <v>907</v>
      </c>
      <c r="B231" t="str">
        <f t="shared" si="50"/>
        <v>Курск</v>
      </c>
      <c r="C231">
        <v>506479</v>
      </c>
      <c r="D231" t="str">
        <f>"ОК3.4.8-3.1 ППК3.4.8 Курск, Ленина, 60  п. 1"</f>
        <v>ОК3.4.8-3.1 ППК3.4.8 Курск, Ленина, 60  п. 1</v>
      </c>
      <c r="E231" t="str">
        <f t="shared" si="57"/>
        <v>КРС-8/16-SC</v>
      </c>
      <c r="F231" t="str">
        <f>"16.11.2015"</f>
        <v>16.11.2015</v>
      </c>
      <c r="G231" t="str">
        <f>""</f>
        <v/>
      </c>
      <c r="H231" t="str">
        <f>"ОК3.4.8-3.1 ППК3.4.8"</f>
        <v>ОК3.4.8-3.1 ППК3.4.8</v>
      </c>
      <c r="I231" t="str">
        <f>"ДШ (под. 1, ОУ№ 3.4.8-3)"</f>
        <v>ДШ (под. 1, ОУ№ 3.4.8-3)</v>
      </c>
      <c r="J231" t="str">
        <f>"Курск, Ленина, 60"</f>
        <v>Курск, Ленина, 60</v>
      </c>
      <c r="K231" t="str">
        <f>"ДШ-1"</f>
        <v>ДШ-1</v>
      </c>
      <c r="L231" t="str">
        <f>"16-NOV-15"</f>
        <v>16-NOV-15</v>
      </c>
      <c r="M231">
        <v>172169</v>
      </c>
      <c r="N231" t="str">
        <f>""</f>
        <v/>
      </c>
      <c r="O231" t="str">
        <f>"HSH-172169"</f>
        <v>HSH-172169</v>
      </c>
      <c r="P231" t="str">
        <f t="shared" si="51"/>
        <v>Нет</v>
      </c>
      <c r="Q231" t="str">
        <f>"КСК00000000000000192"</f>
        <v>КСК00000000000000192</v>
      </c>
      <c r="R231" t="str">
        <f>""</f>
        <v/>
      </c>
      <c r="S231" t="str">
        <f t="shared" si="52"/>
        <v>Основной</v>
      </c>
      <c r="T231" t="str">
        <f t="shared" si="53"/>
        <v>ГУТС</v>
      </c>
      <c r="U231" t="str">
        <f>""</f>
        <v/>
      </c>
      <c r="V231" t="str">
        <f t="shared" si="54"/>
        <v>Нет</v>
      </c>
      <c r="W231">
        <v>51.741336429999997</v>
      </c>
      <c r="X231">
        <v>36.192564369999999</v>
      </c>
      <c r="Y231" t="str">
        <f>"20000004567892"</f>
        <v>20000004567892</v>
      </c>
    </row>
    <row r="232" spans="1:25" x14ac:dyDescent="0.25">
      <c r="A232">
        <v>907</v>
      </c>
      <c r="B232" t="str">
        <f t="shared" si="50"/>
        <v>Курск</v>
      </c>
      <c r="C232">
        <v>506666</v>
      </c>
      <c r="D232" t="str">
        <f>"ОК 1.1.1 - 53 Курск, Дзержинского, 19  п. 1"</f>
        <v>ОК 1.1.1 - 53 Курск, Дзержинского, 19  п. 1</v>
      </c>
      <c r="E232" t="str">
        <f t="shared" si="57"/>
        <v>КРС-8/16-SC</v>
      </c>
      <c r="F232" t="str">
        <f>"08.12.2015"</f>
        <v>08.12.2015</v>
      </c>
      <c r="G232" t="str">
        <f>""</f>
        <v/>
      </c>
      <c r="H232" t="str">
        <f>"ОК 1.1.1 - 53"</f>
        <v>ОК 1.1.1 - 53</v>
      </c>
      <c r="I232" t="str">
        <f>"ДШ (под. 1, ОУ№ 1.1.1-50)"</f>
        <v>ДШ (под. 1, ОУ№ 1.1.1-50)</v>
      </c>
      <c r="J232" t="str">
        <f>"Курск, Дзержинского, 19"</f>
        <v>Курск, Дзержинского, 19</v>
      </c>
      <c r="K232" t="str">
        <f>"Офис"</f>
        <v>Офис</v>
      </c>
      <c r="L232" t="str">
        <f>"26-NOV-15"</f>
        <v>26-NOV-15</v>
      </c>
      <c r="M232">
        <v>172914</v>
      </c>
      <c r="N232" t="str">
        <f>""</f>
        <v/>
      </c>
      <c r="O232" t="str">
        <f>"HSH-172914"</f>
        <v>HSH-172914</v>
      </c>
      <c r="P232" t="str">
        <f t="shared" si="51"/>
        <v>Нет</v>
      </c>
      <c r="Q232" t="str">
        <f>"КСК00000000000000027"</f>
        <v>КСК00000000000000027</v>
      </c>
      <c r="R232" t="str">
        <f>""</f>
        <v/>
      </c>
      <c r="S232" t="str">
        <f t="shared" si="52"/>
        <v>Основной</v>
      </c>
      <c r="T232" t="str">
        <f t="shared" si="53"/>
        <v>ГУТС</v>
      </c>
      <c r="U232" t="str">
        <f>""</f>
        <v/>
      </c>
      <c r="V232" t="str">
        <f t="shared" si="54"/>
        <v>Нет</v>
      </c>
      <c r="W232">
        <v>51.728143549999999</v>
      </c>
      <c r="X232">
        <v>36.187359710000003</v>
      </c>
      <c r="Y232" t="str">
        <f>"20000004567969"</f>
        <v>20000004567969</v>
      </c>
    </row>
    <row r="233" spans="1:25" x14ac:dyDescent="0.25">
      <c r="A233">
        <v>907</v>
      </c>
      <c r="B233" t="str">
        <f t="shared" si="50"/>
        <v>Курск</v>
      </c>
      <c r="C233">
        <v>506951</v>
      </c>
      <c r="D233" t="str">
        <f>"ОК3.1.1-11 ППК3.1.1 Курск, Павлова, 6  п. 1"</f>
        <v>ОК3.1.1-11 ППК3.1.1 Курск, Павлова, 6  п. 1</v>
      </c>
      <c r="E233" t="str">
        <f t="shared" si="57"/>
        <v>КРС-8/16-SC</v>
      </c>
      <c r="F233" t="str">
        <f>"09.12.2015"</f>
        <v>09.12.2015</v>
      </c>
      <c r="G233" t="str">
        <f>""</f>
        <v/>
      </c>
      <c r="H233" t="str">
        <f>"ОК3.1.1-11 ППК3.1.1"</f>
        <v>ОК3.1.1-11 ППК3.1.1</v>
      </c>
      <c r="I233" t="str">
        <f>"ДШ (под. 1, ОУ№ 3.1.1-10)"</f>
        <v>ДШ (под. 1, ОУ№ 3.1.1-10)</v>
      </c>
      <c r="J233" t="str">
        <f>"Курск, Павлова, 6"</f>
        <v>Курск, Павлова, 6</v>
      </c>
      <c r="K233" t="str">
        <f>"Офис"</f>
        <v>Офис</v>
      </c>
      <c r="L233" t="str">
        <f>"19-NOV-15"</f>
        <v>19-NOV-15</v>
      </c>
      <c r="M233">
        <v>172973</v>
      </c>
      <c r="N233" t="str">
        <f>""</f>
        <v/>
      </c>
      <c r="O233" t="str">
        <f>"HSH-172973"</f>
        <v>HSH-172973</v>
      </c>
      <c r="P233" t="str">
        <f t="shared" si="51"/>
        <v>Нет</v>
      </c>
      <c r="Q233" t="str">
        <f>"КСК00000000000000178"</f>
        <v>КСК00000000000000178</v>
      </c>
      <c r="R233" t="str">
        <f>""</f>
        <v/>
      </c>
      <c r="S233" t="str">
        <f t="shared" si="52"/>
        <v>Основной</v>
      </c>
      <c r="T233" t="str">
        <f t="shared" si="53"/>
        <v>ГУТС</v>
      </c>
      <c r="U233" t="str">
        <f>""</f>
        <v/>
      </c>
      <c r="V233" t="str">
        <f t="shared" si="54"/>
        <v>Нет</v>
      </c>
      <c r="W233">
        <v>51.747642679999998</v>
      </c>
      <c r="X233">
        <v>36.190878939999997</v>
      </c>
      <c r="Y233" t="str">
        <f>"20000004567976"</f>
        <v>20000004567976</v>
      </c>
    </row>
    <row r="234" spans="1:25" x14ac:dyDescent="0.25">
      <c r="A234">
        <v>907</v>
      </c>
      <c r="B234" t="str">
        <f t="shared" si="50"/>
        <v>Курск</v>
      </c>
      <c r="C234">
        <v>507066</v>
      </c>
      <c r="D234" t="str">
        <f>"ГОК3.5.4.2 Курск, Интернациональная, 45  п. 2"</f>
        <v>ГОК3.5.4.2 Курск, Интернациональная, 45  п. 2</v>
      </c>
      <c r="E234" t="str">
        <f t="shared" si="57"/>
        <v>КРС-8/16-SC</v>
      </c>
      <c r="F234" t="str">
        <f>"17.12.2015"</f>
        <v>17.12.2015</v>
      </c>
      <c r="G234" t="str">
        <f>""</f>
        <v/>
      </c>
      <c r="H234" t="str">
        <f>"ГОК3.5.4.2"</f>
        <v>ГОК3.5.4.2</v>
      </c>
      <c r="I234" t="str">
        <f>"ДШ (под. 2, ОУ№ 1)"</f>
        <v>ДШ (под. 2, ОУ№ 1)</v>
      </c>
      <c r="J234" t="str">
        <f>"Курск, Интернациональная, 45"</f>
        <v>Курск, Интернациональная, 45</v>
      </c>
      <c r="K234" t="str">
        <f>"ДШ-1"</f>
        <v>ДШ-1</v>
      </c>
      <c r="L234" t="str">
        <f>"27-DEC-13"</f>
        <v>27-DEC-13</v>
      </c>
      <c r="M234">
        <v>173214</v>
      </c>
      <c r="N234" t="str">
        <f>""</f>
        <v/>
      </c>
      <c r="O234" t="str">
        <f>"HSH-173214"</f>
        <v>HSH-173214</v>
      </c>
      <c r="P234" t="str">
        <f t="shared" si="51"/>
        <v>Нет</v>
      </c>
      <c r="Q234" t="str">
        <f>"КСК00000000000000362"</f>
        <v>КСК00000000000000362</v>
      </c>
      <c r="R234" t="str">
        <f>""</f>
        <v/>
      </c>
      <c r="S234" t="str">
        <f t="shared" si="52"/>
        <v>Основной</v>
      </c>
      <c r="T234" t="str">
        <f t="shared" si="53"/>
        <v>ГУТС</v>
      </c>
      <c r="U234" t="str">
        <f>""</f>
        <v/>
      </c>
      <c r="V234" t="str">
        <f t="shared" si="54"/>
        <v>Нет</v>
      </c>
      <c r="W234">
        <v>51.75167948</v>
      </c>
      <c r="X234">
        <v>36.219876970000001</v>
      </c>
      <c r="Y234" t="str">
        <f>"20000004567988"</f>
        <v>20000004567988</v>
      </c>
    </row>
    <row r="235" spans="1:25" x14ac:dyDescent="0.25">
      <c r="A235">
        <v>907</v>
      </c>
      <c r="B235" t="str">
        <f t="shared" si="50"/>
        <v>Курск</v>
      </c>
      <c r="C235">
        <v>507466</v>
      </c>
      <c r="D235" t="str">
        <f>"ОК1.1.1-54 ППК1.1.1 Курск, Красной Армии, 23 а п. 1"</f>
        <v>ОК1.1.1-54 ППК1.1.1 Курск, Красной Армии, 23 а п. 1</v>
      </c>
      <c r="E235" t="str">
        <f t="shared" si="57"/>
        <v>КРС-8/16-SC</v>
      </c>
      <c r="F235" t="str">
        <f>"24.12.2015"</f>
        <v>24.12.2015</v>
      </c>
      <c r="G235" t="str">
        <f>""</f>
        <v/>
      </c>
      <c r="H235" t="str">
        <f>"ОК1.1.1-54 ППК1.1.1"</f>
        <v>ОК1.1.1-54 ППК1.1.1</v>
      </c>
      <c r="I235" t="str">
        <f>"ДШ (под. 1, ОУ№ 1.1.1-53)"</f>
        <v>ДШ (под. 1, ОУ№ 1.1.1-53)</v>
      </c>
      <c r="J235" t="str">
        <f>"Курск, Красной Армии, 23 а"</f>
        <v>Курск, Красной Армии, 23 а</v>
      </c>
      <c r="K235" t="str">
        <f>"Офис"</f>
        <v>Офис</v>
      </c>
      <c r="L235" t="str">
        <f>"22-DEC-15"</f>
        <v>22-DEC-15</v>
      </c>
      <c r="M235">
        <v>173664</v>
      </c>
      <c r="N235" t="str">
        <f>""</f>
        <v/>
      </c>
      <c r="O235" t="str">
        <f>"HSH-173664"</f>
        <v>HSH-173664</v>
      </c>
      <c r="P235" t="str">
        <f t="shared" si="51"/>
        <v>Нет</v>
      </c>
      <c r="Q235" t="str">
        <f>"КСК00000000000000027"</f>
        <v>КСК00000000000000027</v>
      </c>
      <c r="R235" t="str">
        <f>""</f>
        <v/>
      </c>
      <c r="S235" t="str">
        <f t="shared" si="52"/>
        <v>Основной</v>
      </c>
      <c r="T235" t="str">
        <f t="shared" si="53"/>
        <v>ГУТС</v>
      </c>
      <c r="U235" t="str">
        <f>""</f>
        <v/>
      </c>
      <c r="V235" t="str">
        <f t="shared" si="54"/>
        <v>Нет</v>
      </c>
      <c r="W235">
        <v>51.723478470000003</v>
      </c>
      <c r="X235">
        <v>36.182445729999998</v>
      </c>
      <c r="Y235" t="str">
        <f>"20000004568001"</f>
        <v>20000004568001</v>
      </c>
    </row>
    <row r="236" spans="1:25" x14ac:dyDescent="0.25">
      <c r="A236">
        <v>907</v>
      </c>
      <c r="B236" t="str">
        <f t="shared" si="50"/>
        <v>Курск</v>
      </c>
      <c r="C236">
        <v>507667</v>
      </c>
      <c r="D236" t="str">
        <f>"ОК 1.1.1-55 ППК1.1.1 Курск, Добролюбова, 17  п. 1"</f>
        <v>ОК 1.1.1-55 ППК1.1.1 Курск, Добролюбова, 17  п. 1</v>
      </c>
      <c r="E236" t="str">
        <f t="shared" si="57"/>
        <v>КРС-8/16-SC</v>
      </c>
      <c r="F236" t="str">
        <f>"29.12.2015"</f>
        <v>29.12.2015</v>
      </c>
      <c r="G236" t="str">
        <f>""</f>
        <v/>
      </c>
      <c r="H236" t="str">
        <f>"ОК 1.1.1-55 ППК1.1.1"</f>
        <v>ОК 1.1.1-55 ППК1.1.1</v>
      </c>
      <c r="I236" t="str">
        <f>"ДШ (под. 1, ОУ№ 1.1.1-52)"</f>
        <v>ДШ (под. 1, ОУ№ 1.1.1-52)</v>
      </c>
      <c r="J236" t="str">
        <f>"Курск, Добролюбова, 17"</f>
        <v>Курск, Добролюбова, 17</v>
      </c>
      <c r="K236" t="str">
        <f>"ДШ-1"</f>
        <v>ДШ-1</v>
      </c>
      <c r="L236" t="str">
        <f>"29-DEC-15"</f>
        <v>29-DEC-15</v>
      </c>
      <c r="M236">
        <v>173816</v>
      </c>
      <c r="N236" t="str">
        <f>""</f>
        <v/>
      </c>
      <c r="O236" t="str">
        <f>"HSH-173816"</f>
        <v>HSH-173816</v>
      </c>
      <c r="P236" t="str">
        <f t="shared" si="51"/>
        <v>Нет</v>
      </c>
      <c r="Q236" t="str">
        <f>"КСК00000000000000027"</f>
        <v>КСК00000000000000027</v>
      </c>
      <c r="R236" t="str">
        <f>""</f>
        <v/>
      </c>
      <c r="S236" t="str">
        <f t="shared" si="52"/>
        <v>Основной</v>
      </c>
      <c r="T236" t="str">
        <f t="shared" si="53"/>
        <v>ГУТС</v>
      </c>
      <c r="U236" t="str">
        <f>""</f>
        <v/>
      </c>
      <c r="V236" t="str">
        <f t="shared" si="54"/>
        <v>Нет</v>
      </c>
      <c r="W236">
        <v>51.72385044</v>
      </c>
      <c r="X236">
        <v>36.187041360000002</v>
      </c>
      <c r="Y236" t="str">
        <f>"20000004568024"</f>
        <v>20000004568024</v>
      </c>
    </row>
    <row r="237" spans="1:25" x14ac:dyDescent="0.25">
      <c r="A237">
        <v>907</v>
      </c>
      <c r="B237" t="str">
        <f t="shared" si="50"/>
        <v>Курск</v>
      </c>
      <c r="C237">
        <v>507886</v>
      </c>
      <c r="D237" t="str">
        <f>"ОК 2.1.1-3 ППК 2.1.1 Курск, 50 Лет Октября, 173  п. 1"</f>
        <v>ОК 2.1.1-3 ППК 2.1.1 Курск, 50 Лет Октября, 173  п. 1</v>
      </c>
      <c r="E237" t="str">
        <f t="shared" si="57"/>
        <v>КРС-8/16-SC</v>
      </c>
      <c r="F237" t="str">
        <f>"25.01.2016"</f>
        <v>25.01.2016</v>
      </c>
      <c r="G237" t="str">
        <f>""</f>
        <v/>
      </c>
      <c r="H237" t="str">
        <f>"ОК 2.1.1-3 ППК 2.1.1"</f>
        <v>ОК 2.1.1-3 ППК 2.1.1</v>
      </c>
      <c r="I237" t="str">
        <f>"ДШ (под. 1, ОУ№ 2.1.1-3)"</f>
        <v>ДШ (под. 1, ОУ№ 2.1.1-3)</v>
      </c>
      <c r="J237" t="str">
        <f>"Курск, 50 Лет Октября, 173"</f>
        <v>Курск, 50 Лет Октября, 173</v>
      </c>
      <c r="K237" t="str">
        <f>"ДШ-1"</f>
        <v>ДШ-1</v>
      </c>
      <c r="L237" t="str">
        <f>"21-DEC-15"</f>
        <v>21-DEC-15</v>
      </c>
      <c r="M237">
        <v>174565</v>
      </c>
      <c r="N237" t="str">
        <f>""</f>
        <v/>
      </c>
      <c r="O237" t="str">
        <f>"HSH-174565"</f>
        <v>HSH-174565</v>
      </c>
      <c r="P237" t="str">
        <f t="shared" si="51"/>
        <v>Нет</v>
      </c>
      <c r="Q237" t="str">
        <f>"КСК00000000000000112"</f>
        <v>КСК00000000000000112</v>
      </c>
      <c r="R237" t="str">
        <f>""</f>
        <v/>
      </c>
      <c r="S237" t="str">
        <f t="shared" si="52"/>
        <v>Основной</v>
      </c>
      <c r="T237" t="str">
        <f t="shared" si="53"/>
        <v>ГУТС</v>
      </c>
      <c r="U237" t="str">
        <f>""</f>
        <v/>
      </c>
      <c r="V237" t="str">
        <f t="shared" si="54"/>
        <v>Нет</v>
      </c>
      <c r="W237">
        <v>51.759425980000003</v>
      </c>
      <c r="X237">
        <v>36.134680959999997</v>
      </c>
      <c r="Y237" t="str">
        <f>"20000004568038"</f>
        <v>20000004568038</v>
      </c>
    </row>
    <row r="238" spans="1:25" x14ac:dyDescent="0.25">
      <c r="A238">
        <v>907</v>
      </c>
      <c r="B238" t="str">
        <f t="shared" si="50"/>
        <v>Курск</v>
      </c>
      <c r="C238">
        <v>507899</v>
      </c>
      <c r="D238" t="str">
        <f>"ОК 3.1.1-12 ППК 3.1.1 Курск, Димитрова, 105  п. 1"</f>
        <v>ОК 3.1.1-12 ППК 3.1.1 Курск, Димитрова, 105  п. 1</v>
      </c>
      <c r="E238" t="str">
        <f t="shared" si="57"/>
        <v>КРС-8/16-SC</v>
      </c>
      <c r="F238" t="str">
        <f>"25.01.2016"</f>
        <v>25.01.2016</v>
      </c>
      <c r="G238" t="str">
        <f>""</f>
        <v/>
      </c>
      <c r="H238" t="str">
        <f>"ОК 3.1.1-12 ППК 3.1.1"</f>
        <v>ОК 3.1.1-12 ППК 3.1.1</v>
      </c>
      <c r="I238" t="str">
        <f>"ДШ (под. 1, ОУ№ 3.1.1-14)"</f>
        <v>ДШ (под. 1, ОУ№ 3.1.1-14)</v>
      </c>
      <c r="J238" t="str">
        <f>"Курск, Димитрова, 105"</f>
        <v>Курск, Димитрова, 105</v>
      </c>
      <c r="K238" t="str">
        <f>"Офис"</f>
        <v>Офис</v>
      </c>
      <c r="L238" t="str">
        <f>"31-DEC-15"</f>
        <v>31-DEC-15</v>
      </c>
      <c r="M238">
        <v>174566</v>
      </c>
      <c r="N238" t="str">
        <f>""</f>
        <v/>
      </c>
      <c r="O238" t="str">
        <f>"HSH-174566"</f>
        <v>HSH-174566</v>
      </c>
      <c r="P238" t="str">
        <f t="shared" si="51"/>
        <v>Нет</v>
      </c>
      <c r="Q238" t="str">
        <f>"КСК00000000000000178"</f>
        <v>КСК00000000000000178</v>
      </c>
      <c r="R238" t="str">
        <f>""</f>
        <v/>
      </c>
      <c r="S238" t="str">
        <f t="shared" si="52"/>
        <v>Основной</v>
      </c>
      <c r="T238" t="str">
        <f t="shared" si="53"/>
        <v>ГУТС</v>
      </c>
      <c r="U238" t="str">
        <f>""</f>
        <v/>
      </c>
      <c r="V238" t="str">
        <f t="shared" si="54"/>
        <v>Нет</v>
      </c>
      <c r="W238">
        <v>51.750259130000003</v>
      </c>
      <c r="X238">
        <v>36.187648719999999</v>
      </c>
      <c r="Y238" t="str">
        <f>"20000004568039"</f>
        <v>20000004568039</v>
      </c>
    </row>
    <row r="239" spans="1:25" x14ac:dyDescent="0.25">
      <c r="A239">
        <v>907</v>
      </c>
      <c r="B239" t="str">
        <f t="shared" si="50"/>
        <v>Курск</v>
      </c>
      <c r="C239">
        <v>507930</v>
      </c>
      <c r="D239" t="str">
        <f>"ОК 3.1.1-13 ППК 3.1.1 Курск, Карла Маркса, 5  п. 1"</f>
        <v>ОК 3.1.1-13 ППК 3.1.1 Курск, Карла Маркса, 5  п. 1</v>
      </c>
      <c r="E239" t="str">
        <f t="shared" si="57"/>
        <v>КРС-8/16-SC</v>
      </c>
      <c r="F239" t="str">
        <f>"26.01.2016"</f>
        <v>26.01.2016</v>
      </c>
      <c r="G239" t="str">
        <f>""</f>
        <v/>
      </c>
      <c r="H239" t="str">
        <f>"ОК 3.1.1-13 ППК 3.1.1"</f>
        <v>ОК 3.1.1-13 ППК 3.1.1</v>
      </c>
      <c r="I239" t="str">
        <f>"ДШ (под. 1, ОУ№ 3.1.1-12)"</f>
        <v>ДШ (под. 1, ОУ№ 3.1.1-12)</v>
      </c>
      <c r="J239" t="str">
        <f>"Курск, Карла Маркса, 5"</f>
        <v>Курск, Карла Маркса, 5</v>
      </c>
      <c r="K239" t="str">
        <f>"ДШ-1"</f>
        <v>ДШ-1</v>
      </c>
      <c r="L239" t="str">
        <f>"22-DEC-15"</f>
        <v>22-DEC-15</v>
      </c>
      <c r="M239">
        <v>174615</v>
      </c>
      <c r="N239" t="str">
        <f>""</f>
        <v/>
      </c>
      <c r="O239" t="str">
        <f>"HSH-174615"</f>
        <v>HSH-174615</v>
      </c>
      <c r="P239" t="str">
        <f t="shared" si="51"/>
        <v>Нет</v>
      </c>
      <c r="Q239" t="str">
        <f>"КСК00000000000000178"</f>
        <v>КСК00000000000000178</v>
      </c>
      <c r="R239" t="str">
        <f>""</f>
        <v/>
      </c>
      <c r="S239" t="str">
        <f t="shared" si="52"/>
        <v>Основной</v>
      </c>
      <c r="T239" t="str">
        <f t="shared" si="53"/>
        <v>ГУТС</v>
      </c>
      <c r="U239" t="str">
        <f>""</f>
        <v/>
      </c>
      <c r="V239" t="str">
        <f t="shared" si="54"/>
        <v>Нет</v>
      </c>
      <c r="W239">
        <v>51.750326999999999</v>
      </c>
      <c r="X239">
        <v>36.193479340000003</v>
      </c>
      <c r="Y239" t="str">
        <f>"20000004568040"</f>
        <v>20000004568040</v>
      </c>
    </row>
    <row r="240" spans="1:25" x14ac:dyDescent="0.25">
      <c r="A240">
        <v>907</v>
      </c>
      <c r="B240" t="str">
        <f t="shared" si="50"/>
        <v>Курск</v>
      </c>
      <c r="C240">
        <v>508066</v>
      </c>
      <c r="D240" t="str">
        <f>"ОК 1.1.1-56 ППК 1.1.1 Курск, Литовская, 12  п. 1"</f>
        <v>ОК 1.1.1-56 ППК 1.1.1 Курск, Литовская, 12  п. 1</v>
      </c>
      <c r="E240" t="str">
        <f t="shared" si="57"/>
        <v>КРС-8/16-SC</v>
      </c>
      <c r="F240" t="str">
        <f>"27.01.2016"</f>
        <v>27.01.2016</v>
      </c>
      <c r="G240" t="str">
        <f>""</f>
        <v/>
      </c>
      <c r="H240" t="str">
        <f>"ОК 1.1.1-56 ППК 1.1.1"</f>
        <v>ОК 1.1.1-56 ППК 1.1.1</v>
      </c>
      <c r="I240" t="str">
        <f>"ДШ (под. 1, ОУ№ 1.1.1-54)"</f>
        <v>ДШ (под. 1, ОУ№ 1.1.1-54)</v>
      </c>
      <c r="J240" t="str">
        <f>"Курск, Литовская, 12"</f>
        <v>Курск, Литовская, 12</v>
      </c>
      <c r="K240" t="str">
        <f>"ДШ-1"</f>
        <v>ДШ-1</v>
      </c>
      <c r="L240" t="str">
        <f>"30-DEC-15"</f>
        <v>30-DEC-15</v>
      </c>
      <c r="M240">
        <v>174671</v>
      </c>
      <c r="N240" t="str">
        <f>""</f>
        <v/>
      </c>
      <c r="O240" t="str">
        <f>"HSH-174671"</f>
        <v>HSH-174671</v>
      </c>
      <c r="P240" t="str">
        <f t="shared" si="51"/>
        <v>Нет</v>
      </c>
      <c r="Q240" t="str">
        <f>"КСК00000000000000027"</f>
        <v>КСК00000000000000027</v>
      </c>
      <c r="R240" t="str">
        <f>""</f>
        <v/>
      </c>
      <c r="S240" t="str">
        <f t="shared" si="52"/>
        <v>Основной</v>
      </c>
      <c r="T240" t="str">
        <f t="shared" si="53"/>
        <v>ГУТС</v>
      </c>
      <c r="U240" t="str">
        <f>""</f>
        <v/>
      </c>
      <c r="V240" t="str">
        <f t="shared" si="54"/>
        <v>Нет</v>
      </c>
      <c r="W240">
        <v>51.705194169999999</v>
      </c>
      <c r="X240">
        <v>36.17317233</v>
      </c>
      <c r="Y240" t="str">
        <f>"20000004568051"</f>
        <v>20000004568051</v>
      </c>
    </row>
    <row r="241" spans="1:25" x14ac:dyDescent="0.25">
      <c r="A241">
        <v>907</v>
      </c>
      <c r="B241" t="str">
        <f t="shared" si="50"/>
        <v>Курск</v>
      </c>
      <c r="C241">
        <v>509870</v>
      </c>
      <c r="D241" t="str">
        <f>"ОК 3.1.1-13 ППК3.1.1 Курск, Ленина, 99 а п. 1"</f>
        <v>ОК 3.1.1-13 ППК3.1.1 Курск, Ленина, 99 а п. 1</v>
      </c>
      <c r="E241" t="str">
        <f t="shared" si="57"/>
        <v>КРС-8/16-SC</v>
      </c>
      <c r="F241" t="str">
        <f>"04.03.2016"</f>
        <v>04.03.2016</v>
      </c>
      <c r="G241" t="str">
        <f>""</f>
        <v/>
      </c>
      <c r="H241" t="str">
        <f>"ОК 3.1.1-13 ППК3.1.1"</f>
        <v>ОК 3.1.1-13 ППК3.1.1</v>
      </c>
      <c r="I241" t="str">
        <f>"ДШ (под. 1, ОУ№ 3.1.1-15)"</f>
        <v>ДШ (под. 1, ОУ№ 3.1.1-15)</v>
      </c>
      <c r="J241" t="str">
        <f>"Курск, Ленина, 99 а"</f>
        <v>Курск, Ленина, 99 а</v>
      </c>
      <c r="K241" t="str">
        <f>"Серверная"</f>
        <v>Серверная</v>
      </c>
      <c r="L241" t="str">
        <f>"28-JAN-16"</f>
        <v>28-JAN-16</v>
      </c>
      <c r="M241">
        <v>175666</v>
      </c>
      <c r="N241" t="str">
        <f>""</f>
        <v/>
      </c>
      <c r="O241" t="str">
        <f>"HSH-175666"</f>
        <v>HSH-175666</v>
      </c>
      <c r="P241" t="str">
        <f t="shared" si="51"/>
        <v>Нет</v>
      </c>
      <c r="Q241" t="str">
        <f>"КСК00000000000000178"</f>
        <v>КСК00000000000000178</v>
      </c>
      <c r="R241" t="str">
        <f>""</f>
        <v/>
      </c>
      <c r="S241" t="str">
        <f t="shared" si="52"/>
        <v>Основной</v>
      </c>
      <c r="T241" t="str">
        <f t="shared" si="53"/>
        <v>ГУТС</v>
      </c>
      <c r="U241" t="str">
        <f>""</f>
        <v/>
      </c>
      <c r="V241" t="str">
        <f t="shared" si="54"/>
        <v>Нет</v>
      </c>
      <c r="W241">
        <v>51.747726129999997</v>
      </c>
      <c r="X241">
        <v>36.195779000000002</v>
      </c>
      <c r="Y241" t="str">
        <f>"20000004568138"</f>
        <v>20000004568138</v>
      </c>
    </row>
    <row r="242" spans="1:25" x14ac:dyDescent="0.25">
      <c r="A242">
        <v>907</v>
      </c>
      <c r="B242" t="str">
        <f t="shared" si="50"/>
        <v>Курск</v>
      </c>
      <c r="C242">
        <v>510103</v>
      </c>
      <c r="D242" t="str">
        <f>"ОК 1.5.4-2 ППК 1.5.4 Курск, Карла Либкнехта, 2  п. 1"</f>
        <v>ОК 1.5.4-2 ППК 1.5.4 Курск, Карла Либкнехта, 2  п. 1</v>
      </c>
      <c r="E242" t="str">
        <f t="shared" si="57"/>
        <v>КРС-8/16-SC</v>
      </c>
      <c r="F242" t="str">
        <f>"09.03.2016"</f>
        <v>09.03.2016</v>
      </c>
      <c r="G242" t="str">
        <f>""</f>
        <v/>
      </c>
      <c r="H242" t="str">
        <f>"ОК 1.5.4-2 ППК 1.5.4"</f>
        <v>ОК 1.5.4-2 ППК 1.5.4</v>
      </c>
      <c r="I242" t="str">
        <f>"ДШ (под. 1, ОУ№ 1.5.4-2)"</f>
        <v>ДШ (под. 1, ОУ№ 1.5.4-2)</v>
      </c>
      <c r="J242" t="str">
        <f>"Курск, Карла Либкнехта, 2"</f>
        <v>Курск, Карла Либкнехта, 2</v>
      </c>
      <c r="K242" t="str">
        <f t="shared" ref="K242:K281" si="59">"ДШ-1"</f>
        <v>ДШ-1</v>
      </c>
      <c r="L242" t="str">
        <f>"09-MAR-16"</f>
        <v>09-MAR-16</v>
      </c>
      <c r="M242">
        <v>175735</v>
      </c>
      <c r="N242" t="str">
        <f>""</f>
        <v/>
      </c>
      <c r="O242" t="str">
        <f>"HSH-175735"</f>
        <v>HSH-175735</v>
      </c>
      <c r="P242" t="str">
        <f t="shared" si="51"/>
        <v>Нет</v>
      </c>
      <c r="Q242" t="str">
        <f>"КСК00000000000000173"</f>
        <v>КСК00000000000000173</v>
      </c>
      <c r="R242" t="str">
        <f>""</f>
        <v/>
      </c>
      <c r="S242" t="str">
        <f t="shared" si="52"/>
        <v>Основной</v>
      </c>
      <c r="T242" t="str">
        <f t="shared" si="53"/>
        <v>ГУТС</v>
      </c>
      <c r="U242" t="str">
        <f>""</f>
        <v/>
      </c>
      <c r="V242" t="str">
        <f t="shared" si="54"/>
        <v>Нет</v>
      </c>
      <c r="W242">
        <v>51.726261630000003</v>
      </c>
      <c r="X242">
        <v>36.18165012</v>
      </c>
      <c r="Y242" t="str">
        <f>"20000004568148"</f>
        <v>20000004568148</v>
      </c>
    </row>
    <row r="243" spans="1:25" x14ac:dyDescent="0.25">
      <c r="A243">
        <v>907</v>
      </c>
      <c r="B243" t="str">
        <f t="shared" si="50"/>
        <v>Курск</v>
      </c>
      <c r="C243">
        <v>510466</v>
      </c>
      <c r="D243" t="str">
        <f>"ООО ТК ""ТАКТ"" Курск, Дзержинского, 41 а п. 1"</f>
        <v>ООО ТК "ТАКТ" Курск, Дзержинского, 41 а п. 1</v>
      </c>
      <c r="E243" t="str">
        <f t="shared" si="57"/>
        <v>КРС-8/16-SC</v>
      </c>
      <c r="F243" t="str">
        <f>"29.03.2016"</f>
        <v>29.03.2016</v>
      </c>
      <c r="G243" t="str">
        <f>""</f>
        <v/>
      </c>
      <c r="H243" t="str">
        <f>"ООО ТК ""ТАКТ"""</f>
        <v>ООО ТК "ТАКТ"</v>
      </c>
      <c r="I243" t="str">
        <f>"ДШ (под. 1, ОУ№ 1.1.1-55)"</f>
        <v>ДШ (под. 1, ОУ№ 1.1.1-55)</v>
      </c>
      <c r="J243" t="str">
        <f>"Курск, Дзержинского, 41 а"</f>
        <v>Курск, Дзержинского, 41 а</v>
      </c>
      <c r="K243" t="str">
        <f t="shared" si="59"/>
        <v>ДШ-1</v>
      </c>
      <c r="L243" t="str">
        <f>"29-JUL-15"</f>
        <v>29-JUL-15</v>
      </c>
      <c r="M243">
        <v>176316</v>
      </c>
      <c r="N243" t="str">
        <f>""</f>
        <v/>
      </c>
      <c r="O243" t="str">
        <f>"HSH-176316"</f>
        <v>HSH-176316</v>
      </c>
      <c r="P243" t="str">
        <f t="shared" si="51"/>
        <v>Нет</v>
      </c>
      <c r="Q243" t="str">
        <f>"КСК00000000000001645"</f>
        <v>КСК00000000000001645</v>
      </c>
      <c r="R243" t="str">
        <f>""</f>
        <v/>
      </c>
      <c r="S243" t="str">
        <f t="shared" si="52"/>
        <v>Основной</v>
      </c>
      <c r="T243" t="str">
        <f t="shared" si="53"/>
        <v>ГУТС</v>
      </c>
      <c r="U243" t="str">
        <f>""</f>
        <v/>
      </c>
      <c r="V243" t="str">
        <f t="shared" si="54"/>
        <v>Нет</v>
      </c>
      <c r="W243">
        <v>51.72563384</v>
      </c>
      <c r="X243">
        <v>36.180447309999998</v>
      </c>
      <c r="Y243" t="str">
        <f>"20000004568173"</f>
        <v>20000004568173</v>
      </c>
    </row>
    <row r="244" spans="1:25" x14ac:dyDescent="0.25">
      <c r="A244">
        <v>907</v>
      </c>
      <c r="B244" t="str">
        <f t="shared" si="50"/>
        <v>Курск</v>
      </c>
      <c r="C244">
        <v>510666</v>
      </c>
      <c r="D244" t="str">
        <f>"ОК 2.1.1-2 ППК2.1.1 Курск, 50 Лет Октября, 118 г п. 1"</f>
        <v>ОК 2.1.1-2 ППК2.1.1 Курск, 50 Лет Октября, 118 г п. 1</v>
      </c>
      <c r="E244" t="str">
        <f t="shared" si="57"/>
        <v>КРС-8/16-SC</v>
      </c>
      <c r="F244" t="str">
        <f>"30.03.2016"</f>
        <v>30.03.2016</v>
      </c>
      <c r="G244" t="str">
        <f>""</f>
        <v/>
      </c>
      <c r="H244" t="str">
        <f>"ОК 2.1.1-2 ППК2.1.1"</f>
        <v>ОК 2.1.1-2 ППК2.1.1</v>
      </c>
      <c r="I244" t="str">
        <f>"ДШ (под. 1, ОУ№ 2.1.1-2)"</f>
        <v>ДШ (под. 1, ОУ№ 2.1.1-2)</v>
      </c>
      <c r="J244" t="str">
        <f>"Курск, 50 Лет Октября, 118 г"</f>
        <v>Курск, 50 Лет Октября, 118 г</v>
      </c>
      <c r="K244" t="str">
        <f t="shared" si="59"/>
        <v>ДШ-1</v>
      </c>
      <c r="L244" t="str">
        <f>"20-JAN-16"</f>
        <v>20-JAN-16</v>
      </c>
      <c r="M244">
        <v>176371</v>
      </c>
      <c r="N244" t="str">
        <f>""</f>
        <v/>
      </c>
      <c r="O244" t="str">
        <f>"HSH-176371"</f>
        <v>HSH-176371</v>
      </c>
      <c r="P244" t="str">
        <f t="shared" si="51"/>
        <v>Нет</v>
      </c>
      <c r="Q244" t="str">
        <f>"КСК00000000000000112"</f>
        <v>КСК00000000000000112</v>
      </c>
      <c r="R244" t="str">
        <f>""</f>
        <v/>
      </c>
      <c r="S244" t="str">
        <f t="shared" si="52"/>
        <v>Основной</v>
      </c>
      <c r="T244" t="str">
        <f t="shared" si="53"/>
        <v>ГУТС</v>
      </c>
      <c r="U244" t="str">
        <f>""</f>
        <v/>
      </c>
      <c r="V244" t="str">
        <f t="shared" si="54"/>
        <v>Нет</v>
      </c>
      <c r="W244">
        <v>51.75733855</v>
      </c>
      <c r="X244">
        <v>36.134270749999999</v>
      </c>
      <c r="Y244" t="str">
        <f>"20000004568207"</f>
        <v>20000004568207</v>
      </c>
    </row>
    <row r="245" spans="1:25" x14ac:dyDescent="0.25">
      <c r="A245">
        <v>907</v>
      </c>
      <c r="B245" t="str">
        <f t="shared" si="50"/>
        <v>Курск</v>
      </c>
      <c r="C245">
        <v>511674</v>
      </c>
      <c r="D245" t="str">
        <f>"ОК 1.5.1-57 ППК 1.1.1 Курск, Красной Армии, 2 а/3 п. 1"</f>
        <v>ОК 1.5.1-57 ППК 1.1.1 Курск, Красной Армии, 2 а/3 п. 1</v>
      </c>
      <c r="E245" t="str">
        <f t="shared" si="57"/>
        <v>КРС-8/16-SC</v>
      </c>
      <c r="F245" t="str">
        <f>"10.05.2016"</f>
        <v>10.05.2016</v>
      </c>
      <c r="G245" t="str">
        <f>""</f>
        <v/>
      </c>
      <c r="H245" t="str">
        <f>"ОК 1.5.1-57 ППК 1.1.1"</f>
        <v>ОК 1.5.1-57 ППК 1.1.1</v>
      </c>
      <c r="I245" t="str">
        <f>"ДШ (под. 1, ОУ№ 1.1.1-56)"</f>
        <v>ДШ (под. 1, ОУ№ 1.1.1-56)</v>
      </c>
      <c r="J245" t="str">
        <f>"Курск, Красной Армии, 2 а/3"</f>
        <v>Курск, Красной Армии, 2 а/3</v>
      </c>
      <c r="K245" t="str">
        <f t="shared" si="59"/>
        <v>ДШ-1</v>
      </c>
      <c r="L245" t="str">
        <f>"04-APR-16"</f>
        <v>04-APR-16</v>
      </c>
      <c r="M245">
        <v>177220</v>
      </c>
      <c r="N245" t="str">
        <f>""</f>
        <v/>
      </c>
      <c r="O245" t="str">
        <f>"HSH-177220"</f>
        <v>HSH-177220</v>
      </c>
      <c r="P245" t="str">
        <f t="shared" si="51"/>
        <v>Нет</v>
      </c>
      <c r="Q245" t="str">
        <f>"КСК00000000000000027"</f>
        <v>КСК00000000000000027</v>
      </c>
      <c r="R245" t="str">
        <f>""</f>
        <v/>
      </c>
      <c r="S245" t="str">
        <f t="shared" si="52"/>
        <v>Основной</v>
      </c>
      <c r="T245" t="str">
        <f t="shared" si="53"/>
        <v>ГУТС</v>
      </c>
      <c r="U245" t="str">
        <f>""</f>
        <v/>
      </c>
      <c r="V245" t="str">
        <f t="shared" si="54"/>
        <v>Нет</v>
      </c>
      <c r="W245">
        <v>51.72538978</v>
      </c>
      <c r="X245">
        <v>36.187381369999997</v>
      </c>
      <c r="Y245" t="str">
        <f>"20000004568320"</f>
        <v>20000004568320</v>
      </c>
    </row>
    <row r="246" spans="1:25" x14ac:dyDescent="0.25">
      <c r="A246">
        <v>907</v>
      </c>
      <c r="B246" t="str">
        <f t="shared" si="50"/>
        <v>Курск</v>
      </c>
      <c r="C246">
        <v>512292</v>
      </c>
      <c r="D246" t="str">
        <f>"ОК 4.1.1-2 ППК 4.1.1 Курск, Чайковского, 60  п. 1"</f>
        <v>ОК 4.1.1-2 ППК 4.1.1 Курск, Чайковского, 60  п. 1</v>
      </c>
      <c r="E246" t="str">
        <f t="shared" si="57"/>
        <v>КРС-8/16-SC</v>
      </c>
      <c r="F246" t="str">
        <f>"02.06.2016"</f>
        <v>02.06.2016</v>
      </c>
      <c r="G246" t="str">
        <f>""</f>
        <v/>
      </c>
      <c r="H246" t="str">
        <f>"ОК 4.1.1-2 ППК 4.1.1"</f>
        <v>ОК 4.1.1-2 ППК 4.1.1</v>
      </c>
      <c r="I246" t="str">
        <f>"ДШ (под. 1, ОУ№ 4.1.1-2)"</f>
        <v>ДШ (под. 1, ОУ№ 4.1.1-2)</v>
      </c>
      <c r="J246" t="str">
        <f>"Курск, Чайковского, 60"</f>
        <v>Курск, Чайковского, 60</v>
      </c>
      <c r="K246" t="str">
        <f t="shared" si="59"/>
        <v>ДШ-1</v>
      </c>
      <c r="L246" t="str">
        <f>"14-APR-16"</f>
        <v>14-APR-16</v>
      </c>
      <c r="M246">
        <v>177816</v>
      </c>
      <c r="N246" t="str">
        <f>""</f>
        <v/>
      </c>
      <c r="O246" t="str">
        <f>"HSH-177816"</f>
        <v>HSH-177816</v>
      </c>
      <c r="P246" t="str">
        <f t="shared" si="51"/>
        <v>Нет</v>
      </c>
      <c r="Q246" t="str">
        <f>"КСК00000000000000334"</f>
        <v>КСК00000000000000334</v>
      </c>
      <c r="R246" t="str">
        <f>""</f>
        <v/>
      </c>
      <c r="S246" t="str">
        <f t="shared" si="52"/>
        <v>Основной</v>
      </c>
      <c r="T246" t="str">
        <f t="shared" si="53"/>
        <v>ГУТС</v>
      </c>
      <c r="U246" t="str">
        <f>""</f>
        <v/>
      </c>
      <c r="V246" t="str">
        <f t="shared" si="54"/>
        <v>Нет</v>
      </c>
      <c r="W246">
        <v>51.73355196</v>
      </c>
      <c r="X246">
        <v>36.239480559999997</v>
      </c>
      <c r="Y246" t="str">
        <f>"20000004568356"</f>
        <v>20000004568356</v>
      </c>
    </row>
    <row r="247" spans="1:25" x14ac:dyDescent="0.25">
      <c r="A247">
        <v>907</v>
      </c>
      <c r="B247" t="str">
        <f t="shared" si="50"/>
        <v>Курск</v>
      </c>
      <c r="C247">
        <v>512472</v>
      </c>
      <c r="D247" t="str">
        <f>"ОК 1.4.8-2 ППК 1.4.8 Курск, Сумская, 39  п. 1"</f>
        <v>ОК 1.4.8-2 ППК 1.4.8 Курск, Сумская, 39  п. 1</v>
      </c>
      <c r="E247" t="str">
        <f t="shared" si="57"/>
        <v>КРС-8/16-SC</v>
      </c>
      <c r="F247" t="str">
        <f>"07.12.2018"</f>
        <v>07.12.2018</v>
      </c>
      <c r="G247" t="str">
        <f>""</f>
        <v/>
      </c>
      <c r="H247" t="str">
        <f>"ОК 1.4.8-2 ППК 1.4.8"</f>
        <v>ОК 1.4.8-2 ППК 1.4.8</v>
      </c>
      <c r="I247" t="str">
        <f>"ДШ (под. 1, ОУ№ 1.4.9)"</f>
        <v>ДШ (под. 1, ОУ№ 1.4.9)</v>
      </c>
      <c r="J247" t="str">
        <f>"Курск, Сумская, 39"</f>
        <v>Курск, Сумская, 39</v>
      </c>
      <c r="K247" t="str">
        <f t="shared" si="59"/>
        <v>ДШ-1</v>
      </c>
      <c r="L247" t="str">
        <f>"11-MAY-16"</f>
        <v>11-MAY-16</v>
      </c>
      <c r="M247">
        <v>204225</v>
      </c>
      <c r="N247" t="str">
        <f>""</f>
        <v/>
      </c>
      <c r="O247" t="str">
        <f>"HSH-204225"</f>
        <v>HSH-204225</v>
      </c>
      <c r="P247" t="str">
        <f t="shared" si="51"/>
        <v>Нет</v>
      </c>
      <c r="Q247" t="str">
        <f>"КСК00000000000000092"</f>
        <v>КСК00000000000000092</v>
      </c>
      <c r="R247" t="str">
        <f>""</f>
        <v/>
      </c>
      <c r="S247" t="str">
        <f t="shared" si="52"/>
        <v>Основной</v>
      </c>
      <c r="T247" t="str">
        <f t="shared" si="53"/>
        <v>ГУТС</v>
      </c>
      <c r="U247" t="str">
        <f>""</f>
        <v/>
      </c>
      <c r="V247" t="str">
        <f t="shared" si="54"/>
        <v>Нет</v>
      </c>
      <c r="W247">
        <v>51.71160442</v>
      </c>
      <c r="X247">
        <v>36.142229700000001</v>
      </c>
      <c r="Y247" t="str">
        <f>"20000004568362"</f>
        <v>20000004568362</v>
      </c>
    </row>
    <row r="248" spans="1:25" x14ac:dyDescent="0.25">
      <c r="A248">
        <v>907</v>
      </c>
      <c r="B248" t="str">
        <f t="shared" si="50"/>
        <v>Курск</v>
      </c>
      <c r="C248">
        <v>512485</v>
      </c>
      <c r="D248" t="str">
        <f>"ОК 1.4.8-3 ППК 1.4.8 Курск, Сумская, 41  п. 1"</f>
        <v>ОК 1.4.8-3 ППК 1.4.8 Курск, Сумская, 41  п. 1</v>
      </c>
      <c r="E248" t="str">
        <f t="shared" si="57"/>
        <v>КРС-8/16-SC</v>
      </c>
      <c r="F248" t="str">
        <f>"03.06.2016"</f>
        <v>03.06.2016</v>
      </c>
      <c r="G248" t="str">
        <f>""</f>
        <v/>
      </c>
      <c r="H248" t="str">
        <f>"ОК 1.4.8-3 ППК 1.4.8"</f>
        <v>ОК 1.4.8-3 ППК 1.4.8</v>
      </c>
      <c r="I248" t="str">
        <f>"ДШ (под. 1, ОУ№ 1.4.8-2)"</f>
        <v>ДШ (под. 1, ОУ№ 1.4.8-2)</v>
      </c>
      <c r="J248" t="str">
        <f>"Курск, Сумская, 41"</f>
        <v>Курск, Сумская, 41</v>
      </c>
      <c r="K248" t="str">
        <f t="shared" si="59"/>
        <v>ДШ-1</v>
      </c>
      <c r="L248" t="str">
        <f>"10-MAY-16"</f>
        <v>10-MAY-16</v>
      </c>
      <c r="M248">
        <v>178016</v>
      </c>
      <c r="N248" t="str">
        <f>""</f>
        <v/>
      </c>
      <c r="O248" t="str">
        <f>"HSH-178016"</f>
        <v>HSH-178016</v>
      </c>
      <c r="P248" t="str">
        <f t="shared" si="51"/>
        <v>Нет</v>
      </c>
      <c r="Q248" t="str">
        <f>"КСК00000000000000092"</f>
        <v>КСК00000000000000092</v>
      </c>
      <c r="R248" t="str">
        <f>""</f>
        <v/>
      </c>
      <c r="S248" t="str">
        <f t="shared" si="52"/>
        <v>Основной</v>
      </c>
      <c r="T248" t="str">
        <f t="shared" si="53"/>
        <v>ГУТС</v>
      </c>
      <c r="U248" t="str">
        <f>""</f>
        <v/>
      </c>
      <c r="V248" t="str">
        <f t="shared" si="54"/>
        <v>Нет</v>
      </c>
      <c r="W248">
        <v>51.711620330000002</v>
      </c>
      <c r="X248">
        <v>36.141231519999998</v>
      </c>
      <c r="Y248" t="str">
        <f>"20000004568363"</f>
        <v>20000004568363</v>
      </c>
    </row>
    <row r="249" spans="1:25" x14ac:dyDescent="0.25">
      <c r="A249">
        <v>907</v>
      </c>
      <c r="B249" t="str">
        <f t="shared" si="50"/>
        <v>Курск</v>
      </c>
      <c r="C249">
        <v>512666</v>
      </c>
      <c r="D249" t="str">
        <f>"ОК 3.1.1 - 15 Курск, Пушкарная 1-Я, 28 а п. 1"</f>
        <v>ОК 3.1.1 - 15 Курск, Пушкарная 1-Я, 28 а п. 1</v>
      </c>
      <c r="E249" t="str">
        <f t="shared" si="57"/>
        <v>КРС-8/16-SC</v>
      </c>
      <c r="F249" t="str">
        <f>"09.06.2016"</f>
        <v>09.06.2016</v>
      </c>
      <c r="G249" t="str">
        <f>""</f>
        <v/>
      </c>
      <c r="H249" t="str">
        <f>"ОК 3.1.1 - 15"</f>
        <v>ОК 3.1.1 - 15</v>
      </c>
      <c r="I249" t="str">
        <f>"ДШ (под. 1, ОУ№ 3.1.1-17)"</f>
        <v>ДШ (под. 1, ОУ№ 3.1.1-17)</v>
      </c>
      <c r="J249" t="str">
        <f>"Курск, Пушкарная 1-Я, 28 а"</f>
        <v>Курск, Пушкарная 1-Я, 28 а</v>
      </c>
      <c r="K249" t="str">
        <f t="shared" si="59"/>
        <v>ДШ-1</v>
      </c>
      <c r="L249" t="str">
        <f>"12-MAY-16"</f>
        <v>12-MAY-16</v>
      </c>
      <c r="M249">
        <v>178266</v>
      </c>
      <c r="N249" t="str">
        <f>""</f>
        <v/>
      </c>
      <c r="O249" t="str">
        <f>"HSH-178266"</f>
        <v>HSH-178266</v>
      </c>
      <c r="P249" t="str">
        <f t="shared" si="51"/>
        <v>Нет</v>
      </c>
      <c r="Q249" t="str">
        <f>"КСК00000000000000178"</f>
        <v>КСК00000000000000178</v>
      </c>
      <c r="R249" t="str">
        <f>""</f>
        <v/>
      </c>
      <c r="S249" t="str">
        <f t="shared" si="52"/>
        <v>Основной</v>
      </c>
      <c r="T249" t="str">
        <f t="shared" si="53"/>
        <v>ГУТС</v>
      </c>
      <c r="U249" t="str">
        <f>""</f>
        <v/>
      </c>
      <c r="V249" t="str">
        <f t="shared" si="54"/>
        <v>Нет</v>
      </c>
      <c r="W249">
        <v>51.751094209999998</v>
      </c>
      <c r="X249">
        <v>36.18574787</v>
      </c>
      <c r="Y249" t="str">
        <f>"20000004568366"</f>
        <v>20000004568366</v>
      </c>
    </row>
    <row r="250" spans="1:25" x14ac:dyDescent="0.25">
      <c r="A250">
        <v>907</v>
      </c>
      <c r="B250" t="str">
        <f t="shared" si="50"/>
        <v>Курск</v>
      </c>
      <c r="C250">
        <v>513266</v>
      </c>
      <c r="D250" t="str">
        <f>"ОК 3.1.7-3 ППК 3.1.7 Курск, Карла Маркса, 77 в/3 п. 1"</f>
        <v>ОК 3.1.7-3 ППК 3.1.7 Курск, Карла Маркса, 77 в/3 п. 1</v>
      </c>
      <c r="E250" t="str">
        <f t="shared" si="57"/>
        <v>КРС-8/16-SC</v>
      </c>
      <c r="F250" t="str">
        <f>"05.10.2016"</f>
        <v>05.10.2016</v>
      </c>
      <c r="G250" t="str">
        <f>""</f>
        <v/>
      </c>
      <c r="H250" t="str">
        <f>"ОК 3.1.7-3 ППК 3.1.7"</f>
        <v>ОК 3.1.7-3 ППК 3.1.7</v>
      </c>
      <c r="I250" t="str">
        <f>"ДШ (под. 1, ОУ№ 3.1.7-3)"</f>
        <v>ДШ (под. 1, ОУ№ 3.1.7-3)</v>
      </c>
      <c r="J250" t="str">
        <f>"Курск, Карла Маркса, 77 в/3"</f>
        <v>Курск, Карла Маркса, 77 в/3</v>
      </c>
      <c r="K250" t="str">
        <f t="shared" si="59"/>
        <v>ДШ-1</v>
      </c>
      <c r="L250" t="str">
        <f>"30-JUN-16"</f>
        <v>30-JUN-16</v>
      </c>
      <c r="M250">
        <v>184571</v>
      </c>
      <c r="N250" t="str">
        <f>""</f>
        <v/>
      </c>
      <c r="O250" t="str">
        <f>"HSH-184571"</f>
        <v>HSH-184571</v>
      </c>
      <c r="P250" t="str">
        <f t="shared" si="51"/>
        <v>Нет</v>
      </c>
      <c r="Q250" t="str">
        <f>"КСК00000000000000339"</f>
        <v>КСК00000000000000339</v>
      </c>
      <c r="R250" t="str">
        <f>""</f>
        <v/>
      </c>
      <c r="S250" t="str">
        <f t="shared" si="52"/>
        <v>Основной</v>
      </c>
      <c r="T250" t="str">
        <f t="shared" si="53"/>
        <v>ГУТС</v>
      </c>
      <c r="U250" t="str">
        <f>""</f>
        <v/>
      </c>
      <c r="V250" t="str">
        <f t="shared" si="54"/>
        <v>Нет</v>
      </c>
      <c r="W250">
        <v>51.796574309999997</v>
      </c>
      <c r="X250">
        <v>36.161867530000002</v>
      </c>
      <c r="Y250" t="str">
        <f>"20000004568530"</f>
        <v>20000004568530</v>
      </c>
    </row>
    <row r="251" spans="1:25" x14ac:dyDescent="0.25">
      <c r="A251">
        <v>907</v>
      </c>
      <c r="B251" t="str">
        <f t="shared" si="50"/>
        <v>Курск</v>
      </c>
      <c r="C251">
        <v>513666</v>
      </c>
      <c r="D251" t="str">
        <f>"ОК 1.1.1 - 57 Курск, Кожевенная 1-Я, 13  п. 1"</f>
        <v>ОК 1.1.1 - 57 Курск, Кожевенная 1-Я, 13  п. 1</v>
      </c>
      <c r="E251" t="str">
        <f t="shared" si="57"/>
        <v>КРС-8/16-SC</v>
      </c>
      <c r="F251" t="str">
        <f>"30.08.2016"</f>
        <v>30.08.2016</v>
      </c>
      <c r="G251" t="str">
        <f>""</f>
        <v/>
      </c>
      <c r="H251" t="str">
        <f>"ОК 1.1.1 - 57"</f>
        <v>ОК 1.1.1 - 57</v>
      </c>
      <c r="I251" t="str">
        <f>"ДШ (под. 1, ОУ№ 1.1.1-59)"</f>
        <v>ДШ (под. 1, ОУ№ 1.1.1-59)</v>
      </c>
      <c r="J251" t="str">
        <f>"Курск, Кожевенная 1-Я, 13"</f>
        <v>Курск, Кожевенная 1-Я, 13</v>
      </c>
      <c r="K251" t="str">
        <f t="shared" si="59"/>
        <v>ДШ-1</v>
      </c>
      <c r="L251" t="str">
        <f>"30-JUN-16"</f>
        <v>30-JUN-16</v>
      </c>
      <c r="M251">
        <v>182216</v>
      </c>
      <c r="N251" t="str">
        <f>""</f>
        <v/>
      </c>
      <c r="O251" t="str">
        <f>"HSH-182216"</f>
        <v>HSH-182216</v>
      </c>
      <c r="P251" t="str">
        <f t="shared" si="51"/>
        <v>Нет</v>
      </c>
      <c r="Q251" t="str">
        <f>"КСК00000000000000027"</f>
        <v>КСК00000000000000027</v>
      </c>
      <c r="R251" t="str">
        <f>""</f>
        <v/>
      </c>
      <c r="S251" t="str">
        <f t="shared" si="52"/>
        <v>Основной</v>
      </c>
      <c r="T251" t="str">
        <f t="shared" si="53"/>
        <v>ГУТС</v>
      </c>
      <c r="U251" t="str">
        <f>""</f>
        <v/>
      </c>
      <c r="V251" t="str">
        <f t="shared" si="54"/>
        <v>Нет</v>
      </c>
      <c r="W251">
        <v>51.719294779999998</v>
      </c>
      <c r="X251">
        <v>36.188015040000003</v>
      </c>
      <c r="Y251" t="str">
        <f>"20000004568541"</f>
        <v>20000004568541</v>
      </c>
    </row>
    <row r="252" spans="1:25" x14ac:dyDescent="0.25">
      <c r="A252">
        <v>907</v>
      </c>
      <c r="B252" t="str">
        <f t="shared" si="50"/>
        <v>Курск</v>
      </c>
      <c r="C252">
        <v>513680</v>
      </c>
      <c r="D252" t="str">
        <f>"ОК 5.6.4-1 ППК 5.6.4 Курск, Магистральный Проезд, 14  п. 1"</f>
        <v>ОК 5.6.4-1 ППК 5.6.4 Курск, Магистральный Проезд, 14  п. 1</v>
      </c>
      <c r="E252" t="str">
        <f>"КРН-16-SC"</f>
        <v>КРН-16-SC</v>
      </c>
      <c r="F252" t="str">
        <f>"30.08.2016"</f>
        <v>30.08.2016</v>
      </c>
      <c r="G252" t="str">
        <f>""</f>
        <v/>
      </c>
      <c r="H252" t="str">
        <f>"ОК 5.6.4-1 ППК 5.6.4"</f>
        <v>ОК 5.6.4-1 ППК 5.6.4</v>
      </c>
      <c r="I252" t="str">
        <f>"ДШ (под. 1, ОУ№ 5.6.4-4)"</f>
        <v>ДШ (под. 1, ОУ№ 5.6.4-4)</v>
      </c>
      <c r="J252" t="str">
        <f>"Курск, Магистральный Проезд, 14"</f>
        <v>Курск, Магистральный Проезд, 14</v>
      </c>
      <c r="K252" t="str">
        <f t="shared" si="59"/>
        <v>ДШ-1</v>
      </c>
      <c r="L252" t="str">
        <f>"12-JUL-16"</f>
        <v>12-JUL-16</v>
      </c>
      <c r="M252">
        <v>182266</v>
      </c>
      <c r="N252" t="str">
        <f>""</f>
        <v/>
      </c>
      <c r="O252" t="str">
        <f>"HSH-182266"</f>
        <v>HSH-182266</v>
      </c>
      <c r="P252" t="str">
        <f t="shared" si="51"/>
        <v>Нет</v>
      </c>
      <c r="Q252" t="str">
        <f>"КСК00000000000000333"</f>
        <v>КСК00000000000000333</v>
      </c>
      <c r="R252" t="str">
        <f>""</f>
        <v/>
      </c>
      <c r="S252" t="str">
        <f t="shared" si="52"/>
        <v>Основной</v>
      </c>
      <c r="T252" t="str">
        <f t="shared" si="53"/>
        <v>ГУТС</v>
      </c>
      <c r="U252" t="str">
        <f>""</f>
        <v/>
      </c>
      <c r="V252" t="str">
        <f t="shared" si="54"/>
        <v>Нет</v>
      </c>
      <c r="W252">
        <v>51.652101899999998</v>
      </c>
      <c r="X252">
        <v>36.139279299999998</v>
      </c>
      <c r="Y252" t="str">
        <f>"20000004568542"</f>
        <v>20000004568542</v>
      </c>
    </row>
    <row r="253" spans="1:25" x14ac:dyDescent="0.25">
      <c r="A253">
        <v>907</v>
      </c>
      <c r="B253" t="str">
        <f t="shared" si="50"/>
        <v>Курск</v>
      </c>
      <c r="C253">
        <v>513866</v>
      </c>
      <c r="D253" t="str">
        <f>"ОК 5.1.1 - 9 ППК 5.1.1 Курск, Ленинского Комсомола Пр-Кт, 18 а п. 1"</f>
        <v>ОК 5.1.1 - 9 ППК 5.1.1 Курск, Ленинского Комсомола Пр-Кт, 18 а п. 1</v>
      </c>
      <c r="E253" t="str">
        <f t="shared" ref="E253:E263" si="60">"КРС-8/16-SC"</f>
        <v>КРС-8/16-SC</v>
      </c>
      <c r="F253" t="str">
        <f>"31.08.2016"</f>
        <v>31.08.2016</v>
      </c>
      <c r="G253" t="str">
        <f>""</f>
        <v/>
      </c>
      <c r="H253" t="str">
        <f>"ОК 5.1.1 - 9 ППК 5.1.1"</f>
        <v>ОК 5.1.1 - 9 ППК 5.1.1</v>
      </c>
      <c r="I253" t="str">
        <f>"ДШ (под. 1, ОУ№ 5.1.1-9)"</f>
        <v>ДШ (под. 1, ОУ№ 5.1.1-9)</v>
      </c>
      <c r="J253" t="str">
        <f>"Курск, Ленинского Комсомола Пр-Кт, 18 а"</f>
        <v>Курск, Ленинского Комсомола Пр-Кт, 18 а</v>
      </c>
      <c r="K253" t="str">
        <f t="shared" si="59"/>
        <v>ДШ-1</v>
      </c>
      <c r="L253" t="str">
        <f>"30-JUN-16"</f>
        <v>30-JUN-16</v>
      </c>
      <c r="M253">
        <v>182316</v>
      </c>
      <c r="N253" t="str">
        <f>""</f>
        <v/>
      </c>
      <c r="O253" t="str">
        <f>"HSH-182316"</f>
        <v>HSH-182316</v>
      </c>
      <c r="P253" t="str">
        <f t="shared" si="51"/>
        <v>Нет</v>
      </c>
      <c r="Q253" t="str">
        <f>"КСК00000000000000219"</f>
        <v>КСК00000000000000219</v>
      </c>
      <c r="R253" t="str">
        <f>""</f>
        <v/>
      </c>
      <c r="S253" t="str">
        <f t="shared" si="52"/>
        <v>Основной</v>
      </c>
      <c r="T253" t="str">
        <f t="shared" si="53"/>
        <v>ГУТС</v>
      </c>
      <c r="U253" t="str">
        <f>""</f>
        <v/>
      </c>
      <c r="V253" t="str">
        <f t="shared" si="54"/>
        <v>Нет</v>
      </c>
      <c r="W253">
        <v>51.664174010000004</v>
      </c>
      <c r="X253">
        <v>36.11831651</v>
      </c>
      <c r="Y253" t="str">
        <f>"20000004568543"</f>
        <v>20000004568543</v>
      </c>
    </row>
    <row r="254" spans="1:25" x14ac:dyDescent="0.25">
      <c r="A254">
        <v>907</v>
      </c>
      <c r="B254" t="str">
        <f t="shared" si="50"/>
        <v>Курск</v>
      </c>
      <c r="C254">
        <v>513885</v>
      </c>
      <c r="D254" t="str">
        <f>"ОК 3.4.2-1 ППК 3.4.2 Курск, Ленина, 87  п. 1"</f>
        <v>ОК 3.4.2-1 ППК 3.4.2 Курск, Ленина, 87  п. 1</v>
      </c>
      <c r="E254" t="str">
        <f t="shared" si="60"/>
        <v>КРС-8/16-SC</v>
      </c>
      <c r="F254" t="str">
        <f>"31.08.2016"</f>
        <v>31.08.2016</v>
      </c>
      <c r="G254" t="str">
        <f>""</f>
        <v/>
      </c>
      <c r="H254" t="str">
        <f>"ОК 3.4.2-1 ППК 3.4.2"</f>
        <v>ОК 3.4.2-1 ППК 3.4.2</v>
      </c>
      <c r="I254" t="str">
        <f>"ДШ (под. 1, ОУ№ 3.4.2-1)"</f>
        <v>ДШ (под. 1, ОУ№ 3.4.2-1)</v>
      </c>
      <c r="J254" t="str">
        <f>"Курск, Ленина, 87"</f>
        <v>Курск, Ленина, 87</v>
      </c>
      <c r="K254" t="str">
        <f t="shared" si="59"/>
        <v>ДШ-1</v>
      </c>
      <c r="L254" t="str">
        <f>"15-JUN-16"</f>
        <v>15-JUN-16</v>
      </c>
      <c r="M254">
        <v>182616</v>
      </c>
      <c r="N254" t="str">
        <f>""</f>
        <v/>
      </c>
      <c r="O254" t="str">
        <f>"HSH-182616"</f>
        <v>HSH-182616</v>
      </c>
      <c r="P254" t="str">
        <f t="shared" si="51"/>
        <v>Нет</v>
      </c>
      <c r="Q254" t="str">
        <f>"КСК00000000000000433"</f>
        <v>КСК00000000000000433</v>
      </c>
      <c r="R254" t="str">
        <f>""</f>
        <v/>
      </c>
      <c r="S254" t="str">
        <f t="shared" si="52"/>
        <v>Основной</v>
      </c>
      <c r="T254" t="str">
        <f t="shared" si="53"/>
        <v>ГУТС</v>
      </c>
      <c r="U254" t="str">
        <f>""</f>
        <v/>
      </c>
      <c r="V254" t="str">
        <f t="shared" si="54"/>
        <v>Нет</v>
      </c>
      <c r="W254">
        <v>51.74682439</v>
      </c>
      <c r="X254">
        <v>36.195814900000002</v>
      </c>
      <c r="Y254" t="str">
        <f>"20000004568547"</f>
        <v>20000004568547</v>
      </c>
    </row>
    <row r="255" spans="1:25" x14ac:dyDescent="0.25">
      <c r="A255">
        <v>907</v>
      </c>
      <c r="B255" t="str">
        <f t="shared" si="50"/>
        <v>Курск</v>
      </c>
      <c r="C255">
        <v>514118</v>
      </c>
      <c r="D255" t="str">
        <f>"ОК 3.1.1-16 ППК 3.1.1 Курск, Ленина, 99  п. 1"</f>
        <v>ОК 3.1.1-16 ППК 3.1.1 Курск, Ленина, 99  п. 1</v>
      </c>
      <c r="E255" t="str">
        <f t="shared" si="60"/>
        <v>КРС-8/16-SC</v>
      </c>
      <c r="F255" t="str">
        <f>"01.09.2016"</f>
        <v>01.09.2016</v>
      </c>
      <c r="G255" t="str">
        <f>""</f>
        <v/>
      </c>
      <c r="H255" t="str">
        <f>"ОК 3.1.1-16 ППК 3.1.1"</f>
        <v>ОК 3.1.1-16 ППК 3.1.1</v>
      </c>
      <c r="I255" t="str">
        <f>"ДШ (под. 1, ОУ№ 3.1.1-18)"</f>
        <v>ДШ (под. 1, ОУ№ 3.1.1-18)</v>
      </c>
      <c r="J255" t="str">
        <f>"Курск, Ленина, 99"</f>
        <v>Курск, Ленина, 99</v>
      </c>
      <c r="K255" t="str">
        <f t="shared" si="59"/>
        <v>ДШ-1</v>
      </c>
      <c r="L255" t="str">
        <f>"23-JUN-16"</f>
        <v>23-JUN-16</v>
      </c>
      <c r="M255">
        <v>182966</v>
      </c>
      <c r="N255" t="str">
        <f>""</f>
        <v/>
      </c>
      <c r="O255" t="str">
        <f>"HSH-182966"</f>
        <v>HSH-182966</v>
      </c>
      <c r="P255" t="str">
        <f t="shared" si="51"/>
        <v>Нет</v>
      </c>
      <c r="Q255" t="str">
        <f>"КСК00000000000000178"</f>
        <v>КСК00000000000000178</v>
      </c>
      <c r="R255" t="str">
        <f>""</f>
        <v/>
      </c>
      <c r="S255" t="str">
        <f t="shared" si="52"/>
        <v>Основной</v>
      </c>
      <c r="T255" t="str">
        <f t="shared" si="53"/>
        <v>ГУТС</v>
      </c>
      <c r="U255" t="str">
        <f>""</f>
        <v/>
      </c>
      <c r="V255" t="str">
        <f t="shared" si="54"/>
        <v>Нет</v>
      </c>
      <c r="W255">
        <v>51.747747709999999</v>
      </c>
      <c r="X255">
        <v>36.195389769999998</v>
      </c>
      <c r="Y255" t="str">
        <f>"20000004568554"</f>
        <v>20000004568554</v>
      </c>
    </row>
    <row r="256" spans="1:25" x14ac:dyDescent="0.25">
      <c r="A256">
        <v>907</v>
      </c>
      <c r="B256" t="str">
        <f t="shared" si="50"/>
        <v>Курск</v>
      </c>
      <c r="C256">
        <v>514666</v>
      </c>
      <c r="D256" t="str">
        <f>"ОК 1.1.1-58.1  ППК 1.1.1 Курск, Литовская, 12 а п. 1"</f>
        <v>ОК 1.1.1-58.1  ППК 1.1.1 Курск, Литовская, 12 а п. 1</v>
      </c>
      <c r="E256" t="str">
        <f t="shared" si="60"/>
        <v>КРС-8/16-SC</v>
      </c>
      <c r="F256" t="str">
        <f>"14.09.2016"</f>
        <v>14.09.2016</v>
      </c>
      <c r="G256" t="str">
        <f>""</f>
        <v/>
      </c>
      <c r="H256" t="str">
        <f>"ОК 1.1.1-58.1  ППК 1.1.1"</f>
        <v>ОК 1.1.1-58.1  ППК 1.1.1</v>
      </c>
      <c r="I256" t="str">
        <f>"ДШ (под. 1, ОУ№ 1.1.1-57)"</f>
        <v>ДШ (под. 1, ОУ№ 1.1.1-57)</v>
      </c>
      <c r="J256" t="str">
        <f>"Курск, Литовская, 12 а"</f>
        <v>Курск, Литовская, 12 а</v>
      </c>
      <c r="K256" t="str">
        <f t="shared" si="59"/>
        <v>ДШ-1</v>
      </c>
      <c r="L256" t="str">
        <f>"27-JUL-16"</f>
        <v>27-JUL-16</v>
      </c>
      <c r="M256">
        <v>183220</v>
      </c>
      <c r="N256" t="str">
        <f>""</f>
        <v/>
      </c>
      <c r="O256" t="str">
        <f>"HSH-183220"</f>
        <v>HSH-183220</v>
      </c>
      <c r="P256" t="str">
        <f t="shared" si="51"/>
        <v>Нет</v>
      </c>
      <c r="Q256" t="str">
        <f>"КСК00000000000000027"</f>
        <v>КСК00000000000000027</v>
      </c>
      <c r="R256" t="str">
        <f>""</f>
        <v/>
      </c>
      <c r="S256" t="str">
        <f t="shared" si="52"/>
        <v>Основной</v>
      </c>
      <c r="T256" t="str">
        <f t="shared" si="53"/>
        <v>ГУТС</v>
      </c>
      <c r="U256" t="str">
        <f>""</f>
        <v/>
      </c>
      <c r="V256" t="str">
        <f t="shared" si="54"/>
        <v>Нет</v>
      </c>
      <c r="W256">
        <v>51.703259449999997</v>
      </c>
      <c r="X256">
        <v>36.171234509999998</v>
      </c>
      <c r="Y256" t="str">
        <f>"20000004568565"</f>
        <v>20000004568565</v>
      </c>
    </row>
    <row r="257" spans="1:25" x14ac:dyDescent="0.25">
      <c r="A257">
        <v>907</v>
      </c>
      <c r="B257" t="str">
        <f t="shared" si="50"/>
        <v>Курск</v>
      </c>
      <c r="C257">
        <v>514679</v>
      </c>
      <c r="D257" t="str">
        <f>"ОК 1.1.1-59 ППК 1.1.1 Курск, Литовская, 12 а п. 1"</f>
        <v>ОК 1.1.1-59 ППК 1.1.1 Курск, Литовская, 12 а п. 1</v>
      </c>
      <c r="E257" t="str">
        <f t="shared" si="60"/>
        <v>КРС-8/16-SC</v>
      </c>
      <c r="F257" t="str">
        <f>"14.09.2016"</f>
        <v>14.09.2016</v>
      </c>
      <c r="G257" t="str">
        <f>""</f>
        <v/>
      </c>
      <c r="H257" t="str">
        <f>"ОК 1.1.1-59 ППК 1.1.1"</f>
        <v>ОК 1.1.1-59 ППК 1.1.1</v>
      </c>
      <c r="I257" t="str">
        <f>"ДШ (под. 1, ОУ№ 1.1.1-58)"</f>
        <v>ДШ (под. 1, ОУ№ 1.1.1-58)</v>
      </c>
      <c r="J257" t="str">
        <f>"Курск, Литовская, 12 а"</f>
        <v>Курск, Литовская, 12 а</v>
      </c>
      <c r="K257" t="str">
        <f t="shared" si="59"/>
        <v>ДШ-1</v>
      </c>
      <c r="L257" t="str">
        <f>"27-JUL-16"</f>
        <v>27-JUL-16</v>
      </c>
      <c r="M257">
        <v>183221</v>
      </c>
      <c r="N257" t="str">
        <f>""</f>
        <v/>
      </c>
      <c r="O257" t="str">
        <f>"HSH-183221"</f>
        <v>HSH-183221</v>
      </c>
      <c r="P257" t="str">
        <f t="shared" si="51"/>
        <v>Нет</v>
      </c>
      <c r="Q257" t="str">
        <f>"КСК00000000000000027"</f>
        <v>КСК00000000000000027</v>
      </c>
      <c r="R257" t="str">
        <f>""</f>
        <v/>
      </c>
      <c r="S257" t="str">
        <f t="shared" si="52"/>
        <v>Основной</v>
      </c>
      <c r="T257" t="str">
        <f t="shared" si="53"/>
        <v>ГУТС</v>
      </c>
      <c r="U257" t="str">
        <f>""</f>
        <v/>
      </c>
      <c r="V257" t="str">
        <f t="shared" si="54"/>
        <v>Нет</v>
      </c>
      <c r="W257">
        <v>51.703352539999997</v>
      </c>
      <c r="X257">
        <v>36.169936319999998</v>
      </c>
      <c r="Y257" t="str">
        <f>"20000004568566"</f>
        <v>20000004568566</v>
      </c>
    </row>
    <row r="258" spans="1:25" x14ac:dyDescent="0.25">
      <c r="A258">
        <v>907</v>
      </c>
      <c r="B258" t="str">
        <f t="shared" ref="B258:B321" si="61">"Курск"</f>
        <v>Курск</v>
      </c>
      <c r="C258">
        <v>515266</v>
      </c>
      <c r="D258" t="str">
        <f>"ОК 1.5.3-3 ППК 1.5.3 Курск, Щепкина, 4 б п. 1"</f>
        <v>ОК 1.5.3-3 ППК 1.5.3 Курск, Щепкина, 4 б п. 1</v>
      </c>
      <c r="E258" t="str">
        <f t="shared" si="60"/>
        <v>КРС-8/16-SC</v>
      </c>
      <c r="F258" t="str">
        <f>"23.09.2016"</f>
        <v>23.09.2016</v>
      </c>
      <c r="G258" t="str">
        <f>""</f>
        <v/>
      </c>
      <c r="H258" t="str">
        <f>"ОК 1.5.3-3 ППК 1.5.3"</f>
        <v>ОК 1.5.3-3 ППК 1.5.3</v>
      </c>
      <c r="I258" t="str">
        <f>"ДШ (под. 1, ОУ№ 1.5.3-2)"</f>
        <v>ДШ (под. 1, ОУ№ 1.5.3-2)</v>
      </c>
      <c r="J258" t="str">
        <f>"Курск, Щепкина, 4 б"</f>
        <v>Курск, Щепкина, 4 б</v>
      </c>
      <c r="K258" t="str">
        <f t="shared" si="59"/>
        <v>ДШ-1</v>
      </c>
      <c r="L258" t="str">
        <f>"07-NOV-16"</f>
        <v>07-NOV-16</v>
      </c>
      <c r="M258">
        <v>184450</v>
      </c>
      <c r="N258" t="str">
        <f>""</f>
        <v/>
      </c>
      <c r="O258" t="str">
        <f>"HSH-184450"</f>
        <v>HSH-184450</v>
      </c>
      <c r="P258" t="str">
        <f t="shared" ref="P258:P321" si="62">"Нет"</f>
        <v>Нет</v>
      </c>
      <c r="Q258" t="str">
        <f>"КСК00000000000000151"</f>
        <v>КСК00000000000000151</v>
      </c>
      <c r="R258" t="str">
        <f>""</f>
        <v/>
      </c>
      <c r="S258" t="str">
        <f t="shared" ref="S258:S264" si="63">"Основной"</f>
        <v>Основной</v>
      </c>
      <c r="T258" t="str">
        <f t="shared" ref="T258:T321" si="64">"ГУТС"</f>
        <v>ГУТС</v>
      </c>
      <c r="U258" t="str">
        <f>""</f>
        <v/>
      </c>
      <c r="V258" t="str">
        <f t="shared" ref="V258:V321" si="65">"Нет"</f>
        <v>Нет</v>
      </c>
      <c r="W258">
        <v>51.726274080000003</v>
      </c>
      <c r="X258">
        <v>36.175194079999997</v>
      </c>
      <c r="Y258" t="str">
        <f>"20000004568580"</f>
        <v>20000004568580</v>
      </c>
    </row>
    <row r="259" spans="1:25" x14ac:dyDescent="0.25">
      <c r="A259">
        <v>907</v>
      </c>
      <c r="B259" t="str">
        <f t="shared" si="61"/>
        <v>Курск</v>
      </c>
      <c r="C259">
        <v>515279</v>
      </c>
      <c r="D259" t="str">
        <f>"ОК 1.5.3-2 ППК 1.5.3 Курск, Щепкина, 4 б п. 1"</f>
        <v>ОК 1.5.3-2 ППК 1.5.3 Курск, Щепкина, 4 б п. 1</v>
      </c>
      <c r="E259" t="str">
        <f t="shared" si="60"/>
        <v>КРС-8/16-SC</v>
      </c>
      <c r="F259" t="str">
        <f>"03.11.2016"</f>
        <v>03.11.2016</v>
      </c>
      <c r="G259" t="str">
        <f>""</f>
        <v/>
      </c>
      <c r="H259" t="str">
        <f>"ОК 1.5.3-2 ППК 1.5.3"</f>
        <v>ОК 1.5.3-2 ППК 1.5.3</v>
      </c>
      <c r="I259" t="str">
        <f>"ДШ (под. 1, ОУ№ 1.5.3-1)"</f>
        <v>ДШ (под. 1, ОУ№ 1.5.3-1)</v>
      </c>
      <c r="J259" t="str">
        <f>"Курск, Щепкина, 4 б"</f>
        <v>Курск, Щепкина, 4 б</v>
      </c>
      <c r="K259" t="str">
        <f t="shared" si="59"/>
        <v>ДШ-1</v>
      </c>
      <c r="L259" t="str">
        <f>"07-NOV-16"</f>
        <v>07-NOV-16</v>
      </c>
      <c r="M259">
        <v>185317</v>
      </c>
      <c r="N259" t="str">
        <f>""</f>
        <v/>
      </c>
      <c r="O259" t="str">
        <f>"HSH-185317"</f>
        <v>HSH-185317</v>
      </c>
      <c r="P259" t="str">
        <f t="shared" si="62"/>
        <v>Нет</v>
      </c>
      <c r="Q259" t="str">
        <f>"КСК00000000000000151"</f>
        <v>КСК00000000000000151</v>
      </c>
      <c r="R259" t="str">
        <f>""</f>
        <v/>
      </c>
      <c r="S259" t="str">
        <f t="shared" si="63"/>
        <v>Основной</v>
      </c>
      <c r="T259" t="str">
        <f t="shared" si="64"/>
        <v>ГУТС</v>
      </c>
      <c r="U259" t="str">
        <f>""</f>
        <v/>
      </c>
      <c r="V259" t="str">
        <f t="shared" si="65"/>
        <v>Нет</v>
      </c>
      <c r="W259">
        <v>51.725712520000002</v>
      </c>
      <c r="X259">
        <v>36.175438159999999</v>
      </c>
      <c r="Y259" t="str">
        <f>"20000004568581"</f>
        <v>20000004568581</v>
      </c>
    </row>
    <row r="260" spans="1:25" x14ac:dyDescent="0.25">
      <c r="A260">
        <v>907</v>
      </c>
      <c r="B260" t="str">
        <f t="shared" si="61"/>
        <v>Курск</v>
      </c>
      <c r="C260">
        <v>515666</v>
      </c>
      <c r="D260" t="str">
        <f>"ОК 1.1.1-48а Курск, Дзержинского, 9 а п. 1"</f>
        <v>ОК 1.1.1-48а Курск, Дзержинского, 9 а п. 1</v>
      </c>
      <c r="E260" t="str">
        <f t="shared" si="60"/>
        <v>КРС-8/16-SC</v>
      </c>
      <c r="F260" t="str">
        <f>"27.09.2016"</f>
        <v>27.09.2016</v>
      </c>
      <c r="G260" t="str">
        <f>""</f>
        <v/>
      </c>
      <c r="H260" t="str">
        <f>"ОК 1.1.1-48а"</f>
        <v>ОК 1.1.1-48а</v>
      </c>
      <c r="I260" t="str">
        <f>"ДШ (под. 1, ОУ№ 1.1.1-40)"</f>
        <v>ДШ (под. 1, ОУ№ 1.1.1-40)</v>
      </c>
      <c r="J260" t="str">
        <f>"Курск, Дзержинского, 9 а"</f>
        <v>Курск, Дзержинского, 9 а</v>
      </c>
      <c r="K260" t="str">
        <f t="shared" si="59"/>
        <v>ДШ-1</v>
      </c>
      <c r="L260" t="str">
        <f>"17-AUG-16"</f>
        <v>17-AUG-16</v>
      </c>
      <c r="M260">
        <v>184475</v>
      </c>
      <c r="N260" t="str">
        <f>""</f>
        <v/>
      </c>
      <c r="O260" t="str">
        <f>"HSH-184475"</f>
        <v>HSH-184475</v>
      </c>
      <c r="P260" t="str">
        <f t="shared" si="62"/>
        <v>Нет</v>
      </c>
      <c r="Q260" t="str">
        <f t="shared" ref="Q260:Q265" si="66">"КСК00000000000000027"</f>
        <v>КСК00000000000000027</v>
      </c>
      <c r="R260" t="str">
        <f>""</f>
        <v/>
      </c>
      <c r="S260" t="str">
        <f t="shared" si="63"/>
        <v>Основной</v>
      </c>
      <c r="T260" t="str">
        <f t="shared" si="64"/>
        <v>ГУТС</v>
      </c>
      <c r="U260" t="str">
        <f>""</f>
        <v/>
      </c>
      <c r="V260" t="str">
        <f t="shared" si="65"/>
        <v>Нет</v>
      </c>
      <c r="W260">
        <v>51.728857820000002</v>
      </c>
      <c r="X260">
        <v>36.189018879999999</v>
      </c>
      <c r="Y260" t="str">
        <f>"20000004568596"</f>
        <v>20000004568596</v>
      </c>
    </row>
    <row r="261" spans="1:25" x14ac:dyDescent="0.25">
      <c r="A261">
        <v>907</v>
      </c>
      <c r="B261" t="str">
        <f t="shared" si="61"/>
        <v>Курск</v>
      </c>
      <c r="C261">
        <v>515679</v>
      </c>
      <c r="D261" t="str">
        <f>"ОК 1.1.1-61 ППК 1.1.1 Курск, Дзержинского, 9 а п. 1"</f>
        <v>ОК 1.1.1-61 ППК 1.1.1 Курск, Дзержинского, 9 а п. 1</v>
      </c>
      <c r="E261" t="str">
        <f t="shared" si="60"/>
        <v>КРС-8/16-SC</v>
      </c>
      <c r="F261" t="str">
        <f>"27.09.2016"</f>
        <v>27.09.2016</v>
      </c>
      <c r="G261" t="str">
        <f>""</f>
        <v/>
      </c>
      <c r="H261" t="str">
        <f>"ОК 1.1.1-61 ППК 1.1.1"</f>
        <v>ОК 1.1.1-61 ППК 1.1.1</v>
      </c>
      <c r="I261" t="str">
        <f>"ДШ (под. 1, ОУ№ 1.1.1-40а)"</f>
        <v>ДШ (под. 1, ОУ№ 1.1.1-40а)</v>
      </c>
      <c r="J261" t="str">
        <f>"Курск, Дзержинского, 9 а"</f>
        <v>Курск, Дзержинского, 9 а</v>
      </c>
      <c r="K261" t="str">
        <f t="shared" si="59"/>
        <v>ДШ-1</v>
      </c>
      <c r="L261" t="str">
        <f>"24-AUG-16"</f>
        <v>24-AUG-16</v>
      </c>
      <c r="M261">
        <v>184476</v>
      </c>
      <c r="N261" t="str">
        <f>""</f>
        <v/>
      </c>
      <c r="O261" t="str">
        <f>"HSH-184476"</f>
        <v>HSH-184476</v>
      </c>
      <c r="P261" t="str">
        <f t="shared" si="62"/>
        <v>Нет</v>
      </c>
      <c r="Q261" t="str">
        <f t="shared" si="66"/>
        <v>КСК00000000000000027</v>
      </c>
      <c r="R261" t="str">
        <f>""</f>
        <v/>
      </c>
      <c r="S261" t="str">
        <f t="shared" si="63"/>
        <v>Основной</v>
      </c>
      <c r="T261" t="str">
        <f t="shared" si="64"/>
        <v>ГУТС</v>
      </c>
      <c r="U261" t="str">
        <f>""</f>
        <v/>
      </c>
      <c r="V261" t="str">
        <f t="shared" si="65"/>
        <v>Нет</v>
      </c>
      <c r="W261">
        <v>51.728696669999998</v>
      </c>
      <c r="X261">
        <v>36.188664150000001</v>
      </c>
      <c r="Y261" t="str">
        <f>"20000004568597"</f>
        <v>20000004568597</v>
      </c>
    </row>
    <row r="262" spans="1:25" x14ac:dyDescent="0.25">
      <c r="A262">
        <v>907</v>
      </c>
      <c r="B262" t="str">
        <f t="shared" si="61"/>
        <v>Курск</v>
      </c>
      <c r="C262">
        <v>515866</v>
      </c>
      <c r="D262" t="str">
        <f>"ОК 1.1.1-62 ППК 1.1.1 Курск, Литовская, 12 а/2 п. 1"</f>
        <v>ОК 1.1.1-62 ППК 1.1.1 Курск, Литовская, 12 а/2 п. 1</v>
      </c>
      <c r="E262" t="str">
        <f t="shared" si="60"/>
        <v>КРС-8/16-SC</v>
      </c>
      <c r="F262" t="str">
        <f>"28.09.2016"</f>
        <v>28.09.2016</v>
      </c>
      <c r="G262" t="str">
        <f>""</f>
        <v/>
      </c>
      <c r="H262" t="str">
        <f>"ОК 1.1.1-62 ППК 1.1.1"</f>
        <v>ОК 1.1.1-62 ППК 1.1.1</v>
      </c>
      <c r="I262" t="str">
        <f>"ДШ (под. 1, ОУ№ 1.1.1-62)"</f>
        <v>ДШ (под. 1, ОУ№ 1.1.1-62)</v>
      </c>
      <c r="J262" t="str">
        <f>"Курск, Литовская, 12 а/2"</f>
        <v>Курск, Литовская, 12 а/2</v>
      </c>
      <c r="K262" t="str">
        <f t="shared" si="59"/>
        <v>ДШ-1</v>
      </c>
      <c r="L262" t="str">
        <f>"24-AUG-16"</f>
        <v>24-AUG-16</v>
      </c>
      <c r="M262">
        <v>184479</v>
      </c>
      <c r="N262" t="str">
        <f>""</f>
        <v/>
      </c>
      <c r="O262" t="str">
        <f>"HSH-184479"</f>
        <v>HSH-184479</v>
      </c>
      <c r="P262" t="str">
        <f t="shared" si="62"/>
        <v>Нет</v>
      </c>
      <c r="Q262" t="str">
        <f t="shared" si="66"/>
        <v>КСК00000000000000027</v>
      </c>
      <c r="R262" t="str">
        <f>""</f>
        <v/>
      </c>
      <c r="S262" t="str">
        <f t="shared" si="63"/>
        <v>Основной</v>
      </c>
      <c r="T262" t="str">
        <f t="shared" si="64"/>
        <v>ГУТС</v>
      </c>
      <c r="U262" t="str">
        <f>""</f>
        <v/>
      </c>
      <c r="V262" t="str">
        <f t="shared" si="65"/>
        <v>Нет</v>
      </c>
      <c r="W262">
        <v>51.703527080000001</v>
      </c>
      <c r="X262">
        <v>36.170405930000001</v>
      </c>
      <c r="Y262" t="str">
        <f>"20000004568599"</f>
        <v>20000004568599</v>
      </c>
    </row>
    <row r="263" spans="1:25" x14ac:dyDescent="0.25">
      <c r="A263">
        <v>907</v>
      </c>
      <c r="B263" t="str">
        <f t="shared" si="61"/>
        <v>Курск</v>
      </c>
      <c r="C263">
        <v>516066</v>
      </c>
      <c r="D263" t="str">
        <f>"ОК 1.1.1-66 ППК 1.1.1 Курск, Сосновская, 1 /3а п. 1"</f>
        <v>ОК 1.1.1-66 ППК 1.1.1 Курск, Сосновская, 1 /3а п. 1</v>
      </c>
      <c r="E263" t="str">
        <f t="shared" si="60"/>
        <v>КРС-8/16-SC</v>
      </c>
      <c r="F263" t="str">
        <f>"29.09.2016"</f>
        <v>29.09.2016</v>
      </c>
      <c r="G263" t="str">
        <f>""</f>
        <v/>
      </c>
      <c r="H263" t="str">
        <f>"ОК 1.1.1-66 ППК 1.1.1"</f>
        <v>ОК 1.1.1-66 ППК 1.1.1</v>
      </c>
      <c r="I263" t="str">
        <f>"ДШ (под. 1, ОУ№ 1.1.1-60)"</f>
        <v>ДШ (под. 1, ОУ№ 1.1.1-60)</v>
      </c>
      <c r="J263" t="str">
        <f>"Курск, Сосновская, 1 /3а"</f>
        <v>Курск, Сосновская, 1 /3а</v>
      </c>
      <c r="K263" t="str">
        <f t="shared" si="59"/>
        <v>ДШ-1</v>
      </c>
      <c r="L263" t="str">
        <f>"21-SEP-16"</f>
        <v>21-SEP-16</v>
      </c>
      <c r="M263">
        <v>184484</v>
      </c>
      <c r="N263" t="str">
        <f>""</f>
        <v/>
      </c>
      <c r="O263" t="str">
        <f>"HSH-184484"</f>
        <v>HSH-184484</v>
      </c>
      <c r="P263" t="str">
        <f t="shared" si="62"/>
        <v>Нет</v>
      </c>
      <c r="Q263" t="str">
        <f t="shared" si="66"/>
        <v>КСК00000000000000027</v>
      </c>
      <c r="R263" t="str">
        <f>""</f>
        <v/>
      </c>
      <c r="S263" t="str">
        <f t="shared" si="63"/>
        <v>Основной</v>
      </c>
      <c r="T263" t="str">
        <f t="shared" si="64"/>
        <v>ГУТС</v>
      </c>
      <c r="U263" t="str">
        <f>""</f>
        <v/>
      </c>
      <c r="V263" t="str">
        <f t="shared" si="65"/>
        <v>Нет</v>
      </c>
      <c r="W263">
        <v>51.728323799999998</v>
      </c>
      <c r="X263">
        <v>36.186061979999998</v>
      </c>
      <c r="Y263" t="str">
        <f>"20000004568600"</f>
        <v>20000004568600</v>
      </c>
    </row>
    <row r="264" spans="1:25" x14ac:dyDescent="0.25">
      <c r="A264">
        <v>907</v>
      </c>
      <c r="B264" t="str">
        <f t="shared" si="61"/>
        <v>Курск</v>
      </c>
      <c r="C264">
        <v>517066</v>
      </c>
      <c r="D264" t="str">
        <f>"ОК 1.1.1-64 ППК 1.1.1 Курск, Гайдара, 25 /1 п. 1"</f>
        <v>ОК 1.1.1-64 ППК 1.1.1 Курск, Гайдара, 25 /1 п. 1</v>
      </c>
      <c r="E264" t="str">
        <f>"КРС-24-SC"</f>
        <v>КРС-24-SC</v>
      </c>
      <c r="F264" t="str">
        <f>"02.11.2016"</f>
        <v>02.11.2016</v>
      </c>
      <c r="G264" t="str">
        <f>""</f>
        <v/>
      </c>
      <c r="H264" t="str">
        <f>"ОК 1.1.1-64 ППК 1.1.1"</f>
        <v>ОК 1.1.1-64 ППК 1.1.1</v>
      </c>
      <c r="I264" t="str">
        <f>"ДШ (под. 1, ОУ№ 1.1.1-63)"</f>
        <v>ДШ (под. 1, ОУ№ 1.1.1-63)</v>
      </c>
      <c r="J264" t="str">
        <f>"Курск, Гайдара, 25 /1"</f>
        <v>Курск, Гайдара, 25 /1</v>
      </c>
      <c r="K264" t="str">
        <f t="shared" si="59"/>
        <v>ДШ-1</v>
      </c>
      <c r="L264" t="str">
        <f>"18-OCT-16"</f>
        <v>18-OCT-16</v>
      </c>
      <c r="M264">
        <v>185266</v>
      </c>
      <c r="N264" t="str">
        <f>""</f>
        <v/>
      </c>
      <c r="O264" t="str">
        <f>"HSH-185266"</f>
        <v>HSH-185266</v>
      </c>
      <c r="P264" t="str">
        <f t="shared" si="62"/>
        <v>Нет</v>
      </c>
      <c r="Q264" t="str">
        <f t="shared" si="66"/>
        <v>КСК00000000000000027</v>
      </c>
      <c r="R264" t="str">
        <f>""</f>
        <v/>
      </c>
      <c r="S264" t="str">
        <f t="shared" si="63"/>
        <v>Основной</v>
      </c>
      <c r="T264" t="str">
        <f t="shared" si="64"/>
        <v>ГУТС</v>
      </c>
      <c r="U264" t="str">
        <f>""</f>
        <v/>
      </c>
      <c r="V264" t="str">
        <f t="shared" si="65"/>
        <v>Нет</v>
      </c>
      <c r="W264">
        <v>51.721334429999999</v>
      </c>
      <c r="X264">
        <v>36.185705660000004</v>
      </c>
      <c r="Y264" t="str">
        <f>"20000004568631"</f>
        <v>20000004568631</v>
      </c>
    </row>
    <row r="265" spans="1:25" x14ac:dyDescent="0.25">
      <c r="A265">
        <v>907</v>
      </c>
      <c r="B265" t="str">
        <f t="shared" si="61"/>
        <v>Курск</v>
      </c>
      <c r="C265">
        <v>517466</v>
      </c>
      <c r="D265" t="str">
        <f>"ОК 1.1.1-65 ППК 1.1.1 Курск, Кожевенная 1-Я, 31  п. 2"</f>
        <v>ОК 1.1.1-65 ППК 1.1.1 Курск, Кожевенная 1-Я, 31  п. 2</v>
      </c>
      <c r="E265" t="str">
        <f>"КРС-24-SC"</f>
        <v>КРС-24-SC</v>
      </c>
      <c r="F265" t="str">
        <f>"31.05.2020"</f>
        <v>31.05.2020</v>
      </c>
      <c r="G265" t="str">
        <f>""</f>
        <v/>
      </c>
      <c r="H265" t="str">
        <f>"ОК 1.1.1-65 ППК 1.1.1"</f>
        <v>ОК 1.1.1-65 ППК 1.1.1</v>
      </c>
      <c r="I265" t="str">
        <f>"ДШ (под. 2, ОУ№ 1.1.1-43А)"</f>
        <v>ДШ (под. 2, ОУ№ 1.1.1-43А)</v>
      </c>
      <c r="J265" t="str">
        <f>"Курск, Кожевенная 1-Я, 31"</f>
        <v>Курск, Кожевенная 1-Я, 31</v>
      </c>
      <c r="K265" t="str">
        <f t="shared" si="59"/>
        <v>ДШ-1</v>
      </c>
      <c r="L265" t="str">
        <f>"20-OCT-16"</f>
        <v>20-OCT-16</v>
      </c>
      <c r="M265">
        <v>221735</v>
      </c>
      <c r="N265" t="str">
        <f>""</f>
        <v/>
      </c>
      <c r="O265" t="str">
        <f>"HSH-221735"</f>
        <v>HSH-221735</v>
      </c>
      <c r="P265" t="str">
        <f t="shared" si="62"/>
        <v>Нет</v>
      </c>
      <c r="Q265" t="str">
        <f t="shared" si="66"/>
        <v>КСК00000000000000027</v>
      </c>
      <c r="R265" t="str">
        <f>""</f>
        <v/>
      </c>
      <c r="S265" t="str">
        <f>""</f>
        <v/>
      </c>
      <c r="T265" t="str">
        <f t="shared" si="64"/>
        <v>ГУТС</v>
      </c>
      <c r="U265" t="str">
        <f>""</f>
        <v/>
      </c>
      <c r="V265" t="str">
        <f t="shared" si="65"/>
        <v>Нет</v>
      </c>
      <c r="W265">
        <v>51.719149389999998</v>
      </c>
      <c r="X265">
        <v>36.187282260000003</v>
      </c>
      <c r="Y265" t="str">
        <f>"20000004568650"</f>
        <v>20000004568650</v>
      </c>
    </row>
    <row r="266" spans="1:25" x14ac:dyDescent="0.25">
      <c r="A266">
        <v>907</v>
      </c>
      <c r="B266" t="str">
        <f t="shared" si="61"/>
        <v>Курск</v>
      </c>
      <c r="C266">
        <v>517666</v>
      </c>
      <c r="D266" t="str">
        <f>"ОК 3.1.1-18 Курск, Радищева, 118  п. 1"</f>
        <v>ОК 3.1.1-18 Курск, Радищева, 118  п. 1</v>
      </c>
      <c r="E266" t="str">
        <f>"КРС-24-SC"</f>
        <v>КРС-24-SC</v>
      </c>
      <c r="F266" t="str">
        <f>"07.11.2016"</f>
        <v>07.11.2016</v>
      </c>
      <c r="G266" t="str">
        <f>""</f>
        <v/>
      </c>
      <c r="H266" t="str">
        <f>"ОК 3.1.1-18"</f>
        <v>ОК 3.1.1-18</v>
      </c>
      <c r="I266" t="str">
        <f>"ДШ (под. 1, ОУ№ 3.1.1-19)"</f>
        <v>ДШ (под. 1, ОУ№ 3.1.1-19)</v>
      </c>
      <c r="J266" t="str">
        <f>"Курск, Радищева, 118"</f>
        <v>Курск, Радищева, 118</v>
      </c>
      <c r="K266" t="str">
        <f t="shared" si="59"/>
        <v>ДШ-1</v>
      </c>
      <c r="L266" t="str">
        <f>"26-OCT-16"</f>
        <v>26-OCT-16</v>
      </c>
      <c r="M266">
        <v>185368</v>
      </c>
      <c r="N266" t="str">
        <f>""</f>
        <v/>
      </c>
      <c r="O266" t="str">
        <f>"HSH-185368"</f>
        <v>HSH-185368</v>
      </c>
      <c r="P266" t="str">
        <f t="shared" si="62"/>
        <v>Нет</v>
      </c>
      <c r="Q266" t="str">
        <f>"КСК00000000000000178"</f>
        <v>КСК00000000000000178</v>
      </c>
      <c r="R266" t="str">
        <f>""</f>
        <v/>
      </c>
      <c r="S266" t="str">
        <f t="shared" ref="S266:S297" si="67">"Основной"</f>
        <v>Основной</v>
      </c>
      <c r="T266" t="str">
        <f t="shared" si="64"/>
        <v>ГУТС</v>
      </c>
      <c r="U266" t="str">
        <f>""</f>
        <v/>
      </c>
      <c r="V266" t="str">
        <f t="shared" si="65"/>
        <v>Нет</v>
      </c>
      <c r="W266">
        <v>51.751062189999999</v>
      </c>
      <c r="X266">
        <v>36.189819630000002</v>
      </c>
      <c r="Y266" t="str">
        <f>"20000004568665"</f>
        <v>20000004568665</v>
      </c>
    </row>
    <row r="267" spans="1:25" x14ac:dyDescent="0.25">
      <c r="A267">
        <v>907</v>
      </c>
      <c r="B267" t="str">
        <f t="shared" si="61"/>
        <v>Курск</v>
      </c>
      <c r="C267">
        <v>517866</v>
      </c>
      <c r="D267" t="str">
        <f>"ОК 3.1.1-17 ППК 3.1.1 Курск, Карла Маркса, 53  п. 1"</f>
        <v>ОК 3.1.1-17 ППК 3.1.1 Курск, Карла Маркса, 53  п. 1</v>
      </c>
      <c r="E267" t="str">
        <f>"КРС-8/16-SC"</f>
        <v>КРС-8/16-SC</v>
      </c>
      <c r="F267" t="str">
        <f>"26.10.2016"</f>
        <v>26.10.2016</v>
      </c>
      <c r="G267" t="str">
        <f>""</f>
        <v/>
      </c>
      <c r="H267" t="str">
        <f>"ОК 3.1.1-17 ППК 3.1.1"</f>
        <v>ОК 3.1.1-17 ППК 3.1.1</v>
      </c>
      <c r="I267" t="str">
        <f>"ДШ (под. 1, ОУ№ 3.1.1-16)"</f>
        <v>ДШ (под. 1, ОУ№ 3.1.1-16)</v>
      </c>
      <c r="J267" t="str">
        <f>"Курск, Карла Маркса, 53"</f>
        <v>Курск, Карла Маркса, 53</v>
      </c>
      <c r="K267" t="str">
        <f t="shared" si="59"/>
        <v>ДШ-1</v>
      </c>
      <c r="L267" t="str">
        <f>"18-MAY-16"</f>
        <v>18-MAY-16</v>
      </c>
      <c r="M267">
        <v>184967</v>
      </c>
      <c r="N267" t="str">
        <f>""</f>
        <v/>
      </c>
      <c r="O267" t="str">
        <f>"HSH-184967"</f>
        <v>HSH-184967</v>
      </c>
      <c r="P267" t="str">
        <f t="shared" si="62"/>
        <v>Нет</v>
      </c>
      <c r="Q267" t="str">
        <f>"КСК00000000000000178"</f>
        <v>КСК00000000000000178</v>
      </c>
      <c r="R267" t="str">
        <f>""</f>
        <v/>
      </c>
      <c r="S267" t="str">
        <f t="shared" si="67"/>
        <v>Основной</v>
      </c>
      <c r="T267" t="str">
        <f t="shared" si="64"/>
        <v>ГУТС</v>
      </c>
      <c r="U267" t="str">
        <f>""</f>
        <v/>
      </c>
      <c r="V267" t="str">
        <f t="shared" si="65"/>
        <v>Нет</v>
      </c>
      <c r="W267">
        <v>51.756917270000002</v>
      </c>
      <c r="X267">
        <v>36.190144160000003</v>
      </c>
      <c r="Y267" t="str">
        <f>"20000004568673"</f>
        <v>20000004568673</v>
      </c>
    </row>
    <row r="268" spans="1:25" x14ac:dyDescent="0.25">
      <c r="A268">
        <v>907</v>
      </c>
      <c r="B268" t="str">
        <f t="shared" si="61"/>
        <v>Курск</v>
      </c>
      <c r="C268">
        <v>518083</v>
      </c>
      <c r="D268" t="str">
        <f>"ОК 3.1.7-2 ППК 3.1.7 Курск, Карла Маркса, 107  п. 1"</f>
        <v>ОК 3.1.7-2 ППК 3.1.7 Курск, Карла Маркса, 107  п. 1</v>
      </c>
      <c r="E268" t="str">
        <f>"КРС-8/16-SC"</f>
        <v>КРС-8/16-SC</v>
      </c>
      <c r="F268" t="str">
        <f>"27.10.2016"</f>
        <v>27.10.2016</v>
      </c>
      <c r="G268" t="str">
        <f>""</f>
        <v/>
      </c>
      <c r="H268" t="str">
        <f>"ОК 3.1.7-2 ППК 3.1.7"</f>
        <v>ОК 3.1.7-2 ППК 3.1.7</v>
      </c>
      <c r="I268" t="str">
        <f>"ДШ (под. 1, ОУ№ 3.1.7-2)"</f>
        <v>ДШ (под. 1, ОУ№ 3.1.7-2)</v>
      </c>
      <c r="J268" t="str">
        <f>"Курск, Карла Маркса, 107"</f>
        <v>Курск, Карла Маркса, 107</v>
      </c>
      <c r="K268" t="str">
        <f t="shared" si="59"/>
        <v>ДШ-1</v>
      </c>
      <c r="L268" t="str">
        <f>"21-JUL-16"</f>
        <v>21-JUL-16</v>
      </c>
      <c r="M268">
        <v>185020</v>
      </c>
      <c r="N268" t="str">
        <f>""</f>
        <v/>
      </c>
      <c r="O268" t="str">
        <f>"HSH-185020"</f>
        <v>HSH-185020</v>
      </c>
      <c r="P268" t="str">
        <f t="shared" si="62"/>
        <v>Нет</v>
      </c>
      <c r="Q268" t="str">
        <f>"КСК00000000000000339"</f>
        <v>КСК00000000000000339</v>
      </c>
      <c r="R268" t="str">
        <f>""</f>
        <v/>
      </c>
      <c r="S268" t="str">
        <f t="shared" si="67"/>
        <v>Основной</v>
      </c>
      <c r="T268" t="str">
        <f t="shared" si="64"/>
        <v>ГУТС</v>
      </c>
      <c r="U268" t="str">
        <f>""</f>
        <v/>
      </c>
      <c r="V268" t="str">
        <f t="shared" si="65"/>
        <v>Нет</v>
      </c>
      <c r="W268">
        <v>51.795774999999999</v>
      </c>
      <c r="X268">
        <v>36.161666666666697</v>
      </c>
      <c r="Y268" t="str">
        <f>"20000004568674"</f>
        <v>20000004568674</v>
      </c>
    </row>
    <row r="269" spans="1:25" x14ac:dyDescent="0.25">
      <c r="A269">
        <v>907</v>
      </c>
      <c r="B269" t="str">
        <f t="shared" si="61"/>
        <v>Курск</v>
      </c>
      <c r="C269">
        <v>519467</v>
      </c>
      <c r="D269" t="str">
        <f>"ОК 1.1.1-69 ППК 1.1.1 Курск, Малиновая, 3  п. 1"</f>
        <v>ОК 1.1.1-69 ППК 1.1.1 Курск, Малиновая, 3  п. 1</v>
      </c>
      <c r="E269" t="str">
        <f t="shared" ref="E269:E276" si="68">"КРС-24-SC"</f>
        <v>КРС-24-SC</v>
      </c>
      <c r="F269" t="str">
        <f>"21.11.2016"</f>
        <v>21.11.2016</v>
      </c>
      <c r="G269" t="str">
        <f>""</f>
        <v/>
      </c>
      <c r="H269" t="str">
        <f>"ОК 1.1.1-69 ППК 1.1.1"</f>
        <v>ОК 1.1.1-69 ППК 1.1.1</v>
      </c>
      <c r="I269" t="str">
        <f>"ДШ (под. 1, ОУ№ 1.1.1-65)"</f>
        <v>ДШ (под. 1, ОУ№ 1.1.1-65)</v>
      </c>
      <c r="J269" t="str">
        <f>"Курск, Малиновая, 3"</f>
        <v>Курск, Малиновая, 3</v>
      </c>
      <c r="K269" t="str">
        <f t="shared" si="59"/>
        <v>ДШ-1</v>
      </c>
      <c r="L269" t="str">
        <f>"15-NOV-16"</f>
        <v>15-NOV-16</v>
      </c>
      <c r="M269">
        <v>185721</v>
      </c>
      <c r="N269" t="str">
        <f>""</f>
        <v/>
      </c>
      <c r="O269" t="str">
        <f>"HSH-185721"</f>
        <v>HSH-185721</v>
      </c>
      <c r="P269" t="str">
        <f t="shared" si="62"/>
        <v>Нет</v>
      </c>
      <c r="Q269" t="str">
        <f>"КСК00000000000000027"</f>
        <v>КСК00000000000000027</v>
      </c>
      <c r="R269" t="str">
        <f>""</f>
        <v/>
      </c>
      <c r="S269" t="str">
        <f t="shared" si="67"/>
        <v>Основной</v>
      </c>
      <c r="T269" t="str">
        <f t="shared" si="64"/>
        <v>ГУТС</v>
      </c>
      <c r="U269" t="str">
        <f>""</f>
        <v/>
      </c>
      <c r="V269" t="str">
        <f t="shared" si="65"/>
        <v>Нет</v>
      </c>
      <c r="W269">
        <v>51.714629410000001</v>
      </c>
      <c r="X269">
        <v>36.185520580000002</v>
      </c>
      <c r="Y269" t="str">
        <f>"20000004568706"</f>
        <v>20000004568706</v>
      </c>
    </row>
    <row r="270" spans="1:25" x14ac:dyDescent="0.25">
      <c r="A270">
        <v>907</v>
      </c>
      <c r="B270" t="str">
        <f t="shared" si="61"/>
        <v>Курск</v>
      </c>
      <c r="C270">
        <v>519496</v>
      </c>
      <c r="D270" t="str">
        <f>"ОК 1.1.1-68 ППК 1.1.1 Курск, Литовская, 6  п. 1"</f>
        <v>ОК 1.1.1-68 ППК 1.1.1 Курск, Литовская, 6  п. 1</v>
      </c>
      <c r="E270" t="str">
        <f t="shared" si="68"/>
        <v>КРС-24-SC</v>
      </c>
      <c r="F270" t="str">
        <f>"02.12.2016"</f>
        <v>02.12.2016</v>
      </c>
      <c r="G270" t="str">
        <f>""</f>
        <v/>
      </c>
      <c r="H270" t="str">
        <f>"ОК 1.1.1-68 ППК 1.1.1"</f>
        <v>ОК 1.1.1-68 ППК 1.1.1</v>
      </c>
      <c r="I270" t="str">
        <f>"ДШ (под. 1, ОУ№ 1.1.1-66)"</f>
        <v>ДШ (под. 1, ОУ№ 1.1.1-66)</v>
      </c>
      <c r="J270" t="str">
        <f>"Курск, Литовская, 6"</f>
        <v>Курск, Литовская, 6</v>
      </c>
      <c r="K270" t="str">
        <f t="shared" si="59"/>
        <v>ДШ-1</v>
      </c>
      <c r="L270" t="str">
        <f>"17-NOV-16"</f>
        <v>17-NOV-16</v>
      </c>
      <c r="M270">
        <v>186066</v>
      </c>
      <c r="N270" t="str">
        <f>""</f>
        <v/>
      </c>
      <c r="O270" t="str">
        <f>"HSH-186066"</f>
        <v>HSH-186066</v>
      </c>
      <c r="P270" t="str">
        <f t="shared" si="62"/>
        <v>Нет</v>
      </c>
      <c r="Q270" t="str">
        <f>"КСК00000000000000027"</f>
        <v>КСК00000000000000027</v>
      </c>
      <c r="R270" t="str">
        <f>""</f>
        <v/>
      </c>
      <c r="S270" t="str">
        <f t="shared" si="67"/>
        <v>Основной</v>
      </c>
      <c r="T270" t="str">
        <f t="shared" si="64"/>
        <v>ГУТС</v>
      </c>
      <c r="U270" t="str">
        <f>""</f>
        <v/>
      </c>
      <c r="V270" t="str">
        <f t="shared" si="65"/>
        <v>Нет</v>
      </c>
      <c r="W270">
        <v>51.706796480000001</v>
      </c>
      <c r="X270">
        <v>36.177908479999999</v>
      </c>
      <c r="Y270" t="str">
        <f>"20000004568711"</f>
        <v>20000004568711</v>
      </c>
    </row>
    <row r="271" spans="1:25" x14ac:dyDescent="0.25">
      <c r="A271">
        <v>907</v>
      </c>
      <c r="B271" t="str">
        <f t="shared" si="61"/>
        <v>Курск</v>
      </c>
      <c r="C271">
        <v>519670</v>
      </c>
      <c r="D271" t="str">
        <f>"ОК 1.1.1-67 Курск, Гайдара, 34  п. 1"</f>
        <v>ОК 1.1.1-67 Курск, Гайдара, 34  п. 1</v>
      </c>
      <c r="E271" t="str">
        <f t="shared" si="68"/>
        <v>КРС-24-SC</v>
      </c>
      <c r="F271" t="str">
        <f>"24.11.2016"</f>
        <v>24.11.2016</v>
      </c>
      <c r="G271" t="str">
        <f>""</f>
        <v/>
      </c>
      <c r="H271" t="str">
        <f>"ОК 1.1.1-67"</f>
        <v>ОК 1.1.1-67</v>
      </c>
      <c r="I271" t="str">
        <f>"ДШ (под. 1, ОУ№ 1.1.1-67)"</f>
        <v>ДШ (под. 1, ОУ№ 1.1.1-67)</v>
      </c>
      <c r="J271" t="str">
        <f>"Курск, Гайдара, 34"</f>
        <v>Курск, Гайдара, 34</v>
      </c>
      <c r="K271" t="str">
        <f t="shared" si="59"/>
        <v>ДШ-1</v>
      </c>
      <c r="L271" t="str">
        <f>"23-NOV-16"</f>
        <v>23-NOV-16</v>
      </c>
      <c r="M271">
        <v>185820</v>
      </c>
      <c r="N271" t="str">
        <f>""</f>
        <v/>
      </c>
      <c r="O271" t="str">
        <f>"HSH-185820"</f>
        <v>HSH-185820</v>
      </c>
      <c r="P271" t="str">
        <f t="shared" si="62"/>
        <v>Нет</v>
      </c>
      <c r="Q271" t="str">
        <f>"КСК00000000000000027"</f>
        <v>КСК00000000000000027</v>
      </c>
      <c r="R271" t="str">
        <f>""</f>
        <v/>
      </c>
      <c r="S271" t="str">
        <f t="shared" si="67"/>
        <v>Основной</v>
      </c>
      <c r="T271" t="str">
        <f t="shared" si="64"/>
        <v>ГУТС</v>
      </c>
      <c r="U271" t="str">
        <f>""</f>
        <v/>
      </c>
      <c r="V271" t="str">
        <f t="shared" si="65"/>
        <v>Нет</v>
      </c>
      <c r="W271">
        <v>51.720091539999999</v>
      </c>
      <c r="X271">
        <v>36.187218420000001</v>
      </c>
      <c r="Y271" t="str">
        <f>"20000004568722"</f>
        <v>20000004568722</v>
      </c>
    </row>
    <row r="272" spans="1:25" x14ac:dyDescent="0.25">
      <c r="A272">
        <v>907</v>
      </c>
      <c r="B272" t="str">
        <f t="shared" si="61"/>
        <v>Курск</v>
      </c>
      <c r="C272">
        <v>519730</v>
      </c>
      <c r="D272" t="str">
        <f>"ОК 2.6.2-2 ППК 2.6.2 Курск, Запольная, 56  п. 1"</f>
        <v>ОК 2.6.2-2 ППК 2.6.2 Курск, Запольная, 56  п. 1</v>
      </c>
      <c r="E272" t="str">
        <f t="shared" si="68"/>
        <v>КРС-24-SC</v>
      </c>
      <c r="F272" t="str">
        <f>"29.11.2016"</f>
        <v>29.11.2016</v>
      </c>
      <c r="G272" t="str">
        <f>""</f>
        <v/>
      </c>
      <c r="H272" t="str">
        <f>"ОК 2.6.2-2 ППК 2.6.2"</f>
        <v>ОК 2.6.2-2 ППК 2.6.2</v>
      </c>
      <c r="I272" t="str">
        <f>"ДШ (под. 1, ОУ№ 2.6.2-1)"</f>
        <v>ДШ (под. 1, ОУ№ 2.6.2-1)</v>
      </c>
      <c r="J272" t="str">
        <f>"Курск, Запольная, 56"</f>
        <v>Курск, Запольная, 56</v>
      </c>
      <c r="K272" t="str">
        <f t="shared" si="59"/>
        <v>ДШ-1</v>
      </c>
      <c r="L272" t="str">
        <f>"24-NOV-16"</f>
        <v>24-NOV-16</v>
      </c>
      <c r="M272">
        <v>185973</v>
      </c>
      <c r="N272" t="str">
        <f>""</f>
        <v/>
      </c>
      <c r="O272" t="str">
        <f>"HSH-185973"</f>
        <v>HSH-185973</v>
      </c>
      <c r="P272" t="str">
        <f t="shared" si="62"/>
        <v>Нет</v>
      </c>
      <c r="Q272" t="str">
        <f>"КСК00000000000000359"</f>
        <v>КСК00000000000000359</v>
      </c>
      <c r="R272" t="str">
        <f>""</f>
        <v/>
      </c>
      <c r="S272" t="str">
        <f t="shared" si="67"/>
        <v>Основной</v>
      </c>
      <c r="T272" t="str">
        <f t="shared" si="64"/>
        <v>ГУТС</v>
      </c>
      <c r="U272" t="str">
        <f>""</f>
        <v/>
      </c>
      <c r="V272" t="str">
        <f t="shared" si="65"/>
        <v>Нет</v>
      </c>
      <c r="W272">
        <v>51.742268150000001</v>
      </c>
      <c r="X272">
        <v>36.151837669999999</v>
      </c>
      <c r="Y272" t="str">
        <f>"20000004568729"</f>
        <v>20000004568729</v>
      </c>
    </row>
    <row r="273" spans="1:25" x14ac:dyDescent="0.25">
      <c r="A273">
        <v>907</v>
      </c>
      <c r="B273" t="str">
        <f t="shared" si="61"/>
        <v>Курск</v>
      </c>
      <c r="C273">
        <v>519867</v>
      </c>
      <c r="D273" t="str">
        <f>"ОК 1.1.1-46-1 ППК 1.1.1 Курск, Литовская, 10 а п. 1"</f>
        <v>ОК 1.1.1-46-1 ППК 1.1.1 Курск, Литовская, 10 а п. 1</v>
      </c>
      <c r="E273" t="str">
        <f t="shared" si="68"/>
        <v>КРС-24-SC</v>
      </c>
      <c r="F273" t="str">
        <f>"21.08.2017"</f>
        <v>21.08.2017</v>
      </c>
      <c r="G273" t="str">
        <f>""</f>
        <v/>
      </c>
      <c r="H273" t="str">
        <f>"ОК 1.1.1-46-1 ППК 1.1.1"</f>
        <v>ОК 1.1.1-46-1 ППК 1.1.1</v>
      </c>
      <c r="I273" t="str">
        <f>"ДШ (под. 1, ОУ№ 1.1.1-46)"</f>
        <v>ДШ (под. 1, ОУ№ 1.1.1-46)</v>
      </c>
      <c r="J273" t="str">
        <f>"Курск, Литовская, 10 а"</f>
        <v>Курск, Литовская, 10 а</v>
      </c>
      <c r="K273" t="str">
        <f t="shared" si="59"/>
        <v>ДШ-1</v>
      </c>
      <c r="L273" t="str">
        <f>"29-NOV-16"</f>
        <v>29-NOV-16</v>
      </c>
      <c r="M273">
        <v>191879</v>
      </c>
      <c r="N273" t="str">
        <f>""</f>
        <v/>
      </c>
      <c r="O273" t="str">
        <f>"HSH-191879"</f>
        <v>HSH-191879</v>
      </c>
      <c r="P273" t="str">
        <f t="shared" si="62"/>
        <v>Нет</v>
      </c>
      <c r="Q273" t="str">
        <f>"КСК00000000000000027"</f>
        <v>КСК00000000000000027</v>
      </c>
      <c r="R273" t="str">
        <f>""</f>
        <v/>
      </c>
      <c r="S273" t="str">
        <f t="shared" si="67"/>
        <v>Основной</v>
      </c>
      <c r="T273" t="str">
        <f t="shared" si="64"/>
        <v>ГУТС</v>
      </c>
      <c r="U273" t="str">
        <f>""</f>
        <v/>
      </c>
      <c r="V273" t="str">
        <f t="shared" si="65"/>
        <v>Нет</v>
      </c>
      <c r="W273">
        <v>51.704533679999997</v>
      </c>
      <c r="X273">
        <v>36.174390420000002</v>
      </c>
      <c r="Y273" t="str">
        <f>"20000004568749"</f>
        <v>20000004568749</v>
      </c>
    </row>
    <row r="274" spans="1:25" x14ac:dyDescent="0.25">
      <c r="A274">
        <v>907</v>
      </c>
      <c r="B274" t="str">
        <f t="shared" si="61"/>
        <v>Курск</v>
      </c>
      <c r="C274">
        <v>520071</v>
      </c>
      <c r="D274" t="str">
        <f>"ОК 1.4.8-4 ППК 1.4.8 Курск, Сумская, 45 д п. 1"</f>
        <v>ОК 1.4.8-4 ППК 1.4.8 Курск, Сумская, 45 д п. 1</v>
      </c>
      <c r="E274" t="str">
        <f t="shared" si="68"/>
        <v>КРС-24-SC</v>
      </c>
      <c r="F274" t="str">
        <f>"02.12.2016"</f>
        <v>02.12.2016</v>
      </c>
      <c r="G274" t="str">
        <f>"Ортопедическая продукция"</f>
        <v>Ортопедическая продукция</v>
      </c>
      <c r="H274" t="str">
        <f>"ОК 1.4.8-4 ППК 1.4.8"</f>
        <v>ОК 1.4.8-4 ППК 1.4.8</v>
      </c>
      <c r="I274" t="str">
        <f>"ДШ (под. 1, ОУ№ 1.4.8-3)"</f>
        <v>ДШ (под. 1, ОУ№ 1.4.8-3)</v>
      </c>
      <c r="J274" t="str">
        <f>"Курск, Сумская, 45 д"</f>
        <v>Курск, Сумская, 45 д</v>
      </c>
      <c r="K274" t="str">
        <f t="shared" si="59"/>
        <v>ДШ-1</v>
      </c>
      <c r="L274" t="str">
        <f>"23-NOV-16"</f>
        <v>23-NOV-16</v>
      </c>
      <c r="M274">
        <v>186076</v>
      </c>
      <c r="N274" t="str">
        <f>""</f>
        <v/>
      </c>
      <c r="O274" t="str">
        <f>"HSH-186076"</f>
        <v>HSH-186076</v>
      </c>
      <c r="P274" t="str">
        <f t="shared" si="62"/>
        <v>Нет</v>
      </c>
      <c r="Q274" t="str">
        <f>"КСК00000000000000092"</f>
        <v>КСК00000000000000092</v>
      </c>
      <c r="R274" t="str">
        <f>""</f>
        <v/>
      </c>
      <c r="S274" t="str">
        <f t="shared" si="67"/>
        <v>Основной</v>
      </c>
      <c r="T274" t="str">
        <f t="shared" si="64"/>
        <v>ГУТС</v>
      </c>
      <c r="U274" t="str">
        <f>""</f>
        <v/>
      </c>
      <c r="V274" t="str">
        <f t="shared" si="65"/>
        <v>Нет</v>
      </c>
      <c r="W274">
        <v>51.71432695</v>
      </c>
      <c r="X274">
        <v>36.144112640000003</v>
      </c>
      <c r="Y274" t="str">
        <f>"20000004568783"</f>
        <v>20000004568783</v>
      </c>
    </row>
    <row r="275" spans="1:25" x14ac:dyDescent="0.25">
      <c r="A275">
        <v>907</v>
      </c>
      <c r="B275" t="str">
        <f t="shared" si="61"/>
        <v>Курск</v>
      </c>
      <c r="C275">
        <v>520469</v>
      </c>
      <c r="D275" t="str">
        <f>"ОК 1.2.3-5 ППК 1.2.3 Курск, Шоссейный 2-Й Пер, 21 б п. 1"</f>
        <v>ОК 1.2.3-5 ППК 1.2.3 Курск, Шоссейный 2-Й Пер, 21 б п. 1</v>
      </c>
      <c r="E275" t="str">
        <f t="shared" si="68"/>
        <v>КРС-24-SC</v>
      </c>
      <c r="F275" t="str">
        <f>"28.12.2016"</f>
        <v>28.12.2016</v>
      </c>
      <c r="G275" t="str">
        <f>""</f>
        <v/>
      </c>
      <c r="H275" t="str">
        <f>"ОК 1.2.3-5 ППК 1.2.3"</f>
        <v>ОК 1.2.3-5 ППК 1.2.3</v>
      </c>
      <c r="I275" t="str">
        <f>"ДШ (под. 1, ОУ№ ОУ 1.2.3-5)"</f>
        <v>ДШ (под. 1, ОУ№ ОУ 1.2.3-5)</v>
      </c>
      <c r="J275" t="str">
        <f>"Курск, Шоссейный 2-Й Пер, 21 б"</f>
        <v>Курск, Шоссейный 2-Й Пер, 21 б</v>
      </c>
      <c r="K275" t="str">
        <f t="shared" si="59"/>
        <v>ДШ-1</v>
      </c>
      <c r="L275" t="str">
        <f>"28-DEC-16"</f>
        <v>28-DEC-16</v>
      </c>
      <c r="M275">
        <v>186922</v>
      </c>
      <c r="N275" t="str">
        <f>""</f>
        <v/>
      </c>
      <c r="O275" t="str">
        <f>"HSH-186922"</f>
        <v>HSH-186922</v>
      </c>
      <c r="P275" t="str">
        <f t="shared" si="62"/>
        <v>Нет</v>
      </c>
      <c r="Q275" t="str">
        <f>"КСК00000000000000089"</f>
        <v>КСК00000000000000089</v>
      </c>
      <c r="R275" t="str">
        <f>""</f>
        <v/>
      </c>
      <c r="S275" t="str">
        <f t="shared" si="67"/>
        <v>Основной</v>
      </c>
      <c r="T275" t="str">
        <f t="shared" si="64"/>
        <v>ГУТС</v>
      </c>
      <c r="U275" t="str">
        <f>""</f>
        <v/>
      </c>
      <c r="V275" t="str">
        <f t="shared" si="65"/>
        <v>Нет</v>
      </c>
      <c r="W275">
        <v>51.70154385</v>
      </c>
      <c r="X275">
        <v>36.178046610000003</v>
      </c>
      <c r="Y275" t="str">
        <f>"20000004568798"</f>
        <v>20000004568798</v>
      </c>
    </row>
    <row r="276" spans="1:25" x14ac:dyDescent="0.25">
      <c r="A276">
        <v>907</v>
      </c>
      <c r="B276" t="str">
        <f t="shared" si="61"/>
        <v>Курск</v>
      </c>
      <c r="C276">
        <v>520498</v>
      </c>
      <c r="D276" t="str">
        <f>"ОК 1.2.3-4 ППК 1.2.3 Курск, Шоссейный 2-Й Пер, 21  п. 1"</f>
        <v>ОК 1.2.3-4 ППК 1.2.3 Курск, Шоссейный 2-Й Пер, 21  п. 1</v>
      </c>
      <c r="E276" t="str">
        <f t="shared" si="68"/>
        <v>КРС-24-SC</v>
      </c>
      <c r="F276" t="str">
        <f>"12.01.2017"</f>
        <v>12.01.2017</v>
      </c>
      <c r="G276" t="str">
        <f>""</f>
        <v/>
      </c>
      <c r="H276" t="str">
        <f>"ОК 1.2.3-4 ППК 1.2.3"</f>
        <v>ОК 1.2.3-4 ППК 1.2.3</v>
      </c>
      <c r="I276" t="str">
        <f>"ДШ (под. 1, ОУ№ 1.2.3-4)"</f>
        <v>ДШ (под. 1, ОУ№ 1.2.3-4)</v>
      </c>
      <c r="J276" t="str">
        <f>"Курск, Шоссейный 2-Й Пер, 21"</f>
        <v>Курск, Шоссейный 2-Й Пер, 21</v>
      </c>
      <c r="K276" t="str">
        <f t="shared" si="59"/>
        <v>ДШ-1</v>
      </c>
      <c r="L276" t="str">
        <f>"28-DEC-16"</f>
        <v>28-DEC-16</v>
      </c>
      <c r="M276">
        <v>187235</v>
      </c>
      <c r="N276" t="str">
        <f>""</f>
        <v/>
      </c>
      <c r="O276" t="str">
        <f>"HSH-187235"</f>
        <v>HSH-187235</v>
      </c>
      <c r="P276" t="str">
        <f t="shared" si="62"/>
        <v>Нет</v>
      </c>
      <c r="Q276" t="str">
        <f>"КСК00000000000000089"</f>
        <v>КСК00000000000000089</v>
      </c>
      <c r="R276" t="str">
        <f>""</f>
        <v/>
      </c>
      <c r="S276" t="str">
        <f t="shared" si="67"/>
        <v>Основной</v>
      </c>
      <c r="T276" t="str">
        <f t="shared" si="64"/>
        <v>ГУТС</v>
      </c>
      <c r="U276" t="str">
        <f>""</f>
        <v/>
      </c>
      <c r="V276" t="str">
        <f t="shared" si="65"/>
        <v>Нет</v>
      </c>
      <c r="W276">
        <v>51.700292939999997</v>
      </c>
      <c r="X276">
        <v>36.177343870000001</v>
      </c>
      <c r="Y276" t="str">
        <f>"20000004568797"</f>
        <v>20000004568797</v>
      </c>
    </row>
    <row r="277" spans="1:25" x14ac:dyDescent="0.25">
      <c r="A277">
        <v>907</v>
      </c>
      <c r="B277" t="str">
        <f t="shared" si="61"/>
        <v>Курск</v>
      </c>
      <c r="C277">
        <v>520866</v>
      </c>
      <c r="D277" t="str">
        <f>"ОК 1.1.1-70 ППК 1.1.1 Курск, Литовский 2-Й Пер, 4  п. 1"</f>
        <v>ОК 1.1.1-70 ППК 1.1.1 Курск, Литовский 2-Й Пер, 4  п. 1</v>
      </c>
      <c r="E277" t="str">
        <f>"КРН-24-SC"</f>
        <v>КРН-24-SC</v>
      </c>
      <c r="F277" t="str">
        <f>"29.11.2017"</f>
        <v>29.11.2017</v>
      </c>
      <c r="G277" t="str">
        <f>""</f>
        <v/>
      </c>
      <c r="H277" t="str">
        <f>"ОК 1.1.1-70 ППК 1.1.1"</f>
        <v>ОК 1.1.1-70 ППК 1.1.1</v>
      </c>
      <c r="I277" t="str">
        <f>"ДШ (под. 1, ОУ№ 1.1.1-84)"</f>
        <v>ДШ (под. 1, ОУ№ 1.1.1-84)</v>
      </c>
      <c r="J277" t="str">
        <f>"Курск, Литовский 2-Й Пер, 4"</f>
        <v>Курск, Литовский 2-Й Пер, 4</v>
      </c>
      <c r="K277" t="str">
        <f t="shared" si="59"/>
        <v>ДШ-1</v>
      </c>
      <c r="L277" t="str">
        <f>"29-NOV-16"</f>
        <v>29-NOV-16</v>
      </c>
      <c r="M277">
        <v>194393</v>
      </c>
      <c r="N277" t="str">
        <f>""</f>
        <v/>
      </c>
      <c r="O277" t="str">
        <f>"HSH-194393"</f>
        <v>HSH-194393</v>
      </c>
      <c r="P277" t="str">
        <f t="shared" si="62"/>
        <v>Нет</v>
      </c>
      <c r="Q277" t="str">
        <f>"КСК00000000000000027"</f>
        <v>КСК00000000000000027</v>
      </c>
      <c r="R277" t="str">
        <f>""</f>
        <v/>
      </c>
      <c r="S277" t="str">
        <f t="shared" si="67"/>
        <v>Основной</v>
      </c>
      <c r="T277" t="str">
        <f t="shared" si="64"/>
        <v>ГУТС</v>
      </c>
      <c r="U277" t="str">
        <f>""</f>
        <v/>
      </c>
      <c r="V277" t="str">
        <f t="shared" si="65"/>
        <v>Нет</v>
      </c>
      <c r="W277">
        <v>51.703307529999996</v>
      </c>
      <c r="X277">
        <v>36.173576709999999</v>
      </c>
      <c r="Y277" t="str">
        <f>"20000004568805"</f>
        <v>20000004568805</v>
      </c>
    </row>
    <row r="278" spans="1:25" x14ac:dyDescent="0.25">
      <c r="A278">
        <v>907</v>
      </c>
      <c r="B278" t="str">
        <f t="shared" si="61"/>
        <v>Курск</v>
      </c>
      <c r="C278">
        <v>521095</v>
      </c>
      <c r="D278" t="str">
        <f>"ОК 1.2 ППК 1.1.3 Курск, Дзержинского, 65 /2 п. 4"</f>
        <v>ОК 1.2 ППК 1.1.3 Курск, Дзержинского, 65 /2 п. 4</v>
      </c>
      <c r="E278" t="str">
        <f t="shared" ref="E278:E283" si="69">"КРС-24-SC"</f>
        <v>КРС-24-SC</v>
      </c>
      <c r="F278" t="str">
        <f>"21.12.2016"</f>
        <v>21.12.2016</v>
      </c>
      <c r="G278" t="str">
        <f>"Лейфман Евгений Михайлович"</f>
        <v>Лейфман Евгений Михайлович</v>
      </c>
      <c r="H278" t="str">
        <f>"ОК 1.2 ППК 1.1.3"</f>
        <v>ОК 1.2 ППК 1.1.3</v>
      </c>
      <c r="I278" t="str">
        <f>"ДШ (под. 4, ОУ№ 1)"</f>
        <v>ДШ (под. 4, ОУ№ 1)</v>
      </c>
      <c r="J278" t="str">
        <f>"Курск, Дзержинского, 65 /2"</f>
        <v>Курск, Дзержинского, 65 /2</v>
      </c>
      <c r="K278" t="str">
        <f t="shared" si="59"/>
        <v>ДШ-1</v>
      </c>
      <c r="L278" t="str">
        <f>"21-DEC-16"</f>
        <v>21-DEC-16</v>
      </c>
      <c r="M278">
        <v>186684</v>
      </c>
      <c r="N278" t="str">
        <f>""</f>
        <v/>
      </c>
      <c r="O278" t="str">
        <f>"HSH-186684"</f>
        <v>HSH-186684</v>
      </c>
      <c r="P278" t="str">
        <f t="shared" si="62"/>
        <v>Нет</v>
      </c>
      <c r="Q278" t="str">
        <f>"КСК00000000000000029"</f>
        <v>КСК00000000000000029</v>
      </c>
      <c r="R278" t="str">
        <f>""</f>
        <v/>
      </c>
      <c r="S278" t="str">
        <f t="shared" si="67"/>
        <v>Основной</v>
      </c>
      <c r="T278" t="str">
        <f t="shared" si="64"/>
        <v>ГУТС</v>
      </c>
      <c r="U278" t="str">
        <f>""</f>
        <v/>
      </c>
      <c r="V278" t="str">
        <f t="shared" si="65"/>
        <v>Нет</v>
      </c>
      <c r="W278">
        <v>51.723624219999998</v>
      </c>
      <c r="X278">
        <v>36.173795310000003</v>
      </c>
      <c r="Y278" t="str">
        <f>"20000004568851"</f>
        <v>20000004568851</v>
      </c>
    </row>
    <row r="279" spans="1:25" x14ac:dyDescent="0.25">
      <c r="A279">
        <v>907</v>
      </c>
      <c r="B279" t="str">
        <f t="shared" si="61"/>
        <v>Курск</v>
      </c>
      <c r="C279">
        <v>521153</v>
      </c>
      <c r="D279" t="str">
        <f>"ОК 1.1.1-72 ППК 1.1.1 Курск, Софьи Перовской, 24  п. 1"</f>
        <v>ОК 1.1.1-72 ППК 1.1.1 Курск, Софьи Перовской, 24  п. 1</v>
      </c>
      <c r="E279" t="str">
        <f t="shared" si="69"/>
        <v>КРС-24-SC</v>
      </c>
      <c r="F279" t="str">
        <f>"22.12.2016"</f>
        <v>22.12.2016</v>
      </c>
      <c r="G279" t="str">
        <f>"ОБПОУ Курский техникум связи"</f>
        <v>ОБПОУ Курский техникум связи</v>
      </c>
      <c r="H279" t="str">
        <f>"ОК 1.1.1-72 ППК 1.1.1"</f>
        <v>ОК 1.1.1-72 ППК 1.1.1</v>
      </c>
      <c r="I279" t="str">
        <f>"ДШ (под. 1, ОУ№ 1.1.1-71)"</f>
        <v>ДШ (под. 1, ОУ№ 1.1.1-71)</v>
      </c>
      <c r="J279" t="str">
        <f>"Курск, Софьи Перовской, 24"</f>
        <v>Курск, Софьи Перовской, 24</v>
      </c>
      <c r="K279" t="str">
        <f t="shared" si="59"/>
        <v>ДШ-1</v>
      </c>
      <c r="L279" t="str">
        <f>"21-DEC-16"</f>
        <v>21-DEC-16</v>
      </c>
      <c r="M279">
        <v>186723</v>
      </c>
      <c r="N279" t="str">
        <f>""</f>
        <v/>
      </c>
      <c r="O279" t="str">
        <f>"HSH-186723"</f>
        <v>HSH-186723</v>
      </c>
      <c r="P279" t="str">
        <f t="shared" si="62"/>
        <v>Нет</v>
      </c>
      <c r="Q279" t="str">
        <f>"КСК00000000000000027"</f>
        <v>КСК00000000000000027</v>
      </c>
      <c r="R279" t="str">
        <f>""</f>
        <v/>
      </c>
      <c r="S279" t="str">
        <f t="shared" si="67"/>
        <v>Основной</v>
      </c>
      <c r="T279" t="str">
        <f t="shared" si="64"/>
        <v>ГУТС</v>
      </c>
      <c r="U279" t="str">
        <f>""</f>
        <v/>
      </c>
      <c r="V279" t="str">
        <f t="shared" si="65"/>
        <v>Нет</v>
      </c>
      <c r="W279">
        <v>51.723346569999997</v>
      </c>
      <c r="X279">
        <v>36.186234050000003</v>
      </c>
      <c r="Y279" t="str">
        <f>"20000004568860"</f>
        <v>20000004568860</v>
      </c>
    </row>
    <row r="280" spans="1:25" x14ac:dyDescent="0.25">
      <c r="A280">
        <v>907</v>
      </c>
      <c r="B280" t="str">
        <f t="shared" si="61"/>
        <v>Курск</v>
      </c>
      <c r="C280">
        <v>521868</v>
      </c>
      <c r="D280" t="str">
        <f>"ОК 1.1.1-73 ППК 1.1.1 Курск, Ендовищенская, 21  п. 1"</f>
        <v>ОК 1.1.1-73 ППК 1.1.1 Курск, Ендовищенская, 21  п. 1</v>
      </c>
      <c r="E280" t="str">
        <f t="shared" si="69"/>
        <v>КРС-24-SC</v>
      </c>
      <c r="F280" t="str">
        <f>"20.01.2017"</f>
        <v>20.01.2017</v>
      </c>
      <c r="G280" t="str">
        <f>""</f>
        <v/>
      </c>
      <c r="H280" t="str">
        <f>"ОК 1.1.1-73 ППК 1.1.1"</f>
        <v>ОК 1.1.1-73 ППК 1.1.1</v>
      </c>
      <c r="I280" t="str">
        <f>"ДШ (под. 1, ОУ№ 1.1.1-73)"</f>
        <v>ДШ (под. 1, ОУ№ 1.1.1-73)</v>
      </c>
      <c r="J280" t="str">
        <f>"Курск, Ендовищенская, 21"</f>
        <v>Курск, Ендовищенская, 21</v>
      </c>
      <c r="K280" t="str">
        <f t="shared" si="59"/>
        <v>ДШ-1</v>
      </c>
      <c r="L280" t="str">
        <f>"25-JAN-17"</f>
        <v>25-JAN-17</v>
      </c>
      <c r="M280">
        <v>187416</v>
      </c>
      <c r="N280" t="str">
        <f>""</f>
        <v/>
      </c>
      <c r="O280" t="str">
        <f>"HSH-187416"</f>
        <v>HSH-187416</v>
      </c>
      <c r="P280" t="str">
        <f t="shared" si="62"/>
        <v>Нет</v>
      </c>
      <c r="Q280" t="str">
        <f>"КСК00000000000000027"</f>
        <v>КСК00000000000000027</v>
      </c>
      <c r="R280" t="str">
        <f>""</f>
        <v/>
      </c>
      <c r="S280" t="str">
        <f t="shared" si="67"/>
        <v>Основной</v>
      </c>
      <c r="T280" t="str">
        <f t="shared" si="64"/>
        <v>ГУТС</v>
      </c>
      <c r="U280" t="str">
        <f>""</f>
        <v/>
      </c>
      <c r="V280" t="str">
        <f t="shared" si="65"/>
        <v>Нет</v>
      </c>
      <c r="W280">
        <v>51.730600639999999</v>
      </c>
      <c r="X280">
        <v>36.185981660000003</v>
      </c>
      <c r="Y280" t="str">
        <f>"20000004568902"</f>
        <v>20000004568902</v>
      </c>
    </row>
    <row r="281" spans="1:25" x14ac:dyDescent="0.25">
      <c r="A281">
        <v>907</v>
      </c>
      <c r="B281" t="str">
        <f t="shared" si="61"/>
        <v>Курск</v>
      </c>
      <c r="C281">
        <v>521897</v>
      </c>
      <c r="D281" t="str">
        <f>"ОК 1.1.1-71 ППК 1.1.1 Курск, Софьи Перовской, 16  п. 1"</f>
        <v>ОК 1.1.1-71 ППК 1.1.1 Курск, Софьи Перовской, 16  п. 1</v>
      </c>
      <c r="E281" t="str">
        <f t="shared" si="69"/>
        <v>КРС-24-SC</v>
      </c>
      <c r="F281" t="str">
        <f>"16.01.2017"</f>
        <v>16.01.2017</v>
      </c>
      <c r="G281" t="str">
        <f>"ОБПОУ Курский техникум связи"</f>
        <v>ОБПОУ Курский техникум связи</v>
      </c>
      <c r="H281" t="str">
        <f>"ОК 1.1.1-71 ППК 1.1.1"</f>
        <v>ОК 1.1.1-71 ППК 1.1.1</v>
      </c>
      <c r="I281" t="str">
        <f>"ДШ (под. 1, ОУ№ 1.1.1-72)"</f>
        <v>ДШ (под. 1, ОУ№ 1.1.1-72)</v>
      </c>
      <c r="J281" t="str">
        <f>"Курск, Софьи Перовской, 16"</f>
        <v>Курск, Софьи Перовской, 16</v>
      </c>
      <c r="K281" t="str">
        <f t="shared" si="59"/>
        <v>ДШ-1</v>
      </c>
      <c r="L281" t="str">
        <f>"21-DEC-16"</f>
        <v>21-DEC-16</v>
      </c>
      <c r="M281">
        <v>187269</v>
      </c>
      <c r="N281" t="str">
        <f>""</f>
        <v/>
      </c>
      <c r="O281" t="str">
        <f>"HSH-187269"</f>
        <v>HSH-187269</v>
      </c>
      <c r="P281" t="str">
        <f t="shared" si="62"/>
        <v>Нет</v>
      </c>
      <c r="Q281" t="str">
        <f>"КСК00000000000000027"</f>
        <v>КСК00000000000000027</v>
      </c>
      <c r="R281" t="str">
        <f>""</f>
        <v/>
      </c>
      <c r="S281" t="str">
        <f t="shared" si="67"/>
        <v>Основной</v>
      </c>
      <c r="T281" t="str">
        <f t="shared" si="64"/>
        <v>ГУТС</v>
      </c>
      <c r="U281" t="str">
        <f>""</f>
        <v/>
      </c>
      <c r="V281" t="str">
        <f t="shared" si="65"/>
        <v>Нет</v>
      </c>
      <c r="W281">
        <v>51.722761720000001</v>
      </c>
      <c r="X281">
        <v>36.185493229999999</v>
      </c>
      <c r="Y281" t="str">
        <f>"20000004568903"</f>
        <v>20000004568903</v>
      </c>
    </row>
    <row r="282" spans="1:25" x14ac:dyDescent="0.25">
      <c r="A282">
        <v>907</v>
      </c>
      <c r="B282" t="str">
        <f t="shared" si="61"/>
        <v>Курск</v>
      </c>
      <c r="C282">
        <v>521926</v>
      </c>
      <c r="D282" t="str">
        <f>"ОК 3.1.1-20.2 ППК 3.1.1  Курск, Карла Маркса, 68  п. 1"</f>
        <v>ОК 3.1.1-20.2 ППК 3.1.1  Курск, Карла Маркса, 68  п. 1</v>
      </c>
      <c r="E282" t="str">
        <f t="shared" si="69"/>
        <v>КРС-24-SC</v>
      </c>
      <c r="F282" t="str">
        <f>"17.01.2017"</f>
        <v>17.01.2017</v>
      </c>
      <c r="G282" t="str">
        <f>"Вынос МегаГРИНН"</f>
        <v>Вынос МегаГРИНН</v>
      </c>
      <c r="H282" t="str">
        <f>"ОК 3.1.1-20.2 ППК 3.1.1 "</f>
        <v xml:space="preserve">ОК 3.1.1-20.2 ППК 3.1.1 </v>
      </c>
      <c r="I282" t="str">
        <f>"ДШ (под. 1, ОУ№ 3.1.1-20)"</f>
        <v>ДШ (под. 1, ОУ№ 3.1.1-20)</v>
      </c>
      <c r="J282" t="str">
        <f>"Курск, Карла Маркса, 68"</f>
        <v>Курск, Карла Маркса, 68</v>
      </c>
      <c r="K282" t="str">
        <f>""</f>
        <v/>
      </c>
      <c r="L282" t="str">
        <f>""</f>
        <v/>
      </c>
      <c r="M282">
        <v>187316</v>
      </c>
      <c r="N282" t="str">
        <f>""</f>
        <v/>
      </c>
      <c r="O282" t="str">
        <f>"HSH-187316"</f>
        <v>HSH-187316</v>
      </c>
      <c r="P282" t="str">
        <f t="shared" si="62"/>
        <v>Нет</v>
      </c>
      <c r="Q282" t="str">
        <f>"КСК00000000000000178"</f>
        <v>КСК00000000000000178</v>
      </c>
      <c r="R282" t="str">
        <f>""</f>
        <v/>
      </c>
      <c r="S282" t="str">
        <f t="shared" si="67"/>
        <v>Основной</v>
      </c>
      <c r="T282" t="str">
        <f t="shared" si="64"/>
        <v>ГУТС</v>
      </c>
      <c r="U282" t="str">
        <f>""</f>
        <v/>
      </c>
      <c r="V282" t="str">
        <f t="shared" si="65"/>
        <v>Нет</v>
      </c>
      <c r="W282">
        <v>51.761847260000003</v>
      </c>
      <c r="X282">
        <v>36.183575769999997</v>
      </c>
      <c r="Y282" t="str">
        <f>"20000004568904"</f>
        <v>20000004568904</v>
      </c>
    </row>
    <row r="283" spans="1:25" x14ac:dyDescent="0.25">
      <c r="A283">
        <v>907</v>
      </c>
      <c r="B283" t="str">
        <f t="shared" si="61"/>
        <v>Курск</v>
      </c>
      <c r="C283">
        <v>522266</v>
      </c>
      <c r="D283" t="str">
        <f>"ОК 1.4.8-5 ППК 1.4.8 Курск, Моковский 3-Й Пер, 27 а п. 1"</f>
        <v>ОК 1.4.8-5 ППК 1.4.8 Курск, Моковский 3-Й Пер, 27 а п. 1</v>
      </c>
      <c r="E283" t="str">
        <f t="shared" si="69"/>
        <v>КРС-24-SC</v>
      </c>
      <c r="F283" t="str">
        <f>"13.02.2017"</f>
        <v>13.02.2017</v>
      </c>
      <c r="G283" t="str">
        <f>""</f>
        <v/>
      </c>
      <c r="H283" t="str">
        <f>"ОК 1.4.8-5 ППК 1.4.8"</f>
        <v>ОК 1.4.8-5 ППК 1.4.8</v>
      </c>
      <c r="I283" t="str">
        <f>"ДШ (под. 1, ОУ№ 1.4.8-4)"</f>
        <v>ДШ (под. 1, ОУ№ 1.4.8-4)</v>
      </c>
      <c r="J283" t="str">
        <f>"Курск, Моковский 3-Й Пер, 27 а"</f>
        <v>Курск, Моковский 3-Й Пер, 27 а</v>
      </c>
      <c r="K283" t="str">
        <f t="shared" ref="K283:K288" si="70">"ДШ-1"</f>
        <v>ДШ-1</v>
      </c>
      <c r="L283" t="str">
        <f>"25-JAN-17"</f>
        <v>25-JAN-17</v>
      </c>
      <c r="M283">
        <v>187868</v>
      </c>
      <c r="N283" t="str">
        <f>""</f>
        <v/>
      </c>
      <c r="O283" t="str">
        <f>"HSH-187868"</f>
        <v>HSH-187868</v>
      </c>
      <c r="P283" t="str">
        <f t="shared" si="62"/>
        <v>Нет</v>
      </c>
      <c r="Q283" t="str">
        <f>"КСК00000000000000092"</f>
        <v>КСК00000000000000092</v>
      </c>
      <c r="R283" t="str">
        <f>""</f>
        <v/>
      </c>
      <c r="S283" t="str">
        <f t="shared" si="67"/>
        <v>Основной</v>
      </c>
      <c r="T283" t="str">
        <f t="shared" si="64"/>
        <v>ГУТС</v>
      </c>
      <c r="U283" t="str">
        <f>""</f>
        <v/>
      </c>
      <c r="V283" t="str">
        <f t="shared" si="65"/>
        <v>Нет</v>
      </c>
      <c r="W283">
        <v>51.714483170000001</v>
      </c>
      <c r="X283">
        <v>36.14438354</v>
      </c>
      <c r="Y283" t="str">
        <f>"20000004568939"</f>
        <v>20000004568939</v>
      </c>
    </row>
    <row r="284" spans="1:25" x14ac:dyDescent="0.25">
      <c r="A284">
        <v>907</v>
      </c>
      <c r="B284" t="str">
        <f t="shared" si="61"/>
        <v>Курск</v>
      </c>
      <c r="C284">
        <v>522466</v>
      </c>
      <c r="D284" t="str">
        <f>"ОК 5.1.1-10 ППК 5.1.1 Курск, Энгельса, 169  п. 1"</f>
        <v>ОК 5.1.1-10 ППК 5.1.1 Курск, Энгельса, 169  п. 1</v>
      </c>
      <c r="E284" t="str">
        <f>"КРН-24-SC"</f>
        <v>КРН-24-SC</v>
      </c>
      <c r="F284" t="str">
        <f>"02.02.2017"</f>
        <v>02.02.2017</v>
      </c>
      <c r="G284" t="str">
        <f>"ТД Югмонтажэлектро"</f>
        <v>ТД Югмонтажэлектро</v>
      </c>
      <c r="H284" t="str">
        <f>"ОК 5.1.1-10 ППК 5.1.1"</f>
        <v>ОК 5.1.1-10 ППК 5.1.1</v>
      </c>
      <c r="I284" t="str">
        <f>"ДШ (под. 1, ОУ№ 5.1.1-11)"</f>
        <v>ДШ (под. 1, ОУ№ 5.1.1-11)</v>
      </c>
      <c r="J284" t="str">
        <f>"Курск, Энгельса, 169"</f>
        <v>Курск, Энгельса, 169</v>
      </c>
      <c r="K284" t="str">
        <f t="shared" si="70"/>
        <v>ДШ-1</v>
      </c>
      <c r="L284" t="str">
        <f>"26-JAN-17"</f>
        <v>26-JAN-17</v>
      </c>
      <c r="M284">
        <v>187674</v>
      </c>
      <c r="N284" t="str">
        <f>""</f>
        <v/>
      </c>
      <c r="O284" t="str">
        <f>"HSH-187674"</f>
        <v>HSH-187674</v>
      </c>
      <c r="P284" t="str">
        <f t="shared" si="62"/>
        <v>Нет</v>
      </c>
      <c r="Q284" t="str">
        <f>"КСК00000000000000219"</f>
        <v>КСК00000000000000219</v>
      </c>
      <c r="R284" t="str">
        <f>""</f>
        <v/>
      </c>
      <c r="S284" t="str">
        <f t="shared" si="67"/>
        <v>Основной</v>
      </c>
      <c r="T284" t="str">
        <f t="shared" si="64"/>
        <v>ГУТС</v>
      </c>
      <c r="U284" t="str">
        <f>""</f>
        <v/>
      </c>
      <c r="V284" t="str">
        <f t="shared" si="65"/>
        <v>Нет</v>
      </c>
      <c r="W284">
        <v>51.695354610000003</v>
      </c>
      <c r="X284">
        <v>36.154205789999999</v>
      </c>
      <c r="Y284" t="str">
        <f>"20000004568953"</f>
        <v>20000004568953</v>
      </c>
    </row>
    <row r="285" spans="1:25" x14ac:dyDescent="0.25">
      <c r="A285">
        <v>907</v>
      </c>
      <c r="B285" t="str">
        <f t="shared" si="61"/>
        <v>Курск</v>
      </c>
      <c r="C285">
        <v>522670</v>
      </c>
      <c r="D285" t="str">
        <f>"ОК 5.6.1-1 ППК 5.6.1 Курск, Кулакова Пр-Кт, 146 л п. 1"</f>
        <v>ОК 5.6.1-1 ППК 5.6.1 Курск, Кулакова Пр-Кт, 146 л п. 1</v>
      </c>
      <c r="E285" t="str">
        <f>"КРН-24-SC"</f>
        <v>КРН-24-SC</v>
      </c>
      <c r="F285" t="str">
        <f>"06.02.2017"</f>
        <v>06.02.2017</v>
      </c>
      <c r="G285" t="str">
        <f>"Ф.О.Н."</f>
        <v>Ф.О.Н.</v>
      </c>
      <c r="H285" t="str">
        <f>"ОК 5.6.1-1 ППК 5.6.1"</f>
        <v>ОК 5.6.1-1 ППК 5.6.1</v>
      </c>
      <c r="I285" t="str">
        <f>"ДШ (под. 1, ОУ№ 5.6.1-1)"</f>
        <v>ДШ (под. 1, ОУ№ 5.6.1-1)</v>
      </c>
      <c r="J285" t="str">
        <f>"Курск, Кулакова Пр-Кт, 146 л"</f>
        <v>Курск, Кулакова Пр-Кт, 146 л</v>
      </c>
      <c r="K285" t="str">
        <f t="shared" si="70"/>
        <v>ДШ-1</v>
      </c>
      <c r="L285" t="str">
        <f>"06-FEB-17"</f>
        <v>06-FEB-17</v>
      </c>
      <c r="M285">
        <v>187721</v>
      </c>
      <c r="N285" t="str">
        <f>""</f>
        <v/>
      </c>
      <c r="O285" t="str">
        <f>"HSH-187721"</f>
        <v>HSH-187721</v>
      </c>
      <c r="P285" t="str">
        <f t="shared" si="62"/>
        <v>Нет</v>
      </c>
      <c r="Q285" t="str">
        <f>"КСК00000000000000349"</f>
        <v>КСК00000000000000349</v>
      </c>
      <c r="R285" t="str">
        <f>""</f>
        <v/>
      </c>
      <c r="S285" t="str">
        <f t="shared" si="67"/>
        <v>Основной</v>
      </c>
      <c r="T285" t="str">
        <f t="shared" si="64"/>
        <v>ГУТС</v>
      </c>
      <c r="U285" t="str">
        <f>""</f>
        <v/>
      </c>
      <c r="V285" t="str">
        <f t="shared" si="65"/>
        <v>Нет</v>
      </c>
      <c r="W285">
        <v>51.65898791</v>
      </c>
      <c r="X285">
        <v>36.135759440000001</v>
      </c>
      <c r="Y285" t="str">
        <f>"20000004568959"</f>
        <v>20000004568959</v>
      </c>
    </row>
    <row r="286" spans="1:25" x14ac:dyDescent="0.25">
      <c r="A286">
        <v>907</v>
      </c>
      <c r="B286" t="str">
        <f t="shared" si="61"/>
        <v>Курск</v>
      </c>
      <c r="C286">
        <v>523066</v>
      </c>
      <c r="D286" t="str">
        <f>"ОК 1.1.1-75 ППК 1.1.1 Курск, Радищева, 6  п. 1"</f>
        <v>ОК 1.1.1-75 ППК 1.1.1 Курск, Радищева, 6  п. 1</v>
      </c>
      <c r="E286" t="str">
        <f>"КРН-24-SC"</f>
        <v>КРН-24-SC</v>
      </c>
      <c r="F286" t="str">
        <f>"28.02.2017"</f>
        <v>28.02.2017</v>
      </c>
      <c r="G286" t="str">
        <f>"Коллегия адвокатов Защитник Адвокатской палаты Курской области"</f>
        <v>Коллегия адвокатов Защитник Адвокатской палаты Курской области</v>
      </c>
      <c r="H286" t="str">
        <f>"ОК 1.1.1-75 ППК 1.1.1"</f>
        <v>ОК 1.1.1-75 ППК 1.1.1</v>
      </c>
      <c r="I286" t="str">
        <f>"ДШ (под. 1, ОУ№ 1.1.1-75)"</f>
        <v>ДШ (под. 1, ОУ№ 1.1.1-75)</v>
      </c>
      <c r="J286" t="str">
        <f>"Курск, Радищева, 6"</f>
        <v>Курск, Радищева, 6</v>
      </c>
      <c r="K286" t="str">
        <f t="shared" si="70"/>
        <v>ДШ-1</v>
      </c>
      <c r="L286" t="str">
        <f>"16-FEB-17"</f>
        <v>16-FEB-17</v>
      </c>
      <c r="M286">
        <v>188081</v>
      </c>
      <c r="N286" t="str">
        <f>""</f>
        <v/>
      </c>
      <c r="O286" t="str">
        <f>"HSH-188081"</f>
        <v>HSH-188081</v>
      </c>
      <c r="P286" t="str">
        <f t="shared" si="62"/>
        <v>Нет</v>
      </c>
      <c r="Q286" t="str">
        <f>"КСК00000000000000027"</f>
        <v>КСК00000000000000027</v>
      </c>
      <c r="R286" t="str">
        <f>""</f>
        <v/>
      </c>
      <c r="S286" t="str">
        <f t="shared" si="67"/>
        <v>Основной</v>
      </c>
      <c r="T286" t="str">
        <f t="shared" si="64"/>
        <v>ГУТС</v>
      </c>
      <c r="U286" t="str">
        <f>""</f>
        <v/>
      </c>
      <c r="V286" t="str">
        <f t="shared" si="65"/>
        <v>Нет</v>
      </c>
      <c r="W286">
        <v>51.729933610000003</v>
      </c>
      <c r="X286">
        <v>36.189892929999999</v>
      </c>
      <c r="Y286" t="str">
        <f>"20000004568995"</f>
        <v>20000004568995</v>
      </c>
    </row>
    <row r="287" spans="1:25" x14ac:dyDescent="0.25">
      <c r="A287">
        <v>907</v>
      </c>
      <c r="B287" t="str">
        <f t="shared" si="61"/>
        <v>Курск</v>
      </c>
      <c r="C287">
        <v>523095</v>
      </c>
      <c r="D287" t="str">
        <f>"ОК 5.5.5-1 ППК 5.5.5 Курск, Промышленный 7-Й Пер, 9  п. 1"</f>
        <v>ОК 5.5.5-1 ППК 5.5.5 Курск, Промышленный 7-Й Пер, 9  п. 1</v>
      </c>
      <c r="E287" t="str">
        <f>"КРН-24-SC"</f>
        <v>КРН-24-SC</v>
      </c>
      <c r="F287" t="str">
        <f>"28.02.2017"</f>
        <v>28.02.2017</v>
      </c>
      <c r="G287" t="str">
        <f>"Средняя общеобразовательная школа №47"</f>
        <v>Средняя общеобразовательная школа №47</v>
      </c>
      <c r="H287" t="str">
        <f>"ОК 5.5.5-1 ППК 5.5.5"</f>
        <v>ОК 5.5.5-1 ППК 5.5.5</v>
      </c>
      <c r="I287" t="str">
        <f>"ДШ (под. 1, ОУ№ 5.5.5-1)"</f>
        <v>ДШ (под. 1, ОУ№ 5.5.5-1)</v>
      </c>
      <c r="J287" t="str">
        <f>"Курск, Промышленный 7-Й Пер, 9"</f>
        <v>Курск, Промышленный 7-Й Пер, 9</v>
      </c>
      <c r="K287" t="str">
        <f t="shared" si="70"/>
        <v>ДШ-1</v>
      </c>
      <c r="L287" t="str">
        <f>"28-FEB-17"</f>
        <v>28-FEB-17</v>
      </c>
      <c r="M287">
        <v>188092</v>
      </c>
      <c r="N287" t="str">
        <f>""</f>
        <v/>
      </c>
      <c r="O287" t="str">
        <f>"HSH-188092"</f>
        <v>HSH-188092</v>
      </c>
      <c r="P287" t="str">
        <f t="shared" si="62"/>
        <v>Нет</v>
      </c>
      <c r="Q287" t="str">
        <f>"КСК00000000000000309"</f>
        <v>КСК00000000000000309</v>
      </c>
      <c r="R287" t="str">
        <f>""</f>
        <v/>
      </c>
      <c r="S287" t="str">
        <f t="shared" si="67"/>
        <v>Основной</v>
      </c>
      <c r="T287" t="str">
        <f t="shared" si="64"/>
        <v>ГУТС</v>
      </c>
      <c r="U287" t="str">
        <f>""</f>
        <v/>
      </c>
      <c r="V287" t="str">
        <f t="shared" si="65"/>
        <v>Нет</v>
      </c>
      <c r="W287">
        <v>51.66882219</v>
      </c>
      <c r="X287">
        <v>36.064343880000003</v>
      </c>
      <c r="Y287" t="str">
        <f>"20000004569000"</f>
        <v>20000004569000</v>
      </c>
    </row>
    <row r="288" spans="1:25" x14ac:dyDescent="0.25">
      <c r="A288">
        <v>907</v>
      </c>
      <c r="B288" t="str">
        <f t="shared" si="61"/>
        <v>Курск</v>
      </c>
      <c r="C288">
        <v>523267</v>
      </c>
      <c r="D288" t="str">
        <f>"ОК 1.2.1-1 ППК 1.2.1 Курск, Энгельса, 43  п. 1"</f>
        <v>ОК 1.2.1-1 ППК 1.2.1 Курск, Энгельса, 43  п. 1</v>
      </c>
      <c r="E288" t="str">
        <f>"КРН-24-SC"</f>
        <v>КРН-24-SC</v>
      </c>
      <c r="F288" t="str">
        <f>"02.03.2017"</f>
        <v>02.03.2017</v>
      </c>
      <c r="G288" t="str">
        <f>"Вынос Кристалл"</f>
        <v>Вынос Кристалл</v>
      </c>
      <c r="H288" t="str">
        <f>"ОК 1.2.1-1 ППК 1.2.1"</f>
        <v>ОК 1.2.1-1 ППК 1.2.1</v>
      </c>
      <c r="I288" t="str">
        <f>"ДШ (под. 1, ОУ№ 1.2.1-1)"</f>
        <v>ДШ (под. 1, ОУ№ 1.2.1-1)</v>
      </c>
      <c r="J288" t="str">
        <f>"Курск, Энгельса, 43"</f>
        <v>Курск, Энгельса, 43</v>
      </c>
      <c r="K288" t="str">
        <f t="shared" si="70"/>
        <v>ДШ-1</v>
      </c>
      <c r="L288" t="str">
        <f>"27-FEB-17"</f>
        <v>27-FEB-17</v>
      </c>
      <c r="M288">
        <v>188124</v>
      </c>
      <c r="N288" t="str">
        <f>""</f>
        <v/>
      </c>
      <c r="O288" t="str">
        <f>"HSH-188124"</f>
        <v>HSH-188124</v>
      </c>
      <c r="P288" t="str">
        <f t="shared" si="62"/>
        <v>Нет</v>
      </c>
      <c r="Q288" t="str">
        <f>"КСК00000000000000032"</f>
        <v>КСК00000000000000032</v>
      </c>
      <c r="R288" t="str">
        <f>""</f>
        <v/>
      </c>
      <c r="S288" t="str">
        <f t="shared" si="67"/>
        <v>Основной</v>
      </c>
      <c r="T288" t="str">
        <f t="shared" si="64"/>
        <v>ГУТС</v>
      </c>
      <c r="U288" t="str">
        <f>""</f>
        <v/>
      </c>
      <c r="V288" t="str">
        <f t="shared" si="65"/>
        <v>Нет</v>
      </c>
      <c r="W288">
        <v>51.712884440000003</v>
      </c>
      <c r="X288">
        <v>36.165699060000001</v>
      </c>
      <c r="Y288" t="str">
        <f>"20000004569006"</f>
        <v>20000004569006</v>
      </c>
    </row>
    <row r="289" spans="1:25" x14ac:dyDescent="0.25">
      <c r="A289">
        <v>907</v>
      </c>
      <c r="B289" t="str">
        <f t="shared" si="61"/>
        <v>Курск</v>
      </c>
      <c r="C289">
        <v>523666</v>
      </c>
      <c r="D289" t="str">
        <f>"ОК 1.1.1-74 ППК 1.1.1 Курск, Ольшанского, 7 а п. 1"</f>
        <v>ОК 1.1.1-74 ППК 1.1.1 Курск, Ольшанского, 7 а п. 1</v>
      </c>
      <c r="E289" t="str">
        <f>"КРС-24-SC"</f>
        <v>КРС-24-SC</v>
      </c>
      <c r="F289" t="str">
        <f>"10.03.2017"</f>
        <v>10.03.2017</v>
      </c>
      <c r="G289" t="str">
        <f>""</f>
        <v/>
      </c>
      <c r="H289" t="str">
        <f>"ОК 1.1.1-74 ППК 1.1.1"</f>
        <v>ОК 1.1.1-74 ППК 1.1.1</v>
      </c>
      <c r="I289" t="str">
        <f>"ДШ (под. 1, ОУ№ 1.1.1-74)"</f>
        <v>ДШ (под. 1, ОУ№ 1.1.1-74)</v>
      </c>
      <c r="J289" t="str">
        <f>"Курск, Ольшанского, 7 а"</f>
        <v>Курск, Ольшанского, 7 а</v>
      </c>
      <c r="K289" t="str">
        <f>"Серверная"</f>
        <v>Серверная</v>
      </c>
      <c r="L289" t="str">
        <f>"22-FEB-17"</f>
        <v>22-FEB-17</v>
      </c>
      <c r="M289">
        <v>188274</v>
      </c>
      <c r="N289" t="str">
        <f>""</f>
        <v/>
      </c>
      <c r="O289" t="str">
        <f>"HSH-188274"</f>
        <v>HSH-188274</v>
      </c>
      <c r="P289" t="str">
        <f t="shared" si="62"/>
        <v>Нет</v>
      </c>
      <c r="Q289" t="str">
        <f>"КСК00000000000000027"</f>
        <v>КСК00000000000000027</v>
      </c>
      <c r="R289" t="str">
        <f>""</f>
        <v/>
      </c>
      <c r="S289" t="str">
        <f t="shared" si="67"/>
        <v>Основной</v>
      </c>
      <c r="T289" t="str">
        <f t="shared" si="64"/>
        <v>ГУТС</v>
      </c>
      <c r="U289" t="str">
        <f>""</f>
        <v/>
      </c>
      <c r="V289" t="str">
        <f t="shared" si="65"/>
        <v>Нет</v>
      </c>
      <c r="W289">
        <v>51.703269310000003</v>
      </c>
      <c r="X289">
        <v>36.160216089999999</v>
      </c>
      <c r="Y289" t="str">
        <f>"20000004569017"</f>
        <v>20000004569017</v>
      </c>
    </row>
    <row r="290" spans="1:25" x14ac:dyDescent="0.25">
      <c r="A290">
        <v>907</v>
      </c>
      <c r="B290" t="str">
        <f t="shared" si="61"/>
        <v>Курск</v>
      </c>
      <c r="C290">
        <v>524429</v>
      </c>
      <c r="D290" t="str">
        <f>"ОК 5.2.3-4 ППК 5.2.3 Курск, Черняховского, 1  п. 1"</f>
        <v>ОК 5.2.3-4 ППК 5.2.3 Курск, Черняховского, 1  п. 1</v>
      </c>
      <c r="E290" t="str">
        <f>"КРН-24-SC"</f>
        <v>КРН-24-SC</v>
      </c>
      <c r="F290" t="str">
        <f>"29.03.2017"</f>
        <v>29.03.2017</v>
      </c>
      <c r="G290" t="str">
        <f>"Джалагония Нонна Валерьевна"</f>
        <v>Джалагония Нонна Валерьевна</v>
      </c>
      <c r="H290" t="str">
        <f>"ОК 5.2.3-4 ППК 5.2.3"</f>
        <v>ОК 5.2.3-4 ППК 5.2.3</v>
      </c>
      <c r="I290" t="str">
        <f>"ДШ (под. 1, ОУ№ 5.2.3-4)"</f>
        <v>ДШ (под. 1, ОУ№ 5.2.3-4)</v>
      </c>
      <c r="J290" t="str">
        <f>"Курск, Черняховского, 1"</f>
        <v>Курск, Черняховского, 1</v>
      </c>
      <c r="K290" t="str">
        <f t="shared" ref="K290:K306" si="71">"ДШ-1"</f>
        <v>ДШ-1</v>
      </c>
      <c r="L290" t="str">
        <f>"31-MAR-17"</f>
        <v>31-MAR-17</v>
      </c>
      <c r="M290">
        <v>188707</v>
      </c>
      <c r="N290" t="str">
        <f>""</f>
        <v/>
      </c>
      <c r="O290" t="str">
        <f>"HSH-188707"</f>
        <v>HSH-188707</v>
      </c>
      <c r="P290" t="str">
        <f t="shared" si="62"/>
        <v>Нет</v>
      </c>
      <c r="Q290" t="str">
        <f>"КСК00000000000000227"</f>
        <v>КСК00000000000000227</v>
      </c>
      <c r="R290" t="str">
        <f>""</f>
        <v/>
      </c>
      <c r="S290" t="str">
        <f t="shared" si="67"/>
        <v>Основной</v>
      </c>
      <c r="T290" t="str">
        <f t="shared" si="64"/>
        <v>ГУТС</v>
      </c>
      <c r="U290" t="str">
        <f>""</f>
        <v/>
      </c>
      <c r="V290" t="str">
        <f t="shared" si="65"/>
        <v>Нет</v>
      </c>
      <c r="W290">
        <v>51.674935380000001</v>
      </c>
      <c r="X290">
        <v>36.147325989999999</v>
      </c>
      <c r="Y290" t="str">
        <f>"20000004569109"</f>
        <v>20000004569109</v>
      </c>
    </row>
    <row r="291" spans="1:25" x14ac:dyDescent="0.25">
      <c r="A291">
        <v>907</v>
      </c>
      <c r="B291" t="str">
        <f t="shared" si="61"/>
        <v>Курск</v>
      </c>
      <c r="C291">
        <v>524458</v>
      </c>
      <c r="D291" t="str">
        <f>"ОК 3.4.2-3.1 ППК 3.4.2 Курск, Челюскинцев, 23  п. 1"</f>
        <v>ОК 3.4.2-3.1 ППК 3.4.2 Курск, Челюскинцев, 23  п. 1</v>
      </c>
      <c r="E291" t="str">
        <f>"Сплайс-пластина"</f>
        <v>Сплайс-пластина</v>
      </c>
      <c r="F291" t="str">
        <f>"29.03.2017"</f>
        <v>29.03.2017</v>
      </c>
      <c r="G291" t="str">
        <f>"Джалагония Нонна Валерьевна"</f>
        <v>Джалагония Нонна Валерьевна</v>
      </c>
      <c r="H291" t="str">
        <f>"ОК 3.4.2-3.1 ППК 3.4.2"</f>
        <v>ОК 3.4.2-3.1 ППК 3.4.2</v>
      </c>
      <c r="I291" t="str">
        <f>"ДШ (под. 1, ОУ№ 3.4.2-2)"</f>
        <v>ДШ (под. 1, ОУ№ 3.4.2-2)</v>
      </c>
      <c r="J291" t="str">
        <f>"Курск, Челюскинцев, 23"</f>
        <v>Курск, Челюскинцев, 23</v>
      </c>
      <c r="K291" t="str">
        <f t="shared" si="71"/>
        <v>ДШ-1</v>
      </c>
      <c r="L291" t="str">
        <f>"27-APR-17"</f>
        <v>27-APR-17</v>
      </c>
      <c r="M291">
        <v>188715</v>
      </c>
      <c r="N291" t="str">
        <f>""</f>
        <v/>
      </c>
      <c r="O291" t="str">
        <f>"HSH-188715"</f>
        <v>HSH-188715</v>
      </c>
      <c r="P291" t="str">
        <f t="shared" si="62"/>
        <v>Нет</v>
      </c>
      <c r="Q291" t="str">
        <f>"КСК00000000000000433"</f>
        <v>КСК00000000000000433</v>
      </c>
      <c r="R291" t="str">
        <f>""</f>
        <v/>
      </c>
      <c r="S291" t="str">
        <f t="shared" si="67"/>
        <v>Основной</v>
      </c>
      <c r="T291" t="str">
        <f t="shared" si="64"/>
        <v>ГУТС</v>
      </c>
      <c r="U291" t="str">
        <f>""</f>
        <v/>
      </c>
      <c r="V291" t="str">
        <f t="shared" si="65"/>
        <v>Нет</v>
      </c>
      <c r="W291">
        <v>51.745401299999997</v>
      </c>
      <c r="X291">
        <v>36.200377430000003</v>
      </c>
      <c r="Y291" t="str">
        <f>"20000006259920"</f>
        <v>20000006259920</v>
      </c>
    </row>
    <row r="292" spans="1:25" x14ac:dyDescent="0.25">
      <c r="A292">
        <v>907</v>
      </c>
      <c r="B292" t="str">
        <f t="shared" si="61"/>
        <v>Курск</v>
      </c>
      <c r="C292">
        <v>524464</v>
      </c>
      <c r="D292" t="str">
        <f>"ОК 3.4.2-2 ППК 3.4.2 Курск, Челюскинцев, 23  п. 1"</f>
        <v>ОК 3.4.2-2 ППК 3.4.2 Курск, Челюскинцев, 23  п. 1</v>
      </c>
      <c r="E292" t="str">
        <f>"КРН-24-SC"</f>
        <v>КРН-24-SC</v>
      </c>
      <c r="F292" t="str">
        <f>"29.03.2017"</f>
        <v>29.03.2017</v>
      </c>
      <c r="G292" t="str">
        <f>"Джалагония Нонна Валерьевна"</f>
        <v>Джалагония Нонна Валерьевна</v>
      </c>
      <c r="H292" t="str">
        <f>"ОК 3.4.2-2 ППК 3.4.2"</f>
        <v>ОК 3.4.2-2 ППК 3.4.2</v>
      </c>
      <c r="I292" t="str">
        <f>"ДШ (под. 1, ОУ№ 3.4.2-2)"</f>
        <v>ДШ (под. 1, ОУ№ 3.4.2-2)</v>
      </c>
      <c r="J292" t="str">
        <f>"Курск, Челюскинцев, 23"</f>
        <v>Курск, Челюскинцев, 23</v>
      </c>
      <c r="K292" t="str">
        <f t="shared" si="71"/>
        <v>ДШ-1</v>
      </c>
      <c r="L292" t="str">
        <f>"30-MAR-17"</f>
        <v>30-MAR-17</v>
      </c>
      <c r="M292">
        <v>188712</v>
      </c>
      <c r="N292" t="str">
        <f>""</f>
        <v/>
      </c>
      <c r="O292" t="str">
        <f>"HSH-188712"</f>
        <v>HSH-188712</v>
      </c>
      <c r="P292" t="str">
        <f t="shared" si="62"/>
        <v>Нет</v>
      </c>
      <c r="Q292" t="str">
        <f>"КСК00000000000000433"</f>
        <v>КСК00000000000000433</v>
      </c>
      <c r="R292" t="str">
        <f>""</f>
        <v/>
      </c>
      <c r="S292" t="str">
        <f t="shared" si="67"/>
        <v>Основной</v>
      </c>
      <c r="T292" t="str">
        <f t="shared" si="64"/>
        <v>ГУТС</v>
      </c>
      <c r="U292" t="str">
        <f>""</f>
        <v/>
      </c>
      <c r="V292" t="str">
        <f t="shared" si="65"/>
        <v>Нет</v>
      </c>
      <c r="W292">
        <v>51.745621759999999</v>
      </c>
      <c r="X292">
        <v>36.200227230000003</v>
      </c>
      <c r="Y292" t="str">
        <f>"20000004569111"</f>
        <v>20000004569111</v>
      </c>
    </row>
    <row r="293" spans="1:25" x14ac:dyDescent="0.25">
      <c r="A293">
        <v>907</v>
      </c>
      <c r="B293" t="str">
        <f t="shared" si="61"/>
        <v>Курск</v>
      </c>
      <c r="C293">
        <v>524670</v>
      </c>
      <c r="D293" t="str">
        <f>"ОК 5.1.1-11 ППК 5.1.1 Курск, Энгельса, 171 б п. 1"</f>
        <v>ОК 5.1.1-11 ППК 5.1.1 Курск, Энгельса, 171 б п. 1</v>
      </c>
      <c r="E293" t="str">
        <f>"КРН-24-SC"</f>
        <v>КРН-24-SC</v>
      </c>
      <c r="F293" t="str">
        <f>"17.04.2017"</f>
        <v>17.04.2017</v>
      </c>
      <c r="G293" t="str">
        <f>"Вынос Энгельса 171"</f>
        <v>Вынос Энгельса 171</v>
      </c>
      <c r="H293" t="str">
        <f>"ОК 5.1.1-11 ППК 5.1.1"</f>
        <v>ОК 5.1.1-11 ППК 5.1.1</v>
      </c>
      <c r="I293" t="str">
        <f>"ДШ (под. 1, ОУ№ 5.1.1-12)"</f>
        <v>ДШ (под. 1, ОУ№ 5.1.1-12)</v>
      </c>
      <c r="J293" t="str">
        <f>"Курск, Энгельса, 171 б"</f>
        <v>Курск, Энгельса, 171 б</v>
      </c>
      <c r="K293" t="str">
        <f t="shared" si="71"/>
        <v>ДШ-1</v>
      </c>
      <c r="L293" t="str">
        <f>"27-APR-17"</f>
        <v>27-APR-17</v>
      </c>
      <c r="M293">
        <v>189027</v>
      </c>
      <c r="N293" t="str">
        <f>""</f>
        <v/>
      </c>
      <c r="O293" t="str">
        <f>"HSH-189027"</f>
        <v>HSH-189027</v>
      </c>
      <c r="P293" t="str">
        <f t="shared" si="62"/>
        <v>Нет</v>
      </c>
      <c r="Q293" t="str">
        <f>"КСК00000000000000027"</f>
        <v>КСК00000000000000027</v>
      </c>
      <c r="R293" t="str">
        <f>""</f>
        <v/>
      </c>
      <c r="S293" t="str">
        <f t="shared" si="67"/>
        <v>Основной</v>
      </c>
      <c r="T293" t="str">
        <f t="shared" si="64"/>
        <v>ГУТС</v>
      </c>
      <c r="U293" t="str">
        <f>""</f>
        <v/>
      </c>
      <c r="V293" t="str">
        <f t="shared" si="65"/>
        <v>Нет</v>
      </c>
      <c r="W293">
        <v>51.695022350000002</v>
      </c>
      <c r="X293">
        <v>36.153182960000002</v>
      </c>
      <c r="Y293" t="str">
        <f>"20000004569141"</f>
        <v>20000004569141</v>
      </c>
    </row>
    <row r="294" spans="1:25" x14ac:dyDescent="0.25">
      <c r="A294">
        <v>907</v>
      </c>
      <c r="B294" t="str">
        <f t="shared" si="61"/>
        <v>Курск</v>
      </c>
      <c r="C294">
        <v>525066</v>
      </c>
      <c r="D294" t="str">
        <f>"ОК 1.1.1-76.1 ППК 1.1.1 Курск, Гайдара, 21  п. 1"</f>
        <v>ОК 1.1.1-76.1 ППК 1.1.1 Курск, Гайдара, 21  п. 1</v>
      </c>
      <c r="E294" t="str">
        <f>"Сплайс-пластина"</f>
        <v>Сплайс-пластина</v>
      </c>
      <c r="F294" t="str">
        <f>"03.05.2017"</f>
        <v>03.05.2017</v>
      </c>
      <c r="G294" t="str">
        <f>"Торговый Дом Курская птицефабрика"</f>
        <v>Торговый Дом Курская птицефабрика</v>
      </c>
      <c r="H294" t="str">
        <f>"ОК 1.1.1-76.1 ППК 1.1.1"</f>
        <v>ОК 1.1.1-76.1 ППК 1.1.1</v>
      </c>
      <c r="I294" t="str">
        <f>"ДШ (под. 1, ОУ№ 1.1.1-76)"</f>
        <v>ДШ (под. 1, ОУ№ 1.1.1-76)</v>
      </c>
      <c r="J294" t="str">
        <f>"Курск, Гайдара, 21"</f>
        <v>Курск, Гайдара, 21</v>
      </c>
      <c r="K294" t="str">
        <f t="shared" si="71"/>
        <v>ДШ-1</v>
      </c>
      <c r="L294" t="str">
        <f>"28-APR-17"</f>
        <v>28-APR-17</v>
      </c>
      <c r="M294">
        <v>189331</v>
      </c>
      <c r="N294" t="str">
        <f>""</f>
        <v/>
      </c>
      <c r="O294" t="str">
        <f>"HSH-189331"</f>
        <v>HSH-189331</v>
      </c>
      <c r="P294" t="str">
        <f t="shared" si="62"/>
        <v>Нет</v>
      </c>
      <c r="Q294" t="str">
        <f>"КСК00000000000000027"</f>
        <v>КСК00000000000000027</v>
      </c>
      <c r="R294" t="str">
        <f>""</f>
        <v/>
      </c>
      <c r="S294" t="str">
        <f t="shared" si="67"/>
        <v>Основной</v>
      </c>
      <c r="T294" t="str">
        <f t="shared" si="64"/>
        <v>ГУТС</v>
      </c>
      <c r="U294" t="str">
        <f>""</f>
        <v/>
      </c>
      <c r="V294" t="str">
        <f t="shared" si="65"/>
        <v>Нет</v>
      </c>
      <c r="W294">
        <v>51.72167907</v>
      </c>
      <c r="X294">
        <v>36.185620720000003</v>
      </c>
      <c r="Y294" t="str">
        <f>"20000006260666"</f>
        <v>20000006260666</v>
      </c>
    </row>
    <row r="295" spans="1:25" x14ac:dyDescent="0.25">
      <c r="A295">
        <v>907</v>
      </c>
      <c r="B295" t="str">
        <f t="shared" si="61"/>
        <v>Курск</v>
      </c>
      <c r="C295">
        <v>525277</v>
      </c>
      <c r="D295" t="str">
        <f>"ОК 3.5.3-3 ППК 3.5.3 Курск, Дубровинского, 6  п. 1"</f>
        <v>ОК 3.5.3-3 ППК 3.5.3 Курск, Дубровинского, 6  п. 1</v>
      </c>
      <c r="E295" t="str">
        <f>"ШКОС-8/24-FC"</f>
        <v>ШКОС-8/24-FC</v>
      </c>
      <c r="F295" t="str">
        <f>"10.05.2017"</f>
        <v>10.05.2017</v>
      </c>
      <c r="G295" t="str">
        <f>"Сергеева Татьяна Тимофеевна"</f>
        <v>Сергеева Татьяна Тимофеевна</v>
      </c>
      <c r="H295" t="str">
        <f>"ОК 3.5.3-3 ППК 3.5.3"</f>
        <v>ОК 3.5.3-3 ППК 3.5.3</v>
      </c>
      <c r="I295" t="str">
        <f>"ДШ (под. 1, ОУ№ 3.5.2-2)"</f>
        <v>ДШ (под. 1, ОУ№ 3.5.2-2)</v>
      </c>
      <c r="J295" t="str">
        <f>"Курск, Дубровинского, 6"</f>
        <v>Курск, Дубровинского, 6</v>
      </c>
      <c r="K295" t="str">
        <f t="shared" si="71"/>
        <v>ДШ-1</v>
      </c>
      <c r="L295" t="str">
        <f>"26-APR-17"</f>
        <v>26-APR-17</v>
      </c>
      <c r="M295">
        <v>189485</v>
      </c>
      <c r="N295" t="str">
        <f>""</f>
        <v/>
      </c>
      <c r="O295" t="str">
        <f>"HSH-189485"</f>
        <v>HSH-189485</v>
      </c>
      <c r="P295" t="str">
        <f t="shared" si="62"/>
        <v>Нет</v>
      </c>
      <c r="Q295" t="str">
        <f>"КСК00000000000000403"</f>
        <v>КСК00000000000000403</v>
      </c>
      <c r="R295" t="str">
        <f>""</f>
        <v/>
      </c>
      <c r="S295" t="str">
        <f t="shared" si="67"/>
        <v>Основной</v>
      </c>
      <c r="T295" t="str">
        <f t="shared" si="64"/>
        <v>ГУТС</v>
      </c>
      <c r="U295" t="str">
        <f>""</f>
        <v/>
      </c>
      <c r="V295" t="str">
        <f t="shared" si="65"/>
        <v>Нет</v>
      </c>
      <c r="W295">
        <v>51.754570229999999</v>
      </c>
      <c r="X295">
        <v>36.214617199999999</v>
      </c>
      <c r="Y295" t="str">
        <f>"20000004569199"</f>
        <v>20000004569199</v>
      </c>
    </row>
    <row r="296" spans="1:25" x14ac:dyDescent="0.25">
      <c r="A296">
        <v>907</v>
      </c>
      <c r="B296" t="str">
        <f t="shared" si="61"/>
        <v>Курск</v>
      </c>
      <c r="C296">
        <v>525681</v>
      </c>
      <c r="D296" t="str">
        <f>"ОК 3.1.1-19.1 Курск, Карла Маркса, 8 а п. 1"</f>
        <v>ОК 3.1.1-19.1 Курск, Карла Маркса, 8 а п. 1</v>
      </c>
      <c r="E296" t="str">
        <f>"Сплайс-пластина"</f>
        <v>Сплайс-пластина</v>
      </c>
      <c r="F296" t="str">
        <f>"23.05.2017"</f>
        <v>23.05.2017</v>
      </c>
      <c r="G296" t="str">
        <f>"Торговый Дом Курская птицефабрика"</f>
        <v>Торговый Дом Курская птицефабрика</v>
      </c>
      <c r="H296" t="str">
        <f>"ОК 3.1.1-19.1"</f>
        <v>ОК 3.1.1-19.1</v>
      </c>
      <c r="I296" t="str">
        <f>"ДШ (под. 1, ОУ№ 3.1.1-21)"</f>
        <v>ДШ (под. 1, ОУ№ 3.1.1-21)</v>
      </c>
      <c r="J296" t="str">
        <f>"Курск, Карла Маркса, 8 а"</f>
        <v>Курск, Карла Маркса, 8 а</v>
      </c>
      <c r="K296" t="str">
        <f t="shared" si="71"/>
        <v>ДШ-1</v>
      </c>
      <c r="L296" t="str">
        <f>"24-MAY-17"</f>
        <v>24-MAY-17</v>
      </c>
      <c r="M296">
        <v>189735</v>
      </c>
      <c r="N296" t="str">
        <f>""</f>
        <v/>
      </c>
      <c r="O296" t="str">
        <f>"HSH-189735"</f>
        <v>HSH-189735</v>
      </c>
      <c r="P296" t="str">
        <f t="shared" si="62"/>
        <v>Нет</v>
      </c>
      <c r="Q296" t="str">
        <f>"КСК00000000000000178"</f>
        <v>КСК00000000000000178</v>
      </c>
      <c r="R296" t="str">
        <f>""</f>
        <v/>
      </c>
      <c r="S296" t="str">
        <f t="shared" si="67"/>
        <v>Основной</v>
      </c>
      <c r="T296" t="str">
        <f t="shared" si="64"/>
        <v>ГУТС</v>
      </c>
      <c r="U296" t="str">
        <f>""</f>
        <v/>
      </c>
      <c r="V296" t="str">
        <f t="shared" si="65"/>
        <v>Нет</v>
      </c>
      <c r="W296">
        <v>51.749521450000003</v>
      </c>
      <c r="X296">
        <v>36.191534060000002</v>
      </c>
      <c r="Y296" t="str">
        <f>"20000006260676"</f>
        <v>20000006260676</v>
      </c>
    </row>
    <row r="297" spans="1:25" x14ac:dyDescent="0.25">
      <c r="A297">
        <v>907</v>
      </c>
      <c r="B297" t="str">
        <f t="shared" si="61"/>
        <v>Курск</v>
      </c>
      <c r="C297">
        <v>525879</v>
      </c>
      <c r="D297" t="str">
        <f>"ОК 3.4.6-3.1 ППК 3.4.6 Курск, Ленина, 19  п. 1"</f>
        <v>ОК 3.4.6-3.1 ППК 3.4.6 Курск, Ленина, 19  п. 1</v>
      </c>
      <c r="E297" t="str">
        <f>"Сплайс-пластина"</f>
        <v>Сплайс-пластина</v>
      </c>
      <c r="F297" t="str">
        <f>"29.05.2017"</f>
        <v>29.05.2017</v>
      </c>
      <c r="G297" t="str">
        <f>"Кредитный потребительский кооператив ""Первый Национальный"""</f>
        <v>Кредитный потребительский кооператив "Первый Национальный"</v>
      </c>
      <c r="H297" t="str">
        <f>"ОК 3.4.6-3.1 ППК 3.4.6"</f>
        <v>ОК 3.4.6-3.1 ППК 3.4.6</v>
      </c>
      <c r="I297" t="str">
        <f>"ДШ (под. 1, ОУ№ 3.4.6-5)"</f>
        <v>ДШ (под. 1, ОУ№ 3.4.6-5)</v>
      </c>
      <c r="J297" t="str">
        <f>"Курск, Ленина, 19"</f>
        <v>Курск, Ленина, 19</v>
      </c>
      <c r="K297" t="str">
        <f t="shared" si="71"/>
        <v>ДШ-1</v>
      </c>
      <c r="L297" t="str">
        <f>"24-MAY-17"</f>
        <v>24-MAY-17</v>
      </c>
      <c r="M297">
        <v>189882</v>
      </c>
      <c r="N297" t="str">
        <f>""</f>
        <v/>
      </c>
      <c r="O297" t="str">
        <f>"HSH-189882"</f>
        <v>HSH-189882</v>
      </c>
      <c r="P297" t="str">
        <f t="shared" si="62"/>
        <v>Нет</v>
      </c>
      <c r="Q297" t="str">
        <f>"КСК00000000000000218"</f>
        <v>КСК00000000000000218</v>
      </c>
      <c r="R297" t="str">
        <f>""</f>
        <v/>
      </c>
      <c r="S297" t="str">
        <f t="shared" si="67"/>
        <v>Основной</v>
      </c>
      <c r="T297" t="str">
        <f t="shared" si="64"/>
        <v>ГУТС</v>
      </c>
      <c r="U297" t="str">
        <f>""</f>
        <v/>
      </c>
      <c r="V297" t="str">
        <f t="shared" si="65"/>
        <v>Нет</v>
      </c>
      <c r="W297">
        <v>51.734596209999999</v>
      </c>
      <c r="X297">
        <v>36.193635870000001</v>
      </c>
      <c r="Y297" t="str">
        <f>"20000006260677"</f>
        <v>20000006260677</v>
      </c>
    </row>
    <row r="298" spans="1:25" x14ac:dyDescent="0.25">
      <c r="A298">
        <v>907</v>
      </c>
      <c r="B298" t="str">
        <f t="shared" si="61"/>
        <v>Курск</v>
      </c>
      <c r="C298">
        <v>525898</v>
      </c>
      <c r="D298" t="str">
        <f>"ОК 4.2.2-2.1 ППК 4.2.2 Курск, Союзная, 28  п. 1"</f>
        <v>ОК 4.2.2-2.1 ППК 4.2.2 Курск, Союзная, 28  п. 1</v>
      </c>
      <c r="E298" t="str">
        <f>"Сплайс-пластина"</f>
        <v>Сплайс-пластина</v>
      </c>
      <c r="F298" t="str">
        <f>"30.05.2017"</f>
        <v>30.05.2017</v>
      </c>
      <c r="G298" t="str">
        <f>"Околица"</f>
        <v>Околица</v>
      </c>
      <c r="H298" t="str">
        <f>"ОК 4.2.2-2.1 ППК 4.2.2"</f>
        <v>ОК 4.2.2-2.1 ППК 4.2.2</v>
      </c>
      <c r="I298" t="str">
        <f>"ДШ (под. 1, ОУ№ 4.2.2-1)"</f>
        <v>ДШ (под. 1, ОУ№ 4.2.2-1)</v>
      </c>
      <c r="J298" t="str">
        <f>"Курск, Союзная, 28"</f>
        <v>Курск, Союзная, 28</v>
      </c>
      <c r="K298" t="str">
        <f t="shared" si="71"/>
        <v>ДШ-1</v>
      </c>
      <c r="L298" t="str">
        <f>"24-MAY-17"</f>
        <v>24-MAY-17</v>
      </c>
      <c r="M298">
        <v>189932</v>
      </c>
      <c r="N298" t="str">
        <f>""</f>
        <v/>
      </c>
      <c r="O298" t="str">
        <f>"HSH-189932"</f>
        <v>HSH-189932</v>
      </c>
      <c r="P298" t="str">
        <f t="shared" si="62"/>
        <v>Нет</v>
      </c>
      <c r="Q298" t="str">
        <f>"КСК00000000000000350"</f>
        <v>КСК00000000000000350</v>
      </c>
      <c r="R298" t="str">
        <f>""</f>
        <v/>
      </c>
      <c r="S298" t="str">
        <f t="shared" ref="S298:S329" si="72">"Основной"</f>
        <v>Основной</v>
      </c>
      <c r="T298" t="str">
        <f t="shared" si="64"/>
        <v>ГУТС</v>
      </c>
      <c r="U298" t="str">
        <f>""</f>
        <v/>
      </c>
      <c r="V298" t="str">
        <f t="shared" si="65"/>
        <v>Нет</v>
      </c>
      <c r="W298">
        <v>51.746650430000003</v>
      </c>
      <c r="X298">
        <v>36.254001430000002</v>
      </c>
      <c r="Y298" t="str">
        <f>"20000006260678"</f>
        <v>20000006260678</v>
      </c>
    </row>
    <row r="299" spans="1:25" x14ac:dyDescent="0.25">
      <c r="A299">
        <v>907</v>
      </c>
      <c r="B299" t="str">
        <f t="shared" si="61"/>
        <v>Курск</v>
      </c>
      <c r="C299">
        <v>525904</v>
      </c>
      <c r="D299" t="str">
        <f>"ОК 4.2.2-1 ППК 4.2.2 Курск, Союзная, 26  п. 1"</f>
        <v>ОК 4.2.2-1 ППК 4.2.2 Курск, Союзная, 26  п. 1</v>
      </c>
      <c r="E299" t="str">
        <f>"ШКОС-8/24-FC"</f>
        <v>ШКОС-8/24-FC</v>
      </c>
      <c r="F299" t="str">
        <f>"30.05.2017"</f>
        <v>30.05.2017</v>
      </c>
      <c r="G299" t="str">
        <f>"Оздоровительный, водно-спортивный, рекреационный центр"</f>
        <v>Оздоровительный, водно-спортивный, рекреационный центр</v>
      </c>
      <c r="H299" t="str">
        <f>"ОК 4.2.2-1 ППК 4.2.2"</f>
        <v>ОК 4.2.2-1 ППК 4.2.2</v>
      </c>
      <c r="I299" t="str">
        <f>"ДШ (под. 1, ОУ№ 4.2.2-2)"</f>
        <v>ДШ (под. 1, ОУ№ 4.2.2-2)</v>
      </c>
      <c r="J299" t="str">
        <f>"Курск, Союзная, 26"</f>
        <v>Курск, Союзная, 26</v>
      </c>
      <c r="K299" t="str">
        <f t="shared" si="71"/>
        <v>ДШ-1</v>
      </c>
      <c r="L299" t="str">
        <f>"25-MAY-17"</f>
        <v>25-MAY-17</v>
      </c>
      <c r="M299">
        <v>189941</v>
      </c>
      <c r="N299" t="str">
        <f>""</f>
        <v/>
      </c>
      <c r="O299" t="str">
        <f>"HSH-189941"</f>
        <v>HSH-189941</v>
      </c>
      <c r="P299" t="str">
        <f t="shared" si="62"/>
        <v>Нет</v>
      </c>
      <c r="Q299" t="str">
        <f>"КСК00000000000000350"</f>
        <v>КСК00000000000000350</v>
      </c>
      <c r="R299" t="str">
        <f>""</f>
        <v/>
      </c>
      <c r="S299" t="str">
        <f t="shared" si="72"/>
        <v>Основной</v>
      </c>
      <c r="T299" t="str">
        <f t="shared" si="64"/>
        <v>ГУТС</v>
      </c>
      <c r="U299" t="str">
        <f>""</f>
        <v/>
      </c>
      <c r="V299" t="str">
        <f t="shared" si="65"/>
        <v>Нет</v>
      </c>
      <c r="W299">
        <v>51.747327089999999</v>
      </c>
      <c r="X299">
        <v>36.253123629999997</v>
      </c>
      <c r="Y299" t="str">
        <f>"20000004569243"</f>
        <v>20000004569243</v>
      </c>
    </row>
    <row r="300" spans="1:25" x14ac:dyDescent="0.25">
      <c r="A300">
        <v>907</v>
      </c>
      <c r="B300" t="str">
        <f t="shared" si="61"/>
        <v>Курск</v>
      </c>
      <c r="C300">
        <v>527070</v>
      </c>
      <c r="D300" t="str">
        <f>"ОК 1.4.8-6.1 ППК 1.4.8 Курск, Моковский 2-Й Пер, 7 б п. 1"</f>
        <v>ОК 1.4.8-6.1 ППК 1.4.8 Курск, Моковский 2-Й Пер, 7 б п. 1</v>
      </c>
      <c r="E300" t="str">
        <f>"Сплайс-пластина"</f>
        <v>Сплайс-пластина</v>
      </c>
      <c r="F300" t="str">
        <f>"22.06.2017"</f>
        <v>22.06.2017</v>
      </c>
      <c r="G300" t="str">
        <f>"Хлебпром"</f>
        <v>Хлебпром</v>
      </c>
      <c r="H300" t="str">
        <f>"ОК 1.4.8-6.1 ППК 1.4.8"</f>
        <v>ОК 1.4.8-6.1 ППК 1.4.8</v>
      </c>
      <c r="I300" t="str">
        <f>"ДШ (под. 1, ОУ№ 1.4.8-5)"</f>
        <v>ДШ (под. 1, ОУ№ 1.4.8-5)</v>
      </c>
      <c r="J300" t="str">
        <f>"Курск, Моковский 2-Й Пер, 7 б"</f>
        <v>Курск, Моковский 2-Й Пер, 7 б</v>
      </c>
      <c r="K300" t="str">
        <f t="shared" si="71"/>
        <v>ДШ-1</v>
      </c>
      <c r="L300" t="str">
        <f>"26-JUL-17"</f>
        <v>26-JUL-17</v>
      </c>
      <c r="M300">
        <v>190530</v>
      </c>
      <c r="N300" t="str">
        <f>""</f>
        <v/>
      </c>
      <c r="O300" t="str">
        <f>"HSH-190530"</f>
        <v>HSH-190530</v>
      </c>
      <c r="P300" t="str">
        <f t="shared" si="62"/>
        <v>Нет</v>
      </c>
      <c r="Q300" t="str">
        <f>"КСК00000000000000092"</f>
        <v>КСК00000000000000092</v>
      </c>
      <c r="R300" t="str">
        <f>""</f>
        <v/>
      </c>
      <c r="S300" t="str">
        <f t="shared" si="72"/>
        <v>Основной</v>
      </c>
      <c r="T300" t="str">
        <f t="shared" si="64"/>
        <v>ГУТС</v>
      </c>
      <c r="U300" t="str">
        <f>""</f>
        <v/>
      </c>
      <c r="V300" t="str">
        <f t="shared" si="65"/>
        <v>Нет</v>
      </c>
      <c r="W300">
        <v>51.714372709999999</v>
      </c>
      <c r="X300">
        <v>36.15516298</v>
      </c>
      <c r="Y300" t="str">
        <f>"20000006260724"</f>
        <v>20000006260724</v>
      </c>
    </row>
    <row r="301" spans="1:25" x14ac:dyDescent="0.25">
      <c r="A301">
        <v>907</v>
      </c>
      <c r="B301" t="str">
        <f t="shared" si="61"/>
        <v>Курск</v>
      </c>
      <c r="C301">
        <v>527866</v>
      </c>
      <c r="D301" t="str">
        <f>"ОК 1.1.1-77 ППК 1.1.1 Курск, Ендовищенская, 31  п. 1"</f>
        <v>ОК 1.1.1-77 ППК 1.1.1 Курск, Ендовищенская, 31  п. 1</v>
      </c>
      <c r="E301" t="str">
        <f>"КРН-24-SC"</f>
        <v>КРН-24-SC</v>
      </c>
      <c r="F301" t="str">
        <f>"28.07.2017"</f>
        <v>28.07.2017</v>
      </c>
      <c r="G301" t="str">
        <f>"""АртЭд"""</f>
        <v>"АртЭд"</v>
      </c>
      <c r="H301" t="str">
        <f>"ОК 1.1.1-77 ППК 1.1.1"</f>
        <v>ОК 1.1.1-77 ППК 1.1.1</v>
      </c>
      <c r="I301" t="str">
        <f>"ДШ (под. 1, ОУ№ 1.1.1-77)"</f>
        <v>ДШ (под. 1, ОУ№ 1.1.1-77)</v>
      </c>
      <c r="J301" t="str">
        <f>"Курск, Ендовищенская, 31"</f>
        <v>Курск, Ендовищенская, 31</v>
      </c>
      <c r="K301" t="str">
        <f t="shared" si="71"/>
        <v>ДШ-1</v>
      </c>
      <c r="L301" t="str">
        <f>"27-JUL-17"</f>
        <v>27-JUL-17</v>
      </c>
      <c r="M301">
        <v>191281</v>
      </c>
      <c r="N301" t="str">
        <f>""</f>
        <v/>
      </c>
      <c r="O301" t="str">
        <f>"HSH-191281"</f>
        <v>HSH-191281</v>
      </c>
      <c r="P301" t="str">
        <f t="shared" si="62"/>
        <v>Нет</v>
      </c>
      <c r="Q301" t="str">
        <f>"КСК00000000000000027"</f>
        <v>КСК00000000000000027</v>
      </c>
      <c r="R301" t="str">
        <f>""</f>
        <v/>
      </c>
      <c r="S301" t="str">
        <f t="shared" si="72"/>
        <v>Основной</v>
      </c>
      <c r="T301" t="str">
        <f t="shared" si="64"/>
        <v>ГУТС</v>
      </c>
      <c r="U301" t="str">
        <f>""</f>
        <v/>
      </c>
      <c r="V301" t="str">
        <f t="shared" si="65"/>
        <v>Нет</v>
      </c>
      <c r="W301">
        <v>51.731410660000002</v>
      </c>
      <c r="X301">
        <v>36.185219600000003</v>
      </c>
      <c r="Y301" t="str">
        <f>"20000004569438"</f>
        <v>20000004569438</v>
      </c>
    </row>
    <row r="302" spans="1:25" x14ac:dyDescent="0.25">
      <c r="A302">
        <v>907</v>
      </c>
      <c r="B302" t="str">
        <f t="shared" si="61"/>
        <v>Курск</v>
      </c>
      <c r="C302">
        <v>528142</v>
      </c>
      <c r="D302" t="str">
        <f>"ОК 4.1.6-1.1 ППК 4.1.6 Курск, Краснознаменная, 22  п. 1"</f>
        <v>ОК 4.1.6-1.1 ППК 4.1.6 Курск, Краснознаменная, 22  п. 1</v>
      </c>
      <c r="E302" t="str">
        <f>"Сплайс-пластина"</f>
        <v>Сплайс-пластина</v>
      </c>
      <c r="F302" t="str">
        <f>"02.08.2017"</f>
        <v>02.08.2017</v>
      </c>
      <c r="G302" t="str">
        <f>"Булгаков Игорь Геннадьевич"</f>
        <v>Булгаков Игорь Геннадьевич</v>
      </c>
      <c r="H302" t="str">
        <f>"ОК 4.1.6-1.1 ППК 4.1.6"</f>
        <v>ОК 4.1.6-1.1 ППК 4.1.6</v>
      </c>
      <c r="I302" t="str">
        <f>"ДШ (под. 1, ОУ№ 4.1.6-1)"</f>
        <v>ДШ (под. 1, ОУ№ 4.1.6-1)</v>
      </c>
      <c r="J302" t="str">
        <f>"Курск, Краснознаменная, 22"</f>
        <v>Курск, Краснознаменная, 22</v>
      </c>
      <c r="K302" t="str">
        <f t="shared" si="71"/>
        <v>ДШ-1</v>
      </c>
      <c r="L302" t="str">
        <f>"21-AUG-17"</f>
        <v>21-AUG-17</v>
      </c>
      <c r="M302">
        <v>191480</v>
      </c>
      <c r="N302" t="str">
        <f>""</f>
        <v/>
      </c>
      <c r="O302" t="str">
        <f>"HSH-191480"</f>
        <v>HSH-191480</v>
      </c>
      <c r="P302" t="str">
        <f t="shared" si="62"/>
        <v>Нет</v>
      </c>
      <c r="Q302" t="str">
        <f>"КСК00000000000000353"</f>
        <v>КСК00000000000000353</v>
      </c>
      <c r="R302" t="str">
        <f>""</f>
        <v/>
      </c>
      <c r="S302" t="str">
        <f t="shared" si="72"/>
        <v>Основной</v>
      </c>
      <c r="T302" t="str">
        <f t="shared" si="64"/>
        <v>ГУТС</v>
      </c>
      <c r="U302" t="str">
        <f>""</f>
        <v/>
      </c>
      <c r="V302" t="str">
        <f t="shared" si="65"/>
        <v>Нет</v>
      </c>
      <c r="W302">
        <v>51.743725499999996</v>
      </c>
      <c r="X302">
        <v>36.23986214</v>
      </c>
      <c r="Y302" t="str">
        <f>"20000006260420"</f>
        <v>20000006260420</v>
      </c>
    </row>
    <row r="303" spans="1:25" x14ac:dyDescent="0.25">
      <c r="A303">
        <v>907</v>
      </c>
      <c r="B303" t="str">
        <f t="shared" si="61"/>
        <v>Курск</v>
      </c>
      <c r="C303">
        <v>528467</v>
      </c>
      <c r="D303" t="str">
        <f>"ОК 1.1.1-78 ППК 1.1.1 Курск, Ендовищенская, 9  п. 1"</f>
        <v>ОК 1.1.1-78 ППК 1.1.1 Курск, Ендовищенская, 9  п. 1</v>
      </c>
      <c r="E303" t="str">
        <f>"КРН-24-SC"</f>
        <v>КРН-24-SC</v>
      </c>
      <c r="F303" t="str">
        <f>"07.08.2017"</f>
        <v>07.08.2017</v>
      </c>
      <c r="G303" t="str">
        <f>"""АДМИРАЛ"""</f>
        <v>"АДМИРАЛ"</v>
      </c>
      <c r="H303" t="str">
        <f>"ОК 1.1.1-78 ППК 1.1.1"</f>
        <v>ОК 1.1.1-78 ППК 1.1.1</v>
      </c>
      <c r="I303" t="str">
        <f>"ДШ (под. 1, ОУ№ 1.1.1-79)"</f>
        <v>ДШ (под. 1, ОУ№ 1.1.1-79)</v>
      </c>
      <c r="J303" t="str">
        <f>"Курск, Ендовищенская, 9"</f>
        <v>Курск, Ендовищенская, 9</v>
      </c>
      <c r="K303" t="str">
        <f t="shared" si="71"/>
        <v>ДШ-1</v>
      </c>
      <c r="L303" t="str">
        <f>"30-AUG-17"</f>
        <v>30-AUG-17</v>
      </c>
      <c r="M303">
        <v>191590</v>
      </c>
      <c r="N303" t="str">
        <f>""</f>
        <v/>
      </c>
      <c r="O303" t="str">
        <f>"HSH-191590"</f>
        <v>HSH-191590</v>
      </c>
      <c r="P303" t="str">
        <f t="shared" si="62"/>
        <v>Нет</v>
      </c>
      <c r="Q303" t="str">
        <f>"КСК00000000000000027"</f>
        <v>КСК00000000000000027</v>
      </c>
      <c r="R303" t="str">
        <f>""</f>
        <v/>
      </c>
      <c r="S303" t="str">
        <f t="shared" si="72"/>
        <v>Основной</v>
      </c>
      <c r="T303" t="str">
        <f t="shared" si="64"/>
        <v>ГУТС</v>
      </c>
      <c r="U303" t="str">
        <f>""</f>
        <v/>
      </c>
      <c r="V303" t="str">
        <f t="shared" si="65"/>
        <v>Нет</v>
      </c>
      <c r="W303">
        <v>51.729162270000003</v>
      </c>
      <c r="X303">
        <v>36.18713168</v>
      </c>
      <c r="Y303" t="str">
        <f>"20000004569490"</f>
        <v>20000004569490</v>
      </c>
    </row>
    <row r="304" spans="1:25" x14ac:dyDescent="0.25">
      <c r="A304">
        <v>907</v>
      </c>
      <c r="B304" t="str">
        <f t="shared" si="61"/>
        <v>Курск</v>
      </c>
      <c r="C304">
        <v>528866</v>
      </c>
      <c r="D304" t="str">
        <f>"ОК 1.4.8-7 ППК 1.4.8 Курск, Сумская, 39 а/1 п. 1"</f>
        <v>ОК 1.4.8-7 ППК 1.4.8 Курск, Сумская, 39 а/1 п. 1</v>
      </c>
      <c r="E304" t="str">
        <f t="shared" ref="E304:E318" si="73">"Сплайс-пластина"</f>
        <v>Сплайс-пластина</v>
      </c>
      <c r="F304" t="str">
        <f>"15.08.2017"</f>
        <v>15.08.2017</v>
      </c>
      <c r="G304" t="str">
        <f>""</f>
        <v/>
      </c>
      <c r="H304" t="str">
        <f>"ОК 1.4.8-7 ППК 1.4.8"</f>
        <v>ОК 1.4.8-7 ППК 1.4.8</v>
      </c>
      <c r="I304" t="str">
        <f>"ДШ (под. 1, ОУ№ 1.4.8-6)"</f>
        <v>ДШ (под. 1, ОУ№ 1.4.8-6)</v>
      </c>
      <c r="J304" t="str">
        <f>"Курск, Сумская, 39 а/1"</f>
        <v>Курск, Сумская, 39 а/1</v>
      </c>
      <c r="K304" t="str">
        <f t="shared" si="71"/>
        <v>ДШ-1</v>
      </c>
      <c r="L304" t="str">
        <f>"26-JUL-17"</f>
        <v>26-JUL-17</v>
      </c>
      <c r="M304">
        <v>191728</v>
      </c>
      <c r="N304" t="str">
        <f>""</f>
        <v/>
      </c>
      <c r="O304" t="str">
        <f>"HSH-191728"</f>
        <v>HSH-191728</v>
      </c>
      <c r="P304" t="str">
        <f t="shared" si="62"/>
        <v>Нет</v>
      </c>
      <c r="Q304" t="str">
        <f>"КСК00000000000000092"</f>
        <v>КСК00000000000000092</v>
      </c>
      <c r="R304" t="str">
        <f>""</f>
        <v/>
      </c>
      <c r="S304" t="str">
        <f t="shared" si="72"/>
        <v>Основной</v>
      </c>
      <c r="T304" t="str">
        <f t="shared" si="64"/>
        <v>ГУТС</v>
      </c>
      <c r="U304" t="str">
        <f>""</f>
        <v/>
      </c>
      <c r="V304" t="str">
        <f t="shared" si="65"/>
        <v>Нет</v>
      </c>
      <c r="W304">
        <v>51.712573210000002</v>
      </c>
      <c r="X304">
        <v>36.143173480000002</v>
      </c>
      <c r="Y304" t="str">
        <f>"20000006260422"</f>
        <v>20000006260422</v>
      </c>
    </row>
    <row r="305" spans="1:25" x14ac:dyDescent="0.25">
      <c r="A305">
        <v>907</v>
      </c>
      <c r="B305" t="str">
        <f t="shared" si="61"/>
        <v>Курск</v>
      </c>
      <c r="C305">
        <v>528877</v>
      </c>
      <c r="D305" t="str">
        <f>"ОК 1.2.7-2 ППК 1.2.7 Курск, Моковская, 17  п. 1"</f>
        <v>ОК 1.2.7-2 ППК 1.2.7 Курск, Моковская, 17  п. 1</v>
      </c>
      <c r="E305" t="str">
        <f t="shared" si="73"/>
        <v>Сплайс-пластина</v>
      </c>
      <c r="F305" t="str">
        <f>"16.08.2017"</f>
        <v>16.08.2017</v>
      </c>
      <c r="G305" t="str">
        <f>""</f>
        <v/>
      </c>
      <c r="H305" t="str">
        <f>"ОК 1.2.7-2 ППК 1.2.7"</f>
        <v>ОК 1.2.7-2 ППК 1.2.7</v>
      </c>
      <c r="I305" t="str">
        <f>"ДШ (под. 1, ОУ№ 1.2.7-2)"</f>
        <v>ДШ (под. 1, ОУ№ 1.2.7-2)</v>
      </c>
      <c r="J305" t="str">
        <f>"Курск, Моковская, 17"</f>
        <v>Курск, Моковская, 17</v>
      </c>
      <c r="K305" t="str">
        <f t="shared" si="71"/>
        <v>ДШ-1</v>
      </c>
      <c r="L305" t="str">
        <f>"25-JUL-17"</f>
        <v>25-JUL-17</v>
      </c>
      <c r="M305">
        <v>191778</v>
      </c>
      <c r="N305" t="str">
        <f>""</f>
        <v/>
      </c>
      <c r="O305" t="str">
        <f>"HSH-191778"</f>
        <v>HSH-191778</v>
      </c>
      <c r="P305" t="str">
        <f t="shared" si="62"/>
        <v>Нет</v>
      </c>
      <c r="Q305" t="str">
        <f>"КСК00000000000000090"</f>
        <v>КСК00000000000000090</v>
      </c>
      <c r="R305" t="str">
        <f>""</f>
        <v/>
      </c>
      <c r="S305" t="str">
        <f t="shared" si="72"/>
        <v>Основной</v>
      </c>
      <c r="T305" t="str">
        <f t="shared" si="64"/>
        <v>ГУТС</v>
      </c>
      <c r="U305" t="str">
        <f>""</f>
        <v/>
      </c>
      <c r="V305" t="str">
        <f t="shared" si="65"/>
        <v>Нет</v>
      </c>
      <c r="W305">
        <v>51.710072629999999</v>
      </c>
      <c r="X305">
        <v>36.151460700000001</v>
      </c>
      <c r="Y305" t="str">
        <f>"20000006260423"</f>
        <v>20000006260423</v>
      </c>
    </row>
    <row r="306" spans="1:25" x14ac:dyDescent="0.25">
      <c r="A306">
        <v>907</v>
      </c>
      <c r="B306" t="str">
        <f t="shared" si="61"/>
        <v>Курск</v>
      </c>
      <c r="C306">
        <v>529270</v>
      </c>
      <c r="D306" t="str">
        <f>"ОК 4.1.1-3.1 Курск, Ухтомского, 32  п. 1"</f>
        <v>ОК 4.1.1-3.1 Курск, Ухтомского, 32  п. 1</v>
      </c>
      <c r="E306" t="str">
        <f t="shared" si="73"/>
        <v>Сплайс-пластина</v>
      </c>
      <c r="F306" t="str">
        <f>"31.08.2017"</f>
        <v>31.08.2017</v>
      </c>
      <c r="G306" t="str">
        <f>"""Курское молоко"""</f>
        <v>"Курское молоко"</v>
      </c>
      <c r="H306" t="str">
        <f>"ОК 4.1.1-3.1"</f>
        <v>ОК 4.1.1-3.1</v>
      </c>
      <c r="I306" t="str">
        <f>"ДШ (под. 1, ОУ№ 4.1.1-3)"</f>
        <v>ДШ (под. 1, ОУ№ 4.1.1-3)</v>
      </c>
      <c r="J306" t="str">
        <f>"Курск, Ухтомского, 32"</f>
        <v>Курск, Ухтомского, 32</v>
      </c>
      <c r="K306" t="str">
        <f t="shared" si="71"/>
        <v>ДШ-1</v>
      </c>
      <c r="L306" t="str">
        <f>"23-AUG-17"</f>
        <v>23-AUG-17</v>
      </c>
      <c r="M306">
        <v>191979</v>
      </c>
      <c r="N306" t="str">
        <f>""</f>
        <v/>
      </c>
      <c r="O306" t="str">
        <f>"HSH-191979"</f>
        <v>HSH-191979</v>
      </c>
      <c r="P306" t="str">
        <f t="shared" si="62"/>
        <v>Нет</v>
      </c>
      <c r="Q306" t="str">
        <f>"КСК00000000000000334"</f>
        <v>КСК00000000000000334</v>
      </c>
      <c r="R306" t="str">
        <f>""</f>
        <v/>
      </c>
      <c r="S306" t="str">
        <f t="shared" si="72"/>
        <v>Основной</v>
      </c>
      <c r="T306" t="str">
        <f t="shared" si="64"/>
        <v>ГУТС</v>
      </c>
      <c r="U306" t="str">
        <f>""</f>
        <v/>
      </c>
      <c r="V306" t="str">
        <f t="shared" si="65"/>
        <v>Нет</v>
      </c>
      <c r="W306">
        <v>51.739341979999999</v>
      </c>
      <c r="X306">
        <v>36.237356779999999</v>
      </c>
      <c r="Y306" t="str">
        <f>"20000006260455"</f>
        <v>20000006260455</v>
      </c>
    </row>
    <row r="307" spans="1:25" x14ac:dyDescent="0.25">
      <c r="A307">
        <v>907</v>
      </c>
      <c r="B307" t="str">
        <f t="shared" si="61"/>
        <v>Курск</v>
      </c>
      <c r="C307">
        <v>529550</v>
      </c>
      <c r="D307" t="str">
        <f>" Курск, Ухтомского, 41  п. 1"</f>
        <v xml:space="preserve"> Курск, Ухтомского, 41  п. 1</v>
      </c>
      <c r="E307" t="str">
        <f t="shared" si="73"/>
        <v>Сплайс-пластина</v>
      </c>
      <c r="F307" t="str">
        <f>"07.09.2017"</f>
        <v>07.09.2017</v>
      </c>
      <c r="G307" t="str">
        <f>""</f>
        <v/>
      </c>
      <c r="H307" t="str">
        <f>""</f>
        <v/>
      </c>
      <c r="I307" t="str">
        <f>"ДШ (под. 1, ОУ№ 4.1.1-4)"</f>
        <v>ДШ (под. 1, ОУ№ 4.1.1-4)</v>
      </c>
      <c r="J307" t="str">
        <f>"Курск, Ухтомского, 41"</f>
        <v>Курск, Ухтомского, 41</v>
      </c>
      <c r="K307" t="str">
        <f>""</f>
        <v/>
      </c>
      <c r="L307" t="str">
        <f>""</f>
        <v/>
      </c>
      <c r="M307">
        <v>192230</v>
      </c>
      <c r="N307" t="str">
        <f>""</f>
        <v/>
      </c>
      <c r="O307" t="str">
        <f>"HSH-192230"</f>
        <v>HSH-192230</v>
      </c>
      <c r="P307" t="str">
        <f t="shared" si="62"/>
        <v>Нет</v>
      </c>
      <c r="Q307" t="str">
        <f>"КСК00000000000000334"</f>
        <v>КСК00000000000000334</v>
      </c>
      <c r="R307" t="str">
        <f>""</f>
        <v/>
      </c>
      <c r="S307" t="str">
        <f t="shared" si="72"/>
        <v>Основной</v>
      </c>
      <c r="T307" t="str">
        <f t="shared" si="64"/>
        <v>ГУТС</v>
      </c>
      <c r="U307" t="str">
        <f>""</f>
        <v/>
      </c>
      <c r="V307" t="str">
        <f t="shared" si="65"/>
        <v>Нет</v>
      </c>
      <c r="W307">
        <v>51.740550579999997</v>
      </c>
      <c r="X307">
        <v>36.235028800000002</v>
      </c>
      <c r="Y307" t="str">
        <f>"20000006260459"</f>
        <v>20000006260459</v>
      </c>
    </row>
    <row r="308" spans="1:25" x14ac:dyDescent="0.25">
      <c r="A308">
        <v>907</v>
      </c>
      <c r="B308" t="str">
        <f t="shared" si="61"/>
        <v>Курск</v>
      </c>
      <c r="C308">
        <v>529936</v>
      </c>
      <c r="D308" t="str">
        <f>"ОК 1.1.1-81.1 ППК 1.1.1 Курск, Добролюбова, 15  п. 1"</f>
        <v>ОК 1.1.1-81.1 ППК 1.1.1 Курск, Добролюбова, 15  п. 1</v>
      </c>
      <c r="E308" t="str">
        <f t="shared" si="73"/>
        <v>Сплайс-пластина</v>
      </c>
      <c r="F308" t="str">
        <f>"28.09.2017"</f>
        <v>28.09.2017</v>
      </c>
      <c r="G308" t="str">
        <f>"Армадилло Бизнес Посылка"</f>
        <v>Армадилло Бизнес Посылка</v>
      </c>
      <c r="H308" t="str">
        <f>"ОК 1.1.1-81.1 ППК 1.1.1"</f>
        <v>ОК 1.1.1-81.1 ППК 1.1.1</v>
      </c>
      <c r="I308" t="str">
        <f>"ДШ (под. 1, ОУ№ 1.1.1-81)"</f>
        <v>ДШ (под. 1, ОУ№ 1.1.1-81)</v>
      </c>
      <c r="J308" t="str">
        <f>"Курск, Добролюбова, 15"</f>
        <v>Курск, Добролюбова, 15</v>
      </c>
      <c r="K308" t="str">
        <f>"ДШ-1"</f>
        <v>ДШ-1</v>
      </c>
      <c r="L308" t="str">
        <f>"20-SEP-17"</f>
        <v>20-SEP-17</v>
      </c>
      <c r="M308">
        <v>192743</v>
      </c>
      <c r="N308" t="str">
        <f>""</f>
        <v/>
      </c>
      <c r="O308" t="str">
        <f>"HSH-192743"</f>
        <v>HSH-192743</v>
      </c>
      <c r="P308" t="str">
        <f t="shared" si="62"/>
        <v>Нет</v>
      </c>
      <c r="Q308" t="str">
        <f>"КСК00000000000000027"</f>
        <v>КСК00000000000000027</v>
      </c>
      <c r="R308" t="str">
        <f>""</f>
        <v/>
      </c>
      <c r="S308" t="str">
        <f t="shared" si="72"/>
        <v>Основной</v>
      </c>
      <c r="T308" t="str">
        <f t="shared" si="64"/>
        <v>ГУТС</v>
      </c>
      <c r="U308" t="str">
        <f>""</f>
        <v/>
      </c>
      <c r="V308" t="str">
        <f t="shared" si="65"/>
        <v>Нет</v>
      </c>
      <c r="W308">
        <v>51.724111700000002</v>
      </c>
      <c r="X308">
        <v>36.18675373</v>
      </c>
      <c r="Y308" t="str">
        <f>"20000006260499"</f>
        <v>20000006260499</v>
      </c>
    </row>
    <row r="309" spans="1:25" x14ac:dyDescent="0.25">
      <c r="A309">
        <v>907</v>
      </c>
      <c r="B309" t="str">
        <f t="shared" si="61"/>
        <v>Курск</v>
      </c>
      <c r="C309">
        <v>530935</v>
      </c>
      <c r="D309" t="str">
        <f>"ОК 1.1.1-82.1 ППК 1.1.1 Курск, Дзержинского, 47 а п. 1"</f>
        <v>ОК 1.1.1-82.1 ППК 1.1.1 Курск, Дзержинского, 47 а п. 1</v>
      </c>
      <c r="E309" t="str">
        <f t="shared" si="73"/>
        <v>Сплайс-пластина</v>
      </c>
      <c r="F309" t="str">
        <f>"30.10.2017"</f>
        <v>30.10.2017</v>
      </c>
      <c r="G309" t="str">
        <f>"Долженкова Татьяна Анатольевна"</f>
        <v>Долженкова Татьяна Анатольевна</v>
      </c>
      <c r="H309" t="str">
        <f>"ОК 1.1.1-82.1 ППК 1.1.1"</f>
        <v>ОК 1.1.1-82.1 ППК 1.1.1</v>
      </c>
      <c r="I309" t="str">
        <f>"ДШ (под. 1, ОУ№ 1.5.3-5)"</f>
        <v>ДШ (под. 1, ОУ№ 1.5.3-5)</v>
      </c>
      <c r="J309" t="str">
        <f>"Курск, Дзержинского, 47 а"</f>
        <v>Курск, Дзержинского, 47 а</v>
      </c>
      <c r="K309" t="str">
        <f>"ДШ-1"</f>
        <v>ДШ-1</v>
      </c>
      <c r="L309" t="str">
        <f>"25-OCT-17"</f>
        <v>25-OCT-17</v>
      </c>
      <c r="M309">
        <v>193542</v>
      </c>
      <c r="N309" t="str">
        <f>""</f>
        <v/>
      </c>
      <c r="O309" t="str">
        <f>"HSH-193542"</f>
        <v>HSH-193542</v>
      </c>
      <c r="P309" t="str">
        <f t="shared" si="62"/>
        <v>Нет</v>
      </c>
      <c r="Q309" t="str">
        <f>"КСК00000000000000151"</f>
        <v>КСК00000000000000151</v>
      </c>
      <c r="R309" t="str">
        <f>""</f>
        <v/>
      </c>
      <c r="S309" t="str">
        <f t="shared" si="72"/>
        <v>Основной</v>
      </c>
      <c r="T309" t="str">
        <f t="shared" si="64"/>
        <v>ГУТС</v>
      </c>
      <c r="U309" t="str">
        <f>""</f>
        <v/>
      </c>
      <c r="V309" t="str">
        <f t="shared" si="65"/>
        <v>Нет</v>
      </c>
      <c r="W309">
        <v>51.72511523</v>
      </c>
      <c r="X309">
        <v>36.178534769999999</v>
      </c>
      <c r="Y309" t="str">
        <f>"20000006260544"</f>
        <v>20000006260544</v>
      </c>
    </row>
    <row r="310" spans="1:25" x14ac:dyDescent="0.25">
      <c r="A310">
        <v>907</v>
      </c>
      <c r="B310" t="str">
        <f t="shared" si="61"/>
        <v>Курск</v>
      </c>
      <c r="C310">
        <v>530970</v>
      </c>
      <c r="D310" t="str">
        <f>"ОК 4.1.1-5.1 ППК 4.1.1 Чайковского 66 Курск, Чайковского, 66  п. 1"</f>
        <v>ОК 4.1.1-5.1 ППК 4.1.1 Чайковского 66 Курск, Чайковского, 66  п. 1</v>
      </c>
      <c r="E310" t="str">
        <f t="shared" si="73"/>
        <v>Сплайс-пластина</v>
      </c>
      <c r="F310" t="str">
        <f>"30.10.2017"</f>
        <v>30.10.2017</v>
      </c>
      <c r="G310" t="str">
        <f>"""Курсквтормет"""</f>
        <v>"Курсквтормет"</v>
      </c>
      <c r="H310" t="str">
        <f>"ОК 4.1.1-5.1 ППК 4.1.1 Чайковского 66"</f>
        <v>ОК 4.1.1-5.1 ППК 4.1.1 Чайковского 66</v>
      </c>
      <c r="I310" t="str">
        <f>"ДШ (под. 1, ОУ№ 4.1.1-5)"</f>
        <v>ДШ (под. 1, ОУ№ 4.1.1-5)</v>
      </c>
      <c r="J310" t="str">
        <f>"Курск, Чайковского, 66"</f>
        <v>Курск, Чайковского, 66</v>
      </c>
      <c r="K310" t="str">
        <f>"ДШ-1"</f>
        <v>ДШ-1</v>
      </c>
      <c r="L310" t="str">
        <f>"10-OCT-17"</f>
        <v>10-OCT-17</v>
      </c>
      <c r="M310">
        <v>193559</v>
      </c>
      <c r="N310" t="str">
        <f>""</f>
        <v/>
      </c>
      <c r="O310" t="str">
        <f>"HSH-193559"</f>
        <v>HSH-193559</v>
      </c>
      <c r="P310" t="str">
        <f t="shared" si="62"/>
        <v>Нет</v>
      </c>
      <c r="Q310" t="str">
        <f>"КСК00000000000000334"</f>
        <v>КСК00000000000000334</v>
      </c>
      <c r="R310" t="str">
        <f>""</f>
        <v/>
      </c>
      <c r="S310" t="str">
        <f t="shared" si="72"/>
        <v>Основной</v>
      </c>
      <c r="T310" t="str">
        <f t="shared" si="64"/>
        <v>ГУТС</v>
      </c>
      <c r="U310" t="str">
        <f>""</f>
        <v/>
      </c>
      <c r="V310" t="str">
        <f t="shared" si="65"/>
        <v>Нет</v>
      </c>
      <c r="W310">
        <v>51.732426439999998</v>
      </c>
      <c r="X310">
        <v>36.242360269999999</v>
      </c>
      <c r="Y310" t="str">
        <f>"20000006260569"</f>
        <v>20000006260569</v>
      </c>
    </row>
    <row r="311" spans="1:25" x14ac:dyDescent="0.25">
      <c r="A311">
        <v>907</v>
      </c>
      <c r="B311" t="str">
        <f t="shared" si="61"/>
        <v>Курск</v>
      </c>
      <c r="C311">
        <v>530976</v>
      </c>
      <c r="D311" t="str">
        <f>" Курск, Ленина, 2  п. 1"</f>
        <v xml:space="preserve"> Курск, Ленина, 2  п. 1</v>
      </c>
      <c r="E311" t="str">
        <f t="shared" si="73"/>
        <v>Сплайс-пластина</v>
      </c>
      <c r="F311" t="str">
        <f>"02.11.2017"</f>
        <v>02.11.2017</v>
      </c>
      <c r="G311" t="str">
        <f>"""Аметист"""</f>
        <v>"Аметист"</v>
      </c>
      <c r="H311" t="str">
        <f>""</f>
        <v/>
      </c>
      <c r="I311" t="str">
        <f>"ДШ (под. 1, ОУ№ 1.1.1-82)"</f>
        <v>ДШ (под. 1, ОУ№ 1.1.1-82)</v>
      </c>
      <c r="J311" t="str">
        <f>"Курск, Ленина, 2"</f>
        <v>Курск, Ленина, 2</v>
      </c>
      <c r="K311" t="str">
        <f>""</f>
        <v/>
      </c>
      <c r="L311" t="str">
        <f>""</f>
        <v/>
      </c>
      <c r="M311">
        <v>193685</v>
      </c>
      <c r="N311" t="str">
        <f>""</f>
        <v/>
      </c>
      <c r="O311" t="str">
        <f>"HSH-193685"</f>
        <v>HSH-193685</v>
      </c>
      <c r="P311" t="str">
        <f t="shared" si="62"/>
        <v>Нет</v>
      </c>
      <c r="Q311" t="str">
        <f>"КСК00000000000000027"</f>
        <v>КСК00000000000000027</v>
      </c>
      <c r="R311" t="str">
        <f>""</f>
        <v/>
      </c>
      <c r="S311" t="str">
        <f t="shared" si="72"/>
        <v>Основной</v>
      </c>
      <c r="T311" t="str">
        <f t="shared" si="64"/>
        <v>ГУТС</v>
      </c>
      <c r="U311" t="str">
        <f>""</f>
        <v/>
      </c>
      <c r="V311" t="str">
        <f t="shared" si="65"/>
        <v>Нет</v>
      </c>
      <c r="W311">
        <v>51.732105310000001</v>
      </c>
      <c r="X311">
        <v>36.192405690000001</v>
      </c>
      <c r="Y311" t="str">
        <f>"20000006260570"</f>
        <v>20000006260570</v>
      </c>
    </row>
    <row r="312" spans="1:25" x14ac:dyDescent="0.25">
      <c r="A312">
        <v>907</v>
      </c>
      <c r="B312" t="str">
        <f t="shared" si="61"/>
        <v>Курск</v>
      </c>
      <c r="C312">
        <v>531731</v>
      </c>
      <c r="D312" t="str">
        <f>" Курск, Хуторская, 2  п. 1"</f>
        <v xml:space="preserve"> Курск, Хуторская, 2  п. 1</v>
      </c>
      <c r="E312" t="str">
        <f t="shared" si="73"/>
        <v>Сплайс-пластина</v>
      </c>
      <c r="F312" t="str">
        <f>"29.11.2017"</f>
        <v>29.11.2017</v>
      </c>
      <c r="G312" t="str">
        <f>"Вынос Хуторская 2"</f>
        <v>Вынос Хуторская 2</v>
      </c>
      <c r="H312" t="str">
        <f>""</f>
        <v/>
      </c>
      <c r="I312" t="str">
        <f>"ДШ (под. 1, ОУ№ 3.2.5-1)"</f>
        <v>ДШ (под. 1, ОУ№ 3.2.5-1)</v>
      </c>
      <c r="J312" t="str">
        <f>"Курск, Хуторская, 2"</f>
        <v>Курск, Хуторская, 2</v>
      </c>
      <c r="K312" t="str">
        <f>""</f>
        <v/>
      </c>
      <c r="L312" t="str">
        <f>""</f>
        <v/>
      </c>
      <c r="M312">
        <v>194387</v>
      </c>
      <c r="N312" t="str">
        <f>""</f>
        <v/>
      </c>
      <c r="O312" t="str">
        <f>"HSH-194387"</f>
        <v>HSH-194387</v>
      </c>
      <c r="P312" t="str">
        <f t="shared" si="62"/>
        <v>Нет</v>
      </c>
      <c r="Q312" t="str">
        <f>"КСК00000000000000186"</f>
        <v>КСК00000000000000186</v>
      </c>
      <c r="R312" t="str">
        <f>""</f>
        <v/>
      </c>
      <c r="S312" t="str">
        <f t="shared" si="72"/>
        <v>Основной</v>
      </c>
      <c r="T312" t="str">
        <f t="shared" si="64"/>
        <v>ГУТС</v>
      </c>
      <c r="U312" t="str">
        <f>""</f>
        <v/>
      </c>
      <c r="V312" t="str">
        <f t="shared" si="65"/>
        <v>Нет</v>
      </c>
      <c r="W312">
        <v>51.758665809999997</v>
      </c>
      <c r="X312">
        <v>36.192043509999998</v>
      </c>
      <c r="Y312" t="str">
        <f>"20000006260597"</f>
        <v>20000006260597</v>
      </c>
    </row>
    <row r="313" spans="1:25" x14ac:dyDescent="0.25">
      <c r="A313">
        <v>907</v>
      </c>
      <c r="B313" t="str">
        <f t="shared" si="61"/>
        <v>Курск</v>
      </c>
      <c r="C313">
        <v>532331</v>
      </c>
      <c r="D313" t="str">
        <f>" Курск, Харьковская, 16 /2 п. 1"</f>
        <v xml:space="preserve"> Курск, Харьковская, 16 /2 п. 1</v>
      </c>
      <c r="E313" t="str">
        <f t="shared" si="73"/>
        <v>Сплайс-пластина</v>
      </c>
      <c r="F313" t="str">
        <f>"25.12.2017"</f>
        <v>25.12.2017</v>
      </c>
      <c r="G313" t="str">
        <f>"ПРЕСТИЖ-ИНТЕРНЕТ"</f>
        <v>ПРЕСТИЖ-ИНТЕРНЕТ</v>
      </c>
      <c r="H313" t="str">
        <f>""</f>
        <v/>
      </c>
      <c r="I313" t="str">
        <f>"ДШ (под. 1, ОУ№ 5.2.1-1)"</f>
        <v>ДШ (под. 1, ОУ№ 5.2.1-1)</v>
      </c>
      <c r="J313" t="str">
        <f>"Курск, Харьковская, 16 /2"</f>
        <v>Курск, Харьковская, 16 /2</v>
      </c>
      <c r="K313" t="str">
        <f>""</f>
        <v/>
      </c>
      <c r="L313" t="str">
        <f>""</f>
        <v/>
      </c>
      <c r="M313">
        <v>195282</v>
      </c>
      <c r="N313" t="str">
        <f>""</f>
        <v/>
      </c>
      <c r="O313" t="str">
        <f>"HSH-195282"</f>
        <v>HSH-195282</v>
      </c>
      <c r="P313" t="str">
        <f t="shared" si="62"/>
        <v>Нет</v>
      </c>
      <c r="Q313" t="str">
        <f>"КСК00000000000000226"</f>
        <v>КСК00000000000000226</v>
      </c>
      <c r="R313" t="str">
        <f>""</f>
        <v/>
      </c>
      <c r="S313" t="str">
        <f t="shared" si="72"/>
        <v>Основной</v>
      </c>
      <c r="T313" t="str">
        <f t="shared" si="64"/>
        <v>ГУТС</v>
      </c>
      <c r="U313" t="str">
        <f>""</f>
        <v/>
      </c>
      <c r="V313" t="str">
        <f t="shared" si="65"/>
        <v>Нет</v>
      </c>
      <c r="W313">
        <v>51.671548989999998</v>
      </c>
      <c r="X313">
        <v>36.145520009999998</v>
      </c>
      <c r="Y313" t="str">
        <f>"20000006260623"</f>
        <v>20000006260623</v>
      </c>
    </row>
    <row r="314" spans="1:25" x14ac:dyDescent="0.25">
      <c r="A314">
        <v>907</v>
      </c>
      <c r="B314" t="str">
        <f t="shared" si="61"/>
        <v>Курск</v>
      </c>
      <c r="C314">
        <v>532466</v>
      </c>
      <c r="D314" t="str">
        <f>" Курск, Харьковская, 3  п. 1"</f>
        <v xml:space="preserve"> Курск, Харьковская, 3  п. 1</v>
      </c>
      <c r="E314" t="str">
        <f t="shared" si="73"/>
        <v>Сплайс-пластина</v>
      </c>
      <c r="F314" t="str">
        <f>"27.12.2017"</f>
        <v>27.12.2017</v>
      </c>
      <c r="G314" t="str">
        <f>"Вынос харьковская 3"</f>
        <v>Вынос харьковская 3</v>
      </c>
      <c r="H314" t="str">
        <f>""</f>
        <v/>
      </c>
      <c r="I314" t="str">
        <f>"ДШ (под. 1, ОУ№ 5.2.3-5)"</f>
        <v>ДШ (под. 1, ОУ№ 5.2.3-5)</v>
      </c>
      <c r="J314" t="str">
        <f>"Курск, Харьковская, 3"</f>
        <v>Курск, Харьковская, 3</v>
      </c>
      <c r="K314" t="str">
        <f>""</f>
        <v/>
      </c>
      <c r="L314" t="str">
        <f>""</f>
        <v/>
      </c>
      <c r="M314">
        <v>195383</v>
      </c>
      <c r="N314" t="str">
        <f>""</f>
        <v/>
      </c>
      <c r="O314" t="str">
        <f>"HSH-195383"</f>
        <v>HSH-195383</v>
      </c>
      <c r="P314" t="str">
        <f t="shared" si="62"/>
        <v>Нет</v>
      </c>
      <c r="Q314" t="str">
        <f>"КСК00000000000000227"</f>
        <v>КСК00000000000000227</v>
      </c>
      <c r="R314" t="str">
        <f>""</f>
        <v/>
      </c>
      <c r="S314" t="str">
        <f t="shared" si="72"/>
        <v>Основной</v>
      </c>
      <c r="T314" t="str">
        <f t="shared" si="64"/>
        <v>ГУТС</v>
      </c>
      <c r="U314" t="str">
        <f>""</f>
        <v/>
      </c>
      <c r="V314" t="str">
        <f t="shared" si="65"/>
        <v>Нет</v>
      </c>
      <c r="W314">
        <v>51.674210469999998</v>
      </c>
      <c r="X314">
        <v>36.145525300000003</v>
      </c>
      <c r="Y314" t="str">
        <f>"20000006260643"</f>
        <v>20000006260643</v>
      </c>
    </row>
    <row r="315" spans="1:25" x14ac:dyDescent="0.25">
      <c r="A315">
        <v>907</v>
      </c>
      <c r="B315" t="str">
        <f t="shared" si="61"/>
        <v>Курск</v>
      </c>
      <c r="C315">
        <v>532518</v>
      </c>
      <c r="D315" t="str">
        <f>"1 Курск, Моковский 2-Й Пер, 9 в/1 п. 1"</f>
        <v>1 Курск, Моковский 2-Й Пер, 9 в/1 п. 1</v>
      </c>
      <c r="E315" t="str">
        <f t="shared" si="73"/>
        <v>Сплайс-пластина</v>
      </c>
      <c r="F315" t="str">
        <f>"27.12.2017"</f>
        <v>27.12.2017</v>
      </c>
      <c r="G315" t="str">
        <f>"""Торговый Дом Авто Ресурс"""</f>
        <v>"Торговый Дом Авто Ресурс"</v>
      </c>
      <c r="H315" t="str">
        <f>"1"</f>
        <v>1</v>
      </c>
      <c r="I315" t="str">
        <f>"ДШ (под. 1, ОУ№ 1.4.8-8)"</f>
        <v>ДШ (под. 1, ОУ№ 1.4.8-8)</v>
      </c>
      <c r="J315" t="str">
        <f>"Курск, Моковский 2-Й Пер, 9 в/1"</f>
        <v>Курск, Моковский 2-Й Пер, 9 в/1</v>
      </c>
      <c r="K315" t="str">
        <f>"ДШ-1"</f>
        <v>ДШ-1</v>
      </c>
      <c r="L315" t="str">
        <f>"25-DEC-17"</f>
        <v>25-DEC-17</v>
      </c>
      <c r="M315">
        <v>195409</v>
      </c>
      <c r="N315" t="str">
        <f>""</f>
        <v/>
      </c>
      <c r="O315" t="str">
        <f>"HSH-195409"</f>
        <v>HSH-195409</v>
      </c>
      <c r="P315" t="str">
        <f t="shared" si="62"/>
        <v>Нет</v>
      </c>
      <c r="Q315" t="str">
        <f>"КСК00000000000000092"</f>
        <v>КСК00000000000000092</v>
      </c>
      <c r="R315" t="str">
        <f>""</f>
        <v/>
      </c>
      <c r="S315" t="str">
        <f t="shared" si="72"/>
        <v>Основной</v>
      </c>
      <c r="T315" t="str">
        <f t="shared" si="64"/>
        <v>ГУТС</v>
      </c>
      <c r="U315" t="str">
        <f>""</f>
        <v/>
      </c>
      <c r="V315" t="str">
        <f t="shared" si="65"/>
        <v>Нет</v>
      </c>
      <c r="W315">
        <v>51.712315390000001</v>
      </c>
      <c r="X315">
        <v>36.156980959999999</v>
      </c>
      <c r="Y315" t="str">
        <f>"20000006260645"</f>
        <v>20000006260645</v>
      </c>
    </row>
    <row r="316" spans="1:25" x14ac:dyDescent="0.25">
      <c r="A316">
        <v>907</v>
      </c>
      <c r="B316" t="str">
        <f t="shared" si="61"/>
        <v>Курск</v>
      </c>
      <c r="C316">
        <v>532524</v>
      </c>
      <c r="D316" t="str">
        <f>" Курск, Горького, 34  п. 1"</f>
        <v xml:space="preserve"> Курск, Горького, 34  п. 1</v>
      </c>
      <c r="E316" t="str">
        <f t="shared" si="73"/>
        <v>Сплайс-пластина</v>
      </c>
      <c r="F316" t="str">
        <f>"27.12.2017"</f>
        <v>27.12.2017</v>
      </c>
      <c r="G316" t="str">
        <f>"ПРЕСТИЖ-ИНТЕРНЕТ"</f>
        <v>ПРЕСТИЖ-ИНТЕРНЕТ</v>
      </c>
      <c r="H316" t="str">
        <f>""</f>
        <v/>
      </c>
      <c r="I316" t="str">
        <f>"ДШ (под. 1, ОУ№ 3.4.6-6)"</f>
        <v>ДШ (под. 1, ОУ№ 3.4.6-6)</v>
      </c>
      <c r="J316" t="str">
        <f>"Курск, Горького, 34"</f>
        <v>Курск, Горького, 34</v>
      </c>
      <c r="K316" t="str">
        <f>""</f>
        <v/>
      </c>
      <c r="L316" t="str">
        <f>""</f>
        <v/>
      </c>
      <c r="M316">
        <v>195418</v>
      </c>
      <c r="N316" t="str">
        <f>""</f>
        <v/>
      </c>
      <c r="O316" t="str">
        <f>"HSH-195418"</f>
        <v>HSH-195418</v>
      </c>
      <c r="P316" t="str">
        <f t="shared" si="62"/>
        <v>Нет</v>
      </c>
      <c r="Q316" t="str">
        <f>"КСК00000000000000218"</f>
        <v>КСК00000000000000218</v>
      </c>
      <c r="R316" t="str">
        <f>""</f>
        <v/>
      </c>
      <c r="S316" t="str">
        <f t="shared" si="72"/>
        <v>Основной</v>
      </c>
      <c r="T316" t="str">
        <f t="shared" si="64"/>
        <v>ГУТС</v>
      </c>
      <c r="U316" t="str">
        <f>""</f>
        <v/>
      </c>
      <c r="V316" t="str">
        <f t="shared" si="65"/>
        <v>Нет</v>
      </c>
      <c r="W316">
        <v>51.736440850000001</v>
      </c>
      <c r="X316">
        <v>36.195805759999999</v>
      </c>
      <c r="Y316" t="str">
        <f>"20000006260646"</f>
        <v>20000006260646</v>
      </c>
    </row>
    <row r="317" spans="1:25" x14ac:dyDescent="0.25">
      <c r="A317">
        <v>907</v>
      </c>
      <c r="B317" t="str">
        <f t="shared" si="61"/>
        <v>Курск</v>
      </c>
      <c r="C317">
        <v>533517</v>
      </c>
      <c r="D317" t="str">
        <f>"ОК1.5.4-3.1 ППК 1.5.4 Курск, Карла Либкнехта, 16 а п. 1"</f>
        <v>ОК1.5.4-3.1 ППК 1.5.4 Курск, Карла Либкнехта, 16 а п. 1</v>
      </c>
      <c r="E317" t="str">
        <f t="shared" si="73"/>
        <v>Сплайс-пластина</v>
      </c>
      <c r="F317" t="str">
        <f>"23.01.2018"</f>
        <v>23.01.2018</v>
      </c>
      <c r="G317" t="str">
        <f>"""Хорошая аптека"""</f>
        <v>"Хорошая аптека"</v>
      </c>
      <c r="H317" t="str">
        <f>"ОК1.5.4-3.1 ППК 1.5.4"</f>
        <v>ОК1.5.4-3.1 ППК 1.5.4</v>
      </c>
      <c r="I317" t="str">
        <f>"ДШ (под. 1, ОУ№ 1.5.4-3)"</f>
        <v>ДШ (под. 1, ОУ№ 1.5.4-3)</v>
      </c>
      <c r="J317" t="str">
        <f>"Курск, Карла Либкнехта, 16 а"</f>
        <v>Курск, Карла Либкнехта, 16 а</v>
      </c>
      <c r="K317" t="str">
        <f t="shared" ref="K317:K328" si="74">"ДШ-1"</f>
        <v>ДШ-1</v>
      </c>
      <c r="L317" t="str">
        <f>"19-NOV-18"</f>
        <v>19-NOV-18</v>
      </c>
      <c r="M317">
        <v>196117</v>
      </c>
      <c r="N317" t="str">
        <f>""</f>
        <v/>
      </c>
      <c r="O317" t="str">
        <f>"HSH-196117"</f>
        <v>HSH-196117</v>
      </c>
      <c r="P317" t="str">
        <f t="shared" si="62"/>
        <v>Нет</v>
      </c>
      <c r="Q317" t="str">
        <f>"КСК00000000000000173"</f>
        <v>КСК00000000000000173</v>
      </c>
      <c r="R317" t="str">
        <f>""</f>
        <v/>
      </c>
      <c r="S317" t="str">
        <f t="shared" si="72"/>
        <v>Основной</v>
      </c>
      <c r="T317" t="str">
        <f t="shared" si="64"/>
        <v>ГУТС</v>
      </c>
      <c r="U317" t="str">
        <f>""</f>
        <v/>
      </c>
      <c r="V317" t="str">
        <f t="shared" si="65"/>
        <v>Нет</v>
      </c>
      <c r="W317">
        <v>51.727875969999999</v>
      </c>
      <c r="X317">
        <v>36.180674549999999</v>
      </c>
      <c r="Y317" t="str">
        <f>"20000006260668"</f>
        <v>20000006260668</v>
      </c>
    </row>
    <row r="318" spans="1:25" x14ac:dyDescent="0.25">
      <c r="A318">
        <v>907</v>
      </c>
      <c r="B318" t="str">
        <f t="shared" si="61"/>
        <v>Курск</v>
      </c>
      <c r="C318">
        <v>533544</v>
      </c>
      <c r="D318" t="str">
        <f>"ОК1.5.3-4 ППК 1.5.3-4.1 Курск, Советская, 14  п. 1"</f>
        <v>ОК1.5.3-4 ППК 1.5.3-4.1 Курск, Советская, 14  п. 1</v>
      </c>
      <c r="E318" t="str">
        <f t="shared" si="73"/>
        <v>Сплайс-пластина</v>
      </c>
      <c r="F318" t="str">
        <f>"24.01.2018"</f>
        <v>24.01.2018</v>
      </c>
      <c r="G318" t="str">
        <f>"ОБПОУ Курский монтажный техникум"</f>
        <v>ОБПОУ Курский монтажный техникум</v>
      </c>
      <c r="H318" t="str">
        <f>"ОК1.5.3-4 ППК 1.5.3-4.1"</f>
        <v>ОК1.5.3-4 ППК 1.5.3-4.1</v>
      </c>
      <c r="I318" t="str">
        <f>"ДШ (под. 1, ОУ№ 1.5.3-4)"</f>
        <v>ДШ (под. 1, ОУ№ 1.5.3-4)</v>
      </c>
      <c r="J318" t="str">
        <f>"Курск, Советская, 14"</f>
        <v>Курск, Советская, 14</v>
      </c>
      <c r="K318" t="str">
        <f t="shared" si="74"/>
        <v>ДШ-1</v>
      </c>
      <c r="L318" t="str">
        <f>"19-NOV-18"</f>
        <v>19-NOV-18</v>
      </c>
      <c r="M318">
        <v>196191</v>
      </c>
      <c r="N318" t="str">
        <f>""</f>
        <v/>
      </c>
      <c r="O318" t="str">
        <f>"HSH-196191"</f>
        <v>HSH-196191</v>
      </c>
      <c r="P318" t="str">
        <f t="shared" si="62"/>
        <v>Нет</v>
      </c>
      <c r="Q318" t="str">
        <f>"КСК00000000000000151"</f>
        <v>КСК00000000000000151</v>
      </c>
      <c r="R318" t="str">
        <f>""</f>
        <v/>
      </c>
      <c r="S318" t="str">
        <f t="shared" si="72"/>
        <v>Основной</v>
      </c>
      <c r="T318" t="str">
        <f t="shared" si="64"/>
        <v>ГУТС</v>
      </c>
      <c r="U318" t="str">
        <f>""</f>
        <v/>
      </c>
      <c r="V318" t="str">
        <f t="shared" si="65"/>
        <v>Нет</v>
      </c>
      <c r="W318">
        <v>51.72649929</v>
      </c>
      <c r="X318">
        <v>36.177541249999997</v>
      </c>
      <c r="Y318" t="str">
        <f>"20000006260669"</f>
        <v>20000006260669</v>
      </c>
    </row>
    <row r="319" spans="1:25" x14ac:dyDescent="0.25">
      <c r="A319">
        <v>907</v>
      </c>
      <c r="B319" t="str">
        <f t="shared" si="61"/>
        <v>Курск</v>
      </c>
      <c r="C319">
        <v>533912</v>
      </c>
      <c r="D319" t="str">
        <f>"ОК 3.4.8-7 Курск, Садовая, 10 а п. 1"</f>
        <v>ОК 3.4.8-7 Курск, Садовая, 10 а п. 1</v>
      </c>
      <c r="E319" t="str">
        <f>"КРН-16-SC"</f>
        <v>КРН-16-SC</v>
      </c>
      <c r="F319" t="str">
        <f>"07.02.2018"</f>
        <v>07.02.2018</v>
      </c>
      <c r="G319" t="str">
        <f>""</f>
        <v/>
      </c>
      <c r="H319" t="str">
        <f>"ОК 3.4.8-7"</f>
        <v>ОК 3.4.8-7</v>
      </c>
      <c r="I319" t="str">
        <f>"ДШ (под. 1, ОУ№ 3.4.8-7)"</f>
        <v>ДШ (под. 1, ОУ№ 3.4.8-7)</v>
      </c>
      <c r="J319" t="str">
        <f>"Курск, Садовая, 10 а"</f>
        <v>Курск, Садовая, 10 а</v>
      </c>
      <c r="K319" t="str">
        <f t="shared" si="74"/>
        <v>ДШ-1</v>
      </c>
      <c r="L319" t="str">
        <f>"06-FEB-18"</f>
        <v>06-FEB-18</v>
      </c>
      <c r="M319">
        <v>196630</v>
      </c>
      <c r="N319" t="str">
        <f>""</f>
        <v/>
      </c>
      <c r="O319" t="str">
        <f>"HSH-196630"</f>
        <v>HSH-196630</v>
      </c>
      <c r="P319" t="str">
        <f t="shared" si="62"/>
        <v>Нет</v>
      </c>
      <c r="Q319" t="str">
        <f>"КСК00000000000000192"</f>
        <v>КСК00000000000000192</v>
      </c>
      <c r="R319" t="str">
        <f>""</f>
        <v/>
      </c>
      <c r="S319" t="str">
        <f t="shared" si="72"/>
        <v>Основной</v>
      </c>
      <c r="T319" t="str">
        <f t="shared" si="64"/>
        <v>ГУТС</v>
      </c>
      <c r="U319" t="str">
        <f>""</f>
        <v/>
      </c>
      <c r="V319" t="str">
        <f t="shared" si="65"/>
        <v>Нет</v>
      </c>
      <c r="W319">
        <v>51.741486879999997</v>
      </c>
      <c r="X319">
        <v>36.191983</v>
      </c>
      <c r="Y319" t="str">
        <f>"20000004569964"</f>
        <v>20000004569964</v>
      </c>
    </row>
    <row r="320" spans="1:25" x14ac:dyDescent="0.25">
      <c r="A320">
        <v>907</v>
      </c>
      <c r="B320" t="str">
        <f t="shared" si="61"/>
        <v>Курск</v>
      </c>
      <c r="C320">
        <v>533933</v>
      </c>
      <c r="D320" t="str">
        <f>"ОК 3.4.8-8 Курск, Садовая, 13  п. 2"</f>
        <v>ОК 3.4.8-8 Курск, Садовая, 13  п. 2</v>
      </c>
      <c r="E320" t="str">
        <f>"КРН-16-SC"</f>
        <v>КРН-16-SC</v>
      </c>
      <c r="F320" t="str">
        <f>"07.02.2018"</f>
        <v>07.02.2018</v>
      </c>
      <c r="G320" t="str">
        <f>""</f>
        <v/>
      </c>
      <c r="H320" t="str">
        <f>"ОК 3.4.8-8"</f>
        <v>ОК 3.4.8-8</v>
      </c>
      <c r="I320" t="str">
        <f>"ДШ (под. 2, ОУ№ 2)"</f>
        <v>ДШ (под. 2, ОУ№ 2)</v>
      </c>
      <c r="J320" t="str">
        <f>"Курск, Садовая, 13"</f>
        <v>Курск, Садовая, 13</v>
      </c>
      <c r="K320" t="str">
        <f t="shared" si="74"/>
        <v>ДШ-1</v>
      </c>
      <c r="L320" t="str">
        <f>"06-FEB-18"</f>
        <v>06-FEB-18</v>
      </c>
      <c r="M320">
        <v>196637</v>
      </c>
      <c r="N320" t="str">
        <f>""</f>
        <v/>
      </c>
      <c r="O320" t="str">
        <f>"HSH-196637"</f>
        <v>HSH-196637</v>
      </c>
      <c r="P320" t="str">
        <f t="shared" si="62"/>
        <v>Нет</v>
      </c>
      <c r="Q320" t="str">
        <f>"КСК00000000000000192"</f>
        <v>КСК00000000000000192</v>
      </c>
      <c r="R320" t="str">
        <f>""</f>
        <v/>
      </c>
      <c r="S320" t="str">
        <f t="shared" si="72"/>
        <v>Основной</v>
      </c>
      <c r="T320" t="str">
        <f t="shared" si="64"/>
        <v>ГУТС</v>
      </c>
      <c r="U320" t="str">
        <f>""</f>
        <v/>
      </c>
      <c r="V320" t="str">
        <f t="shared" si="65"/>
        <v>Нет</v>
      </c>
      <c r="W320">
        <v>51.742039939999998</v>
      </c>
      <c r="X320">
        <v>36.191067019999998</v>
      </c>
      <c r="Y320" t="str">
        <f>"20000004569965"</f>
        <v>20000004569965</v>
      </c>
    </row>
    <row r="321" spans="1:25" x14ac:dyDescent="0.25">
      <c r="A321">
        <v>907</v>
      </c>
      <c r="B321" t="str">
        <f t="shared" si="61"/>
        <v>Курск</v>
      </c>
      <c r="C321">
        <v>534066</v>
      </c>
      <c r="D321" t="str">
        <f>"ОК1.5.3-3 ППК1.5.3 Курск, Дзержинского, 47 а п. 1"</f>
        <v>ОК1.5.3-3 ППК1.5.3 Курск, Дзержинского, 47 а п. 1</v>
      </c>
      <c r="E321" t="str">
        <f>"КРН-16-SC"</f>
        <v>КРН-16-SC</v>
      </c>
      <c r="F321" t="str">
        <f>"22.02.2018"</f>
        <v>22.02.2018</v>
      </c>
      <c r="G321" t="str">
        <f>"""МедИнвест Групп"""</f>
        <v>"МедИнвест Групп"</v>
      </c>
      <c r="H321" t="str">
        <f>"ОК1.5.3-3 ППК1.5.3"</f>
        <v>ОК1.5.3-3 ППК1.5.3</v>
      </c>
      <c r="I321" t="str">
        <f>"ДШ (под. 1, ОУ№ 1.5.3-3)"</f>
        <v>ДШ (под. 1, ОУ№ 1.5.3-3)</v>
      </c>
      <c r="J321" t="str">
        <f>"Курск, Дзержинского, 47 а"</f>
        <v>Курск, Дзержинского, 47 а</v>
      </c>
      <c r="K321" t="str">
        <f t="shared" si="74"/>
        <v>ДШ-1</v>
      </c>
      <c r="L321" t="str">
        <f>"22-FEB-18"</f>
        <v>22-FEB-18</v>
      </c>
      <c r="M321">
        <v>196885</v>
      </c>
      <c r="N321" t="str">
        <f>""</f>
        <v/>
      </c>
      <c r="O321" t="str">
        <f>"HSH-196885"</f>
        <v>HSH-196885</v>
      </c>
      <c r="P321" t="str">
        <f t="shared" si="62"/>
        <v>Нет</v>
      </c>
      <c r="Q321" t="str">
        <f>"КСК00000000000000151"</f>
        <v>КСК00000000000000151</v>
      </c>
      <c r="R321" t="str">
        <f>""</f>
        <v/>
      </c>
      <c r="S321" t="str">
        <f t="shared" si="72"/>
        <v>Основной</v>
      </c>
      <c r="T321" t="str">
        <f t="shared" si="64"/>
        <v>ГУТС</v>
      </c>
      <c r="U321" t="str">
        <f>""</f>
        <v/>
      </c>
      <c r="V321" t="str">
        <f t="shared" si="65"/>
        <v>Нет</v>
      </c>
      <c r="W321">
        <v>51.725067160000002</v>
      </c>
      <c r="X321">
        <v>36.17891229</v>
      </c>
      <c r="Y321" t="str">
        <f>"20000004569979"</f>
        <v>20000004569979</v>
      </c>
    </row>
    <row r="322" spans="1:25" x14ac:dyDescent="0.25">
      <c r="A322">
        <v>907</v>
      </c>
      <c r="B322" t="str">
        <f t="shared" ref="B322:B377" si="75">"Курск"</f>
        <v>Курск</v>
      </c>
      <c r="C322">
        <v>534266</v>
      </c>
      <c r="D322" t="str">
        <f>"ОК 5.1.1-12.1 ППК 5.1.1 Курск, Кулакова Пр-Кт, 144 а п. 1"</f>
        <v>ОК 5.1.1-12.1 ППК 5.1.1 Курск, Кулакова Пр-Кт, 144 а п. 1</v>
      </c>
      <c r="E322" t="str">
        <f>"Сплайс-пластина"</f>
        <v>Сплайс-пластина</v>
      </c>
      <c r="F322" t="str">
        <f>"26.02.2018"</f>
        <v>26.02.2018</v>
      </c>
      <c r="G322" t="str">
        <f>"Вынос Стройгигант перекресток"</f>
        <v>Вынос Стройгигант перекресток</v>
      </c>
      <c r="H322" t="str">
        <f>"ОК 5.1.1-12.1 ППК 5.1.1"</f>
        <v>ОК 5.1.1-12.1 ППК 5.1.1</v>
      </c>
      <c r="I322" t="str">
        <f>"ДШ (под. 1, ОУ№ 5.1.1-12)"</f>
        <v>ДШ (под. 1, ОУ№ 5.1.1-12)</v>
      </c>
      <c r="J322" t="str">
        <f>"Курск, Кулакова Пр-Кт, 144 а"</f>
        <v>Курск, Кулакова Пр-Кт, 144 а</v>
      </c>
      <c r="K322" t="str">
        <f t="shared" si="74"/>
        <v>ДШ-1</v>
      </c>
      <c r="L322" t="str">
        <f>"26-FEB-18"</f>
        <v>26-FEB-18</v>
      </c>
      <c r="M322">
        <v>196935</v>
      </c>
      <c r="N322" t="str">
        <f>""</f>
        <v/>
      </c>
      <c r="O322" t="str">
        <f>"HSH-196935"</f>
        <v>HSH-196935</v>
      </c>
      <c r="P322" t="str">
        <f t="shared" ref="P322:P377" si="76">"Нет"</f>
        <v>Нет</v>
      </c>
      <c r="Q322" t="str">
        <f>"КСК00000000000000219"</f>
        <v>КСК00000000000000219</v>
      </c>
      <c r="R322" t="str">
        <f>""</f>
        <v/>
      </c>
      <c r="S322" t="str">
        <f t="shared" si="72"/>
        <v>Основной</v>
      </c>
      <c r="T322" t="str">
        <f t="shared" ref="T322:T377" si="77">"ГУТС"</f>
        <v>ГУТС</v>
      </c>
      <c r="U322" t="str">
        <f>""</f>
        <v/>
      </c>
      <c r="V322" t="str">
        <f t="shared" ref="V322:V377" si="78">"Нет"</f>
        <v>Нет</v>
      </c>
      <c r="W322">
        <v>51.661490440000001</v>
      </c>
      <c r="X322">
        <v>36.137864610000001</v>
      </c>
      <c r="Y322" t="str">
        <f>"20000006260680"</f>
        <v>20000006260680</v>
      </c>
    </row>
    <row r="323" spans="1:25" x14ac:dyDescent="0.25">
      <c r="A323">
        <v>907</v>
      </c>
      <c r="B323" t="str">
        <f t="shared" si="75"/>
        <v>Курск</v>
      </c>
      <c r="C323">
        <v>534272</v>
      </c>
      <c r="D323" t="str">
        <f>"ОК 5.1.1-12 ППК 5.1.1 Курск, Кулакова Пр-Кт, 144 а п. 1"</f>
        <v>ОК 5.1.1-12 ППК 5.1.1 Курск, Кулакова Пр-Кт, 144 а п. 1</v>
      </c>
      <c r="E323" t="str">
        <f>"КРН-16-SC"</f>
        <v>КРН-16-SC</v>
      </c>
      <c r="F323" t="str">
        <f>"26.02.2018"</f>
        <v>26.02.2018</v>
      </c>
      <c r="G323" t="str">
        <f>"Вынос Стройгигант перекресток"</f>
        <v>Вынос Стройгигант перекресток</v>
      </c>
      <c r="H323" t="str">
        <f>"ОК 5.1.1-12 ППК 5.1.1"</f>
        <v>ОК 5.1.1-12 ППК 5.1.1</v>
      </c>
      <c r="I323" t="str">
        <f>"ДШ (под. 1, ОУ№ 5.1.1-12)"</f>
        <v>ДШ (под. 1, ОУ№ 5.1.1-12)</v>
      </c>
      <c r="J323" t="str">
        <f>"Курск, Кулакова Пр-Кт, 144 а"</f>
        <v>Курск, Кулакова Пр-Кт, 144 а</v>
      </c>
      <c r="K323" t="str">
        <f t="shared" si="74"/>
        <v>ДШ-1</v>
      </c>
      <c r="L323" t="str">
        <f>"26-FEB-18"</f>
        <v>26-FEB-18</v>
      </c>
      <c r="M323">
        <v>196934</v>
      </c>
      <c r="N323" t="str">
        <f>""</f>
        <v/>
      </c>
      <c r="O323" t="str">
        <f>"HSH-196934"</f>
        <v>HSH-196934</v>
      </c>
      <c r="P323" t="str">
        <f t="shared" si="76"/>
        <v>Нет</v>
      </c>
      <c r="Q323" t="str">
        <f>"КСК00000000000000219"</f>
        <v>КСК00000000000000219</v>
      </c>
      <c r="R323" t="str">
        <f>""</f>
        <v/>
      </c>
      <c r="S323" t="str">
        <f t="shared" si="72"/>
        <v>Основной</v>
      </c>
      <c r="T323" t="str">
        <f t="shared" si="77"/>
        <v>ГУТС</v>
      </c>
      <c r="U323" t="str">
        <f>""</f>
        <v/>
      </c>
      <c r="V323" t="str">
        <f t="shared" si="78"/>
        <v>Нет</v>
      </c>
      <c r="W323">
        <v>51.661413070000002</v>
      </c>
      <c r="X323">
        <v>36.138047</v>
      </c>
      <c r="Y323" t="str">
        <f>"20000004569982"</f>
        <v>20000004569982</v>
      </c>
    </row>
    <row r="324" spans="1:25" x14ac:dyDescent="0.25">
      <c r="A324">
        <v>907</v>
      </c>
      <c r="B324" t="str">
        <f t="shared" si="75"/>
        <v>Курск</v>
      </c>
      <c r="C324">
        <v>534293</v>
      </c>
      <c r="D324" t="str">
        <f>"ОК 5.1.1-13.1 Курск, Кулакова Пр-Кт, 144 а п. 1"</f>
        <v>ОК 5.1.1-13.1 Курск, Кулакова Пр-Кт, 144 а п. 1</v>
      </c>
      <c r="E324" t="str">
        <f>"Сплайс-пластина"</f>
        <v>Сплайс-пластина</v>
      </c>
      <c r="F324" t="str">
        <f>"26.02.2018"</f>
        <v>26.02.2018</v>
      </c>
      <c r="G324" t="str">
        <f>"Вынос Стройгигант перекресток"</f>
        <v>Вынос Стройгигант перекресток</v>
      </c>
      <c r="H324" t="str">
        <f>"ОК 5.1.1-13.1"</f>
        <v>ОК 5.1.1-13.1</v>
      </c>
      <c r="I324" t="str">
        <f>"ДШ (под. 1, ОУ№ 5.1.1-13)"</f>
        <v>ДШ (под. 1, ОУ№ 5.1.1-13)</v>
      </c>
      <c r="J324" t="str">
        <f>"Курск, Кулакова Пр-Кт, 144 а"</f>
        <v>Курск, Кулакова Пр-Кт, 144 а</v>
      </c>
      <c r="K324" t="str">
        <f t="shared" si="74"/>
        <v>ДШ-1</v>
      </c>
      <c r="L324" t="str">
        <f>"26-FEB-18"</f>
        <v>26-FEB-18</v>
      </c>
      <c r="M324">
        <v>196940</v>
      </c>
      <c r="N324" t="str">
        <f>""</f>
        <v/>
      </c>
      <c r="O324" t="str">
        <f>"HSH-196940"</f>
        <v>HSH-196940</v>
      </c>
      <c r="P324" t="str">
        <f t="shared" si="76"/>
        <v>Нет</v>
      </c>
      <c r="Q324" t="str">
        <f>"КСК00000000000000219"</f>
        <v>КСК00000000000000219</v>
      </c>
      <c r="R324" t="str">
        <f>""</f>
        <v/>
      </c>
      <c r="S324" t="str">
        <f t="shared" si="72"/>
        <v>Основной</v>
      </c>
      <c r="T324" t="str">
        <f t="shared" si="77"/>
        <v>ГУТС</v>
      </c>
      <c r="U324" t="str">
        <f>""</f>
        <v/>
      </c>
      <c r="V324" t="str">
        <f t="shared" si="78"/>
        <v>Нет</v>
      </c>
      <c r="W324">
        <v>51.661930509999998</v>
      </c>
      <c r="X324">
        <v>36.138004080000002</v>
      </c>
      <c r="Y324" t="str">
        <f>"20000006260681"</f>
        <v>20000006260681</v>
      </c>
    </row>
    <row r="325" spans="1:25" x14ac:dyDescent="0.25">
      <c r="A325">
        <v>907</v>
      </c>
      <c r="B325" t="str">
        <f t="shared" si="75"/>
        <v>Курск</v>
      </c>
      <c r="C325">
        <v>534666</v>
      </c>
      <c r="D325" t="str">
        <f>"ОК 2.2.8-1.1 Курск, Дружбы Пр-Кт, 18  п. 1"</f>
        <v>ОК 2.2.8-1.1 Курск, Дружбы Пр-Кт, 18  п. 1</v>
      </c>
      <c r="E325" t="str">
        <f>"Сплайс-пластина"</f>
        <v>Сплайс-пластина</v>
      </c>
      <c r="F325" t="str">
        <f>"20.03.2018"</f>
        <v>20.03.2018</v>
      </c>
      <c r="G325" t="str">
        <f>"МКК Джет Мани Микрофинанс"</f>
        <v>МКК Джет Мани Микрофинанс</v>
      </c>
      <c r="H325" t="str">
        <f>"ОК 2.2.8-1.1"</f>
        <v>ОК 2.2.8-1.1</v>
      </c>
      <c r="I325" t="str">
        <f>"ДШ (под. 1, ОУ№ 2.2.8-1)"</f>
        <v>ДШ (под. 1, ОУ№ 2.2.8-1)</v>
      </c>
      <c r="J325" t="str">
        <f>"Курск, Дружбы Пр-Кт, 18"</f>
        <v>Курск, Дружбы Пр-Кт, 18</v>
      </c>
      <c r="K325" t="str">
        <f t="shared" si="74"/>
        <v>ДШ-1</v>
      </c>
      <c r="L325" t="str">
        <f>"15-MAR-18"</f>
        <v>15-MAR-18</v>
      </c>
      <c r="M325">
        <v>197537</v>
      </c>
      <c r="N325" t="str">
        <f>""</f>
        <v/>
      </c>
      <c r="O325" t="str">
        <f>"HSH-197537"</f>
        <v>HSH-197537</v>
      </c>
      <c r="P325" t="str">
        <f t="shared" si="76"/>
        <v>Нет</v>
      </c>
      <c r="Q325" t="str">
        <f>"КСК00000000000000125"</f>
        <v>КСК00000000000000125</v>
      </c>
      <c r="R325" t="str">
        <f>""</f>
        <v/>
      </c>
      <c r="S325" t="str">
        <f t="shared" si="72"/>
        <v>Основной</v>
      </c>
      <c r="T325" t="str">
        <f t="shared" si="77"/>
        <v>ГУТС</v>
      </c>
      <c r="U325" t="str">
        <f>""</f>
        <v/>
      </c>
      <c r="V325" t="str">
        <f t="shared" si="78"/>
        <v>Нет</v>
      </c>
      <c r="W325">
        <v>51.741175810000001</v>
      </c>
      <c r="X325">
        <v>36.134810739999999</v>
      </c>
      <c r="Y325" t="str">
        <f>"20000006260413"</f>
        <v>20000006260413</v>
      </c>
    </row>
    <row r="326" spans="1:25" x14ac:dyDescent="0.25">
      <c r="A326">
        <v>907</v>
      </c>
      <c r="B326" t="str">
        <f t="shared" si="75"/>
        <v>Курск</v>
      </c>
      <c r="C326">
        <v>534693</v>
      </c>
      <c r="D326" t="str">
        <f>"ОК1.1.5-2.1 ППК1.1.5 Курск, Дзержинского, 99 а п. 1"</f>
        <v>ОК1.1.5-2.1 ППК1.1.5 Курск, Дзержинского, 99 а п. 1</v>
      </c>
      <c r="E326" t="str">
        <f>"Сплайс-пластина"</f>
        <v>Сплайс-пластина</v>
      </c>
      <c r="F326" t="str">
        <f>"20.03.2018"</f>
        <v>20.03.2018</v>
      </c>
      <c r="G326" t="str">
        <f>"ПРЕСТИЖ-ИНТЕРНЕТ"</f>
        <v>ПРЕСТИЖ-ИНТЕРНЕТ</v>
      </c>
      <c r="H326" t="str">
        <f>"ОК1.1.5-2.1 ППК1.1.5"</f>
        <v>ОК1.1.5-2.1 ППК1.1.5</v>
      </c>
      <c r="I326" t="str">
        <f>"ДШ (под. 1, ОУ№ 1.1.5-2)"</f>
        <v>ДШ (под. 1, ОУ№ 1.1.5-2)</v>
      </c>
      <c r="J326" t="str">
        <f>"Курск, Дзержинского, 99 а"</f>
        <v>Курск, Дзержинского, 99 а</v>
      </c>
      <c r="K326" t="str">
        <f t="shared" si="74"/>
        <v>ДШ-1</v>
      </c>
      <c r="L326" t="str">
        <f>"23-MAR-18"</f>
        <v>23-MAR-18</v>
      </c>
      <c r="M326">
        <v>197553</v>
      </c>
      <c r="N326" t="str">
        <f>""</f>
        <v/>
      </c>
      <c r="O326" t="str">
        <f>"HSH-197553"</f>
        <v>HSH-197553</v>
      </c>
      <c r="P326" t="str">
        <f t="shared" si="76"/>
        <v>Нет</v>
      </c>
      <c r="Q326" t="str">
        <f>"КСК00000000000000327"</f>
        <v>КСК00000000000000327</v>
      </c>
      <c r="R326" t="str">
        <f>""</f>
        <v/>
      </c>
      <c r="S326" t="str">
        <f t="shared" si="72"/>
        <v>Основной</v>
      </c>
      <c r="T326" t="str">
        <f t="shared" si="77"/>
        <v>ГУТС</v>
      </c>
      <c r="U326" t="str">
        <f>""</f>
        <v/>
      </c>
      <c r="V326" t="str">
        <f t="shared" si="78"/>
        <v>Нет</v>
      </c>
      <c r="W326">
        <v>51.720890490000002</v>
      </c>
      <c r="X326">
        <v>36.166983449999996</v>
      </c>
      <c r="Y326" t="str">
        <f>"20000006260414"</f>
        <v>20000006260414</v>
      </c>
    </row>
    <row r="327" spans="1:25" x14ac:dyDescent="0.25">
      <c r="A327">
        <v>907</v>
      </c>
      <c r="B327" t="str">
        <f t="shared" si="75"/>
        <v>Курск</v>
      </c>
      <c r="C327">
        <v>534752</v>
      </c>
      <c r="D327" t="str">
        <f>"ОК 3.1.7-5 ППК 3.1.7 Курск, Карла Маркса, 77 в/2 п. 1"</f>
        <v>ОК 3.1.7-5 ППК 3.1.7 Курск, Карла Маркса, 77 в/2 п. 1</v>
      </c>
      <c r="E327" t="str">
        <f>"КРС-8/16-SC"</f>
        <v>КРС-8/16-SC</v>
      </c>
      <c r="F327" t="str">
        <f>"21.03.2018"</f>
        <v>21.03.2018</v>
      </c>
      <c r="G327" t="str">
        <f>"Обувь плюс"</f>
        <v>Обувь плюс</v>
      </c>
      <c r="H327" t="str">
        <f>"ОК 3.1.7-5 ППК 3.1.7"</f>
        <v>ОК 3.1.7-5 ППК 3.1.7</v>
      </c>
      <c r="I327" t="str">
        <f>"ДШ (под. 1, ОУ№ 3.1.7-5)"</f>
        <v>ДШ (под. 1, ОУ№ 3.1.7-5)</v>
      </c>
      <c r="J327" t="str">
        <f>"Курск, Карла Маркса, 77 в/2"</f>
        <v>Курск, Карла Маркса, 77 в/2</v>
      </c>
      <c r="K327" t="str">
        <f t="shared" si="74"/>
        <v>ДШ-1</v>
      </c>
      <c r="L327" t="str">
        <f>"22-MAR-18"</f>
        <v>22-MAR-18</v>
      </c>
      <c r="M327">
        <v>197590</v>
      </c>
      <c r="N327" t="str">
        <f>""</f>
        <v/>
      </c>
      <c r="O327" t="str">
        <f>"HSH-197590"</f>
        <v>HSH-197590</v>
      </c>
      <c r="P327" t="str">
        <f t="shared" si="76"/>
        <v>Нет</v>
      </c>
      <c r="Q327" t="str">
        <f>"КСК00000000000000339"</f>
        <v>КСК00000000000000339</v>
      </c>
      <c r="R327" t="str">
        <f>""</f>
        <v/>
      </c>
      <c r="S327" t="str">
        <f t="shared" si="72"/>
        <v>Основной</v>
      </c>
      <c r="T327" t="str">
        <f t="shared" si="77"/>
        <v>ГУТС</v>
      </c>
      <c r="U327" t="str">
        <f>""</f>
        <v/>
      </c>
      <c r="V327" t="str">
        <f t="shared" si="78"/>
        <v>Нет</v>
      </c>
      <c r="W327">
        <v>51.795772370000002</v>
      </c>
      <c r="X327">
        <v>36.162918079999997</v>
      </c>
      <c r="Y327" t="str">
        <f>"20000004570111"</f>
        <v>20000004570111</v>
      </c>
    </row>
    <row r="328" spans="1:25" x14ac:dyDescent="0.25">
      <c r="A328">
        <v>907</v>
      </c>
      <c r="B328" t="str">
        <f t="shared" si="75"/>
        <v>Курск</v>
      </c>
      <c r="C328">
        <v>534881</v>
      </c>
      <c r="D328" t="str">
        <f>"ОК10  ППК 2.6.1 Курск, Пучковка, 51 б п. 1"</f>
        <v>ОК10  ППК 2.6.1 Курск, Пучковка, 51 б п. 1</v>
      </c>
      <c r="E328" t="str">
        <f>"КРС-8/16-SC"</f>
        <v>КРС-8/16-SC</v>
      </c>
      <c r="F328" t="str">
        <f>"27.03.2018"</f>
        <v>27.03.2018</v>
      </c>
      <c r="G328" t="str">
        <f>"Хлебпром"</f>
        <v>Хлебпром</v>
      </c>
      <c r="H328" t="str">
        <f>"ОК10  ППК 2.6.1"</f>
        <v>ОК10  ППК 2.6.1</v>
      </c>
      <c r="I328" t="str">
        <f>"ДШ (под. 1, ОУ№ 10)"</f>
        <v>ДШ (под. 1, ОУ№ 10)</v>
      </c>
      <c r="J328" t="str">
        <f>"Курск, Пучковка, 51 б"</f>
        <v>Курск, Пучковка, 51 б</v>
      </c>
      <c r="K328" t="str">
        <f t="shared" si="74"/>
        <v>ДШ-1</v>
      </c>
      <c r="L328" t="str">
        <f>"23-MAR-18"</f>
        <v>23-MAR-18</v>
      </c>
      <c r="M328">
        <v>197737</v>
      </c>
      <c r="N328" t="str">
        <f>""</f>
        <v/>
      </c>
      <c r="O328" t="str">
        <f>"HSH-197737"</f>
        <v>HSH-197737</v>
      </c>
      <c r="P328" t="str">
        <f t="shared" si="76"/>
        <v>Нет</v>
      </c>
      <c r="Q328" t="str">
        <f>"КСК00000000000000358"</f>
        <v>КСК00000000000000358</v>
      </c>
      <c r="R328" t="str">
        <f>""</f>
        <v/>
      </c>
      <c r="S328" t="str">
        <f t="shared" si="72"/>
        <v>Основной</v>
      </c>
      <c r="T328" t="str">
        <f t="shared" si="77"/>
        <v>ГУТС</v>
      </c>
      <c r="U328" t="str">
        <f>""</f>
        <v/>
      </c>
      <c r="V328" t="str">
        <f t="shared" si="78"/>
        <v>Нет</v>
      </c>
      <c r="W328">
        <v>51.758443999999997</v>
      </c>
      <c r="X328">
        <v>36.142026999999999</v>
      </c>
      <c r="Y328" t="str">
        <f>"20000004570136"</f>
        <v>20000004570136</v>
      </c>
    </row>
    <row r="329" spans="1:25" x14ac:dyDescent="0.25">
      <c r="A329">
        <v>907</v>
      </c>
      <c r="B329" t="str">
        <f t="shared" si="75"/>
        <v>Курск</v>
      </c>
      <c r="C329">
        <v>534968</v>
      </c>
      <c r="D329" t="str">
        <f>"ОК 3.1.1-23 Курск, Карла Маркса, 6  п. 1"</f>
        <v>ОК 3.1.1-23 Курск, Карла Маркса, 6  п. 1</v>
      </c>
      <c r="E329" t="str">
        <f>"КРС-8/16-SC"</f>
        <v>КРС-8/16-SC</v>
      </c>
      <c r="F329" t="str">
        <f>"28.03.2018"</f>
        <v>28.03.2018</v>
      </c>
      <c r="G329" t="str">
        <f>""</f>
        <v/>
      </c>
      <c r="H329" t="str">
        <f>"ОК 3.1.1-23"</f>
        <v>ОК 3.1.1-23</v>
      </c>
      <c r="I329" t="str">
        <f>"ДШ (под. 1, ОУ№ 3.1.1-26)"</f>
        <v>ДШ (под. 1, ОУ№ 3.1.1-26)</v>
      </c>
      <c r="J329" t="str">
        <f>"Курск, Карла Маркса, 6"</f>
        <v>Курск, Карла Маркса, 6</v>
      </c>
      <c r="K329" t="str">
        <f>"Серверная"</f>
        <v>Серверная</v>
      </c>
      <c r="L329" t="str">
        <f>"28-MAR-18"</f>
        <v>28-MAR-18</v>
      </c>
      <c r="M329">
        <v>197753</v>
      </c>
      <c r="N329" t="str">
        <f>""</f>
        <v/>
      </c>
      <c r="O329" t="str">
        <f>"KURSK001805"</f>
        <v>KURSK001805</v>
      </c>
      <c r="P329" t="str">
        <f t="shared" si="76"/>
        <v>Нет</v>
      </c>
      <c r="Q329" t="str">
        <f>"КСК00000000000000178"</f>
        <v>КСК00000000000000178</v>
      </c>
      <c r="R329" t="str">
        <f>""</f>
        <v/>
      </c>
      <c r="S329" t="str">
        <f t="shared" si="72"/>
        <v>Основной</v>
      </c>
      <c r="T329" t="str">
        <f t="shared" si="77"/>
        <v>ГУТС</v>
      </c>
      <c r="U329" t="str">
        <f>""</f>
        <v/>
      </c>
      <c r="V329" t="str">
        <f t="shared" si="78"/>
        <v>Нет</v>
      </c>
      <c r="W329">
        <v>51.748766140000001</v>
      </c>
      <c r="X329">
        <v>36.19074887</v>
      </c>
      <c r="Y329" t="str">
        <f>"20000004570144"</f>
        <v>20000004570144</v>
      </c>
    </row>
    <row r="330" spans="1:25" x14ac:dyDescent="0.25">
      <c r="A330">
        <v>907</v>
      </c>
      <c r="B330" t="str">
        <f t="shared" si="75"/>
        <v>Курск</v>
      </c>
      <c r="C330">
        <v>534994</v>
      </c>
      <c r="D330" t="str">
        <f>"ОК 5.1 Курск, Серегина, 22 в п. 1"</f>
        <v>ОК 5.1 Курск, Серегина, 22 в п. 1</v>
      </c>
      <c r="E330" t="str">
        <f>"Сплайс-пластина"</f>
        <v>Сплайс-пластина</v>
      </c>
      <c r="F330" t="str">
        <f>"29.03.2018"</f>
        <v>29.03.2018</v>
      </c>
      <c r="G330" t="str">
        <f>"""Смартком"""</f>
        <v>"Смартком"</v>
      </c>
      <c r="H330" t="str">
        <f>"ОК 5.1"</f>
        <v>ОК 5.1</v>
      </c>
      <c r="I330" t="str">
        <f>"ДШ (под. 1, ОУ№ 5)"</f>
        <v>ДШ (под. 1, ОУ№ 5)</v>
      </c>
      <c r="J330" t="str">
        <f>"Курск, Серегина, 22 в"</f>
        <v>Курск, Серегина, 22 в</v>
      </c>
      <c r="K330" t="str">
        <f t="shared" ref="K330:K339" si="79">"ДШ-1"</f>
        <v>ДШ-1</v>
      </c>
      <c r="L330" t="str">
        <f>"28-MAR-18"</f>
        <v>28-MAR-18</v>
      </c>
      <c r="M330">
        <v>197808</v>
      </c>
      <c r="N330" t="str">
        <f>""</f>
        <v/>
      </c>
      <c r="O330" t="str">
        <f>"HSH-197808"</f>
        <v>HSH-197808</v>
      </c>
      <c r="P330" t="str">
        <f t="shared" si="76"/>
        <v>Нет</v>
      </c>
      <c r="Q330" t="str">
        <f>"КСК00000000000000331"</f>
        <v>КСК00000000000000331</v>
      </c>
      <c r="R330" t="str">
        <f>""</f>
        <v/>
      </c>
      <c r="S330" t="str">
        <f t="shared" ref="S330:S341" si="80">"Основной"</f>
        <v>Основной</v>
      </c>
      <c r="T330" t="str">
        <f t="shared" si="77"/>
        <v>ГУТС</v>
      </c>
      <c r="U330" t="str">
        <f>""</f>
        <v/>
      </c>
      <c r="V330" t="str">
        <f t="shared" si="78"/>
        <v>Нет</v>
      </c>
      <c r="W330">
        <v>51.674229189999998</v>
      </c>
      <c r="X330">
        <v>36.137015910000002</v>
      </c>
      <c r="Y330" t="str">
        <f>"20000006260425"</f>
        <v>20000006260425</v>
      </c>
    </row>
    <row r="331" spans="1:25" x14ac:dyDescent="0.25">
      <c r="A331">
        <v>907</v>
      </c>
      <c r="B331" t="str">
        <f t="shared" si="75"/>
        <v>Курск</v>
      </c>
      <c r="C331">
        <v>535479</v>
      </c>
      <c r="D331" t="str">
        <f>"ОК1.1.1-60 ППК 1.1.1 Курск, Сосновская, 1 /3а п. 1"</f>
        <v>ОК1.1.1-60 ППК 1.1.1 Курск, Сосновская, 1 /3а п. 1</v>
      </c>
      <c r="E331" t="str">
        <f t="shared" ref="E331:E337" si="81">"КРС-8/16-SC"</f>
        <v>КРС-8/16-SC</v>
      </c>
      <c r="F331" t="str">
        <f>"16.04.2018"</f>
        <v>16.04.2018</v>
      </c>
      <c r="G331" t="str">
        <f>"Вынос Олимпийский"</f>
        <v>Вынос Олимпийский</v>
      </c>
      <c r="H331" t="str">
        <f>"ОК1.1.1-60 ППК 1.1.1"</f>
        <v>ОК1.1.1-60 ППК 1.1.1</v>
      </c>
      <c r="I331" t="str">
        <f>"ДШ (под. 1, ОУ№ 1.1.1-60)"</f>
        <v>ДШ (под. 1, ОУ№ 1.1.1-60)</v>
      </c>
      <c r="J331" t="str">
        <f>"Курск, Сосновская, 1 /3а"</f>
        <v>Курск, Сосновская, 1 /3а</v>
      </c>
      <c r="K331" t="str">
        <f t="shared" si="79"/>
        <v>ДШ-1</v>
      </c>
      <c r="L331" t="str">
        <f>"13-NOV-18"</f>
        <v>13-NOV-18</v>
      </c>
      <c r="M331">
        <v>198207</v>
      </c>
      <c r="N331" t="str">
        <f>""</f>
        <v/>
      </c>
      <c r="O331" t="str">
        <f>"HSH-198207"</f>
        <v>HSH-198207</v>
      </c>
      <c r="P331" t="str">
        <f t="shared" si="76"/>
        <v>Нет</v>
      </c>
      <c r="Q331" t="str">
        <f>"КСК00000000000000027"</f>
        <v>КСК00000000000000027</v>
      </c>
      <c r="R331" t="str">
        <f>""</f>
        <v/>
      </c>
      <c r="S331" t="str">
        <f t="shared" si="80"/>
        <v>Основной</v>
      </c>
      <c r="T331" t="str">
        <f t="shared" si="77"/>
        <v>ГУТС</v>
      </c>
      <c r="U331" t="str">
        <f>""</f>
        <v/>
      </c>
      <c r="V331" t="str">
        <f t="shared" si="78"/>
        <v>Нет</v>
      </c>
      <c r="W331">
        <v>51.728315700000003</v>
      </c>
      <c r="X331">
        <v>36.186127020000001</v>
      </c>
      <c r="Y331" t="str">
        <f>"20000004570201"</f>
        <v>20000004570201</v>
      </c>
    </row>
    <row r="332" spans="1:25" x14ac:dyDescent="0.25">
      <c r="A332">
        <v>907</v>
      </c>
      <c r="B332" t="str">
        <f t="shared" si="75"/>
        <v>Курск</v>
      </c>
      <c r="C332">
        <v>535492</v>
      </c>
      <c r="D332" t="str">
        <f>"ОК1.1.1-85 ППК 1.1.1 Курск, Дзержинского, 25  п. 1"</f>
        <v>ОК1.1.1-85 ППК 1.1.1 Курск, Дзержинского, 25  п. 1</v>
      </c>
      <c r="E332" t="str">
        <f t="shared" si="81"/>
        <v>КРС-8/16-SC</v>
      </c>
      <c r="F332" t="str">
        <f>"16.04.2018"</f>
        <v>16.04.2018</v>
      </c>
      <c r="G332" t="str">
        <f>"Вынос Олимпийский"</f>
        <v>Вынос Олимпийский</v>
      </c>
      <c r="H332" t="str">
        <f>"ОК1.1.1-85 ППК 1.1.1"</f>
        <v>ОК1.1.1-85 ППК 1.1.1</v>
      </c>
      <c r="I332" t="str">
        <f>"ДШ (под. 1, ОУ№ 1.1.1-85)"</f>
        <v>ДШ (под. 1, ОУ№ 1.1.1-85)</v>
      </c>
      <c r="J332" t="str">
        <f>"Курск, Дзержинского, 25"</f>
        <v>Курск, Дзержинского, 25</v>
      </c>
      <c r="K332" t="str">
        <f t="shared" si="79"/>
        <v>ДШ-1</v>
      </c>
      <c r="L332" t="str">
        <f>"13-NOV-18"</f>
        <v>13-NOV-18</v>
      </c>
      <c r="M332">
        <v>198206</v>
      </c>
      <c r="N332" t="str">
        <f>""</f>
        <v/>
      </c>
      <c r="O332" t="str">
        <f>"HSH-198206"</f>
        <v>HSH-198206</v>
      </c>
      <c r="P332" t="str">
        <f t="shared" si="76"/>
        <v>Нет</v>
      </c>
      <c r="Q332" t="str">
        <f>"КСК00000000000000027"</f>
        <v>КСК00000000000000027</v>
      </c>
      <c r="R332" t="str">
        <f>""</f>
        <v/>
      </c>
      <c r="S332" t="str">
        <f t="shared" si="80"/>
        <v>Основной</v>
      </c>
      <c r="T332" t="str">
        <f t="shared" si="77"/>
        <v>ГУТС</v>
      </c>
      <c r="U332" t="str">
        <f>""</f>
        <v/>
      </c>
      <c r="V332" t="str">
        <f t="shared" si="78"/>
        <v>Нет</v>
      </c>
      <c r="W332">
        <v>51.727728990000003</v>
      </c>
      <c r="X332">
        <v>36.18474432</v>
      </c>
      <c r="Y332" t="str">
        <f>"20000004570203"</f>
        <v>20000004570203</v>
      </c>
    </row>
    <row r="333" spans="1:25" x14ac:dyDescent="0.25">
      <c r="A333">
        <v>907</v>
      </c>
      <c r="B333" t="str">
        <f t="shared" si="75"/>
        <v>Курск</v>
      </c>
      <c r="C333">
        <v>535896</v>
      </c>
      <c r="D333" t="str">
        <f>"ОК1.1.1-86 ППК 1.1.1 Курск, Литовская, 8 /1 п. 1"</f>
        <v>ОК1.1.1-86 ППК 1.1.1 Курск, Литовская, 8 /1 п. 1</v>
      </c>
      <c r="E333" t="str">
        <f t="shared" si="81"/>
        <v>КРС-8/16-SC</v>
      </c>
      <c r="F333" t="str">
        <f>"24.05.2018"</f>
        <v>24.05.2018</v>
      </c>
      <c r="G333" t="str">
        <f>"Подвалков Андрей Владимирович"</f>
        <v>Подвалков Андрей Владимирович</v>
      </c>
      <c r="H333" t="str">
        <f>"ОК1.1.1-86 ППК 1.1.1"</f>
        <v>ОК1.1.1-86 ППК 1.1.1</v>
      </c>
      <c r="I333" t="str">
        <f>"ДШ (под. 1, ОУ№ 1.1.1-86)"</f>
        <v>ДШ (под. 1, ОУ№ 1.1.1-86)</v>
      </c>
      <c r="J333" t="str">
        <f>"Курск, Литовская, 8 /1"</f>
        <v>Курск, Литовская, 8 /1</v>
      </c>
      <c r="K333" t="str">
        <f t="shared" si="79"/>
        <v>ДШ-1</v>
      </c>
      <c r="L333" t="str">
        <f>"13-NOV-18"</f>
        <v>13-NOV-18</v>
      </c>
      <c r="M333">
        <v>198917</v>
      </c>
      <c r="N333" t="str">
        <f>""</f>
        <v/>
      </c>
      <c r="O333" t="str">
        <f>"HSH-198917"</f>
        <v>HSH-198917</v>
      </c>
      <c r="P333" t="str">
        <f t="shared" si="76"/>
        <v>Нет</v>
      </c>
      <c r="Q333" t="str">
        <f>"КСК00000000000000027"</f>
        <v>КСК00000000000000027</v>
      </c>
      <c r="R333" t="str">
        <f>""</f>
        <v/>
      </c>
      <c r="S333" t="str">
        <f t="shared" si="80"/>
        <v>Основной</v>
      </c>
      <c r="T333" t="str">
        <f t="shared" si="77"/>
        <v>ГУТС</v>
      </c>
      <c r="U333" t="str">
        <f>""</f>
        <v/>
      </c>
      <c r="V333" t="str">
        <f t="shared" si="78"/>
        <v>Нет</v>
      </c>
      <c r="W333">
        <v>51.706545560000002</v>
      </c>
      <c r="X333">
        <v>36.176884430000001</v>
      </c>
      <c r="Y333" t="str">
        <f>"20000004570250"</f>
        <v>20000004570250</v>
      </c>
    </row>
    <row r="334" spans="1:25" x14ac:dyDescent="0.25">
      <c r="A334">
        <v>907</v>
      </c>
      <c r="B334" t="str">
        <f t="shared" si="75"/>
        <v>Курск</v>
      </c>
      <c r="C334">
        <v>536266</v>
      </c>
      <c r="D334" t="str">
        <f>"ОК5.6.5-2 ППК 5.6.5 Курск, Магистральная, 1 /6 п. 1"</f>
        <v>ОК5.6.5-2 ППК 5.6.5 Курск, Магистральная, 1 /6 п. 1</v>
      </c>
      <c r="E334" t="str">
        <f t="shared" si="81"/>
        <v>КРС-8/16-SC</v>
      </c>
      <c r="F334" t="str">
        <f>"19.06.2018"</f>
        <v>19.06.2018</v>
      </c>
      <c r="G334" t="str">
        <f>"Чернова Юлия Евгеньевна"</f>
        <v>Чернова Юлия Евгеньевна</v>
      </c>
      <c r="H334" t="str">
        <f>"ОК5.6.5-2 ППК 5.6.5"</f>
        <v>ОК5.6.5-2 ППК 5.6.5</v>
      </c>
      <c r="I334" t="str">
        <f>"ДШ (под. 1, ОУ№ 5.6.5-2)"</f>
        <v>ДШ (под. 1, ОУ№ 5.6.5-2)</v>
      </c>
      <c r="J334" t="str">
        <f>"Курск, Магистральная, 1 /6"</f>
        <v>Курск, Магистральная, 1 /6</v>
      </c>
      <c r="K334" t="str">
        <f t="shared" si="79"/>
        <v>ДШ-1</v>
      </c>
      <c r="L334" t="str">
        <f>"26-NOV-18"</f>
        <v>26-NOV-18</v>
      </c>
      <c r="M334">
        <v>199359</v>
      </c>
      <c r="N334" t="str">
        <f>""</f>
        <v/>
      </c>
      <c r="O334" t="str">
        <f>"HSH-199359"</f>
        <v>HSH-199359</v>
      </c>
      <c r="P334" t="str">
        <f t="shared" si="76"/>
        <v>Нет</v>
      </c>
      <c r="Q334" t="str">
        <f>"КСК00000000000000336"</f>
        <v>КСК00000000000000336</v>
      </c>
      <c r="R334" t="str">
        <f>""</f>
        <v/>
      </c>
      <c r="S334" t="str">
        <f t="shared" si="80"/>
        <v>Основной</v>
      </c>
      <c r="T334" t="str">
        <f t="shared" si="77"/>
        <v>ГУТС</v>
      </c>
      <c r="U334" t="str">
        <f>""</f>
        <v/>
      </c>
      <c r="V334" t="str">
        <f t="shared" si="78"/>
        <v>Нет</v>
      </c>
      <c r="W334">
        <v>51.652542480000001</v>
      </c>
      <c r="X334">
        <v>36.129937169999998</v>
      </c>
      <c r="Y334" t="str">
        <f>"20000004570365"</f>
        <v>20000004570365</v>
      </c>
    </row>
    <row r="335" spans="1:25" x14ac:dyDescent="0.25">
      <c r="A335">
        <v>907</v>
      </c>
      <c r="B335" t="str">
        <f t="shared" si="75"/>
        <v>Курск</v>
      </c>
      <c r="C335">
        <v>536666</v>
      </c>
      <c r="D335" t="str">
        <f>"ОК1.1.1-91 ППК 1.1.1 Курск, Карла Либкнехта, 7  п. 1"</f>
        <v>ОК1.1.1-91 ППК 1.1.1 Курск, Карла Либкнехта, 7  п. 1</v>
      </c>
      <c r="E335" t="str">
        <f t="shared" si="81"/>
        <v>КРС-8/16-SC</v>
      </c>
      <c r="F335" t="str">
        <f>"09.07.2018"</f>
        <v>09.07.2018</v>
      </c>
      <c r="G335" t="str">
        <f>"Клиника Эксперт Курск"</f>
        <v>Клиника Эксперт Курск</v>
      </c>
      <c r="H335" t="str">
        <f>"ОК1.1.1-91 ППК 1.1.1"</f>
        <v>ОК1.1.1-91 ППК 1.1.1</v>
      </c>
      <c r="I335" t="str">
        <f>"ДШ (под. 1, ОУ№ 1.1.1-91)"</f>
        <v>ДШ (под. 1, ОУ№ 1.1.1-91)</v>
      </c>
      <c r="J335" t="str">
        <f>"Курск, Карла Либкнехта, 7"</f>
        <v>Курск, Карла Либкнехта, 7</v>
      </c>
      <c r="K335" t="str">
        <f t="shared" si="79"/>
        <v>ДШ-1</v>
      </c>
      <c r="L335" t="str">
        <f>"21-NOV-18"</f>
        <v>21-NOV-18</v>
      </c>
      <c r="M335">
        <v>199708</v>
      </c>
      <c r="N335" t="str">
        <f>""</f>
        <v/>
      </c>
      <c r="O335" t="str">
        <f>"HSH-199708"</f>
        <v>HSH-199708</v>
      </c>
      <c r="P335" t="str">
        <f t="shared" si="76"/>
        <v>Нет</v>
      </c>
      <c r="Q335" t="str">
        <f>"КСК00000000000000027"</f>
        <v>КСК00000000000000027</v>
      </c>
      <c r="R335" t="str">
        <f>""</f>
        <v/>
      </c>
      <c r="S335" t="str">
        <f t="shared" si="80"/>
        <v>Основной</v>
      </c>
      <c r="T335" t="str">
        <f t="shared" si="77"/>
        <v>ГУТС</v>
      </c>
      <c r="U335" t="str">
        <f>""</f>
        <v/>
      </c>
      <c r="V335" t="str">
        <f t="shared" si="78"/>
        <v>Нет</v>
      </c>
      <c r="W335">
        <v>51.727874399999997</v>
      </c>
      <c r="X335">
        <v>36.181366660000002</v>
      </c>
      <c r="Y335" t="str">
        <f>"20000004570405"</f>
        <v>20000004570405</v>
      </c>
    </row>
    <row r="336" spans="1:25" x14ac:dyDescent="0.25">
      <c r="A336">
        <v>907</v>
      </c>
      <c r="B336" t="str">
        <f t="shared" si="75"/>
        <v>Курск</v>
      </c>
      <c r="C336">
        <v>537493</v>
      </c>
      <c r="D336" t="str">
        <f>"ОК1.1.1-92 ППК 1.1.1 Курск, Гайдара, 13 /2 п. 1"</f>
        <v>ОК1.1.1-92 ППК 1.1.1 Курск, Гайдара, 13 /2 п. 1</v>
      </c>
      <c r="E336" t="str">
        <f t="shared" si="81"/>
        <v>КРС-8/16-SC</v>
      </c>
      <c r="F336" t="str">
        <f>"02.10.2018"</f>
        <v>02.10.2018</v>
      </c>
      <c r="G336" t="str">
        <f>"ВЕКТОР"</f>
        <v>ВЕКТОР</v>
      </c>
      <c r="H336" t="str">
        <f>"ОК1.1.1-92 ППК 1.1.1"</f>
        <v>ОК1.1.1-92 ППК 1.1.1</v>
      </c>
      <c r="I336" t="str">
        <f>"ДШ (под. 1, ОУ№ 1.1.1-92)"</f>
        <v>ДШ (под. 1, ОУ№ 1.1.1-92)</v>
      </c>
      <c r="J336" t="str">
        <f>"Курск, Гайдара, 13 /2"</f>
        <v>Курск, Гайдара, 13 /2</v>
      </c>
      <c r="K336" t="str">
        <f t="shared" si="79"/>
        <v>ДШ-1</v>
      </c>
      <c r="L336" t="str">
        <f>"19-NOV-18"</f>
        <v>19-NOV-18</v>
      </c>
      <c r="M336">
        <v>202011</v>
      </c>
      <c r="N336" t="str">
        <f>""</f>
        <v/>
      </c>
      <c r="O336" t="str">
        <f>"HSH-202011"</f>
        <v>HSH-202011</v>
      </c>
      <c r="P336" t="str">
        <f t="shared" si="76"/>
        <v>Нет</v>
      </c>
      <c r="Q336" t="str">
        <f>"КСК00000000000001645"</f>
        <v>КСК00000000000001645</v>
      </c>
      <c r="R336" t="str">
        <f>""</f>
        <v/>
      </c>
      <c r="S336" t="str">
        <f t="shared" si="80"/>
        <v>Основной</v>
      </c>
      <c r="T336" t="str">
        <f t="shared" si="77"/>
        <v>ГУТС</v>
      </c>
      <c r="U336" t="str">
        <f>""</f>
        <v/>
      </c>
      <c r="V336" t="str">
        <f t="shared" si="78"/>
        <v>Нет</v>
      </c>
      <c r="W336">
        <v>51.72276248</v>
      </c>
      <c r="X336">
        <v>36.184479279999998</v>
      </c>
      <c r="Y336" t="str">
        <f>"20000004570778"</f>
        <v>20000004570778</v>
      </c>
    </row>
    <row r="337" spans="1:25" x14ac:dyDescent="0.25">
      <c r="A337">
        <v>907</v>
      </c>
      <c r="B337" t="str">
        <f t="shared" si="75"/>
        <v>Курск</v>
      </c>
      <c r="C337">
        <v>538548</v>
      </c>
      <c r="D337" t="str">
        <f>"ОК2.1 ППК 1.5.5 Курск, Береговая, 5  п. 1"</f>
        <v>ОК2.1 ППК 1.5.5 Курск, Береговая, 5  п. 1</v>
      </c>
      <c r="E337" t="str">
        <f t="shared" si="81"/>
        <v>КРС-8/16-SC</v>
      </c>
      <c r="F337" t="str">
        <f>"19.11.2018"</f>
        <v>19.11.2018</v>
      </c>
      <c r="G337" t="str">
        <f>""</f>
        <v/>
      </c>
      <c r="H337" t="str">
        <f>"ОК2.1 ППК 1.5.5"</f>
        <v>ОК2.1 ППК 1.5.5</v>
      </c>
      <c r="I337" t="str">
        <f>"ДШ (под. 1, ОУ№ 2)"</f>
        <v>ДШ (под. 1, ОУ№ 2)</v>
      </c>
      <c r="J337" t="str">
        <f>"Курск, Береговая, 5"</f>
        <v>Курск, Береговая, 5</v>
      </c>
      <c r="K337" t="str">
        <f t="shared" si="79"/>
        <v>ДШ-1</v>
      </c>
      <c r="L337" t="str">
        <f>"01-DEC-20"</f>
        <v>01-DEC-20</v>
      </c>
      <c r="M337">
        <v>203557</v>
      </c>
      <c r="N337" t="str">
        <f>""</f>
        <v/>
      </c>
      <c r="O337" t="str">
        <f>"HSH-203557"</f>
        <v>HSH-203557</v>
      </c>
      <c r="P337" t="str">
        <f t="shared" si="76"/>
        <v>Нет</v>
      </c>
      <c r="Q337" t="str">
        <f>"КСК00000000000001645"</f>
        <v>КСК00000000000001645</v>
      </c>
      <c r="R337" t="str">
        <f>""</f>
        <v/>
      </c>
      <c r="S337" t="str">
        <f t="shared" si="80"/>
        <v>Основной</v>
      </c>
      <c r="T337" t="str">
        <f t="shared" si="77"/>
        <v>ГУТС</v>
      </c>
      <c r="U337" t="str">
        <f>""</f>
        <v/>
      </c>
      <c r="V337" t="str">
        <f t="shared" si="78"/>
        <v>Нет</v>
      </c>
      <c r="W337">
        <v>51.731646060000003</v>
      </c>
      <c r="X337">
        <v>36.184013800000002</v>
      </c>
      <c r="Y337" t="str">
        <f>"20000004570997"</f>
        <v>20000004570997</v>
      </c>
    </row>
    <row r="338" spans="1:25" x14ac:dyDescent="0.25">
      <c r="A338">
        <v>907</v>
      </c>
      <c r="B338" t="str">
        <f t="shared" si="75"/>
        <v>Курск</v>
      </c>
      <c r="C338">
        <v>539116</v>
      </c>
      <c r="D338" t="str">
        <f>"ОК1.4.9 ППК1.4.8 Курск, Сумская, 39  п. 1"</f>
        <v>ОК1.4.9 ППК1.4.8 Курск, Сумская, 39  п. 1</v>
      </c>
      <c r="E338" t="str">
        <f>"Сплайс-пластина"</f>
        <v>Сплайс-пластина</v>
      </c>
      <c r="F338" t="str">
        <f>"07.12.2018"</f>
        <v>07.12.2018</v>
      </c>
      <c r="G338" t="str">
        <f>""</f>
        <v/>
      </c>
      <c r="H338" t="str">
        <f>"ОК1.4.9 ППК1.4.8"</f>
        <v>ОК1.4.9 ППК1.4.8</v>
      </c>
      <c r="I338" t="str">
        <f>"ДШ (под. 1, ОУ№ 1.4.9)"</f>
        <v>ДШ (под. 1, ОУ№ 1.4.9)</v>
      </c>
      <c r="J338" t="str">
        <f>"Курск, Сумская, 39"</f>
        <v>Курск, Сумская, 39</v>
      </c>
      <c r="K338" t="str">
        <f t="shared" si="79"/>
        <v>ДШ-1</v>
      </c>
      <c r="L338" t="str">
        <f>"21-NOV-18"</f>
        <v>21-NOV-18</v>
      </c>
      <c r="M338">
        <v>204228</v>
      </c>
      <c r="N338" t="str">
        <f>""</f>
        <v/>
      </c>
      <c r="O338" t="str">
        <f>"HSH-204228"</f>
        <v>HSH-204228</v>
      </c>
      <c r="P338" t="str">
        <f t="shared" si="76"/>
        <v>Нет</v>
      </c>
      <c r="Q338" t="str">
        <f>"КСК00000000000000092"</f>
        <v>КСК00000000000000092</v>
      </c>
      <c r="R338" t="str">
        <f>""</f>
        <v/>
      </c>
      <c r="S338" t="str">
        <f t="shared" si="80"/>
        <v>Основной</v>
      </c>
      <c r="T338" t="str">
        <f t="shared" si="77"/>
        <v>ГУТС</v>
      </c>
      <c r="U338" t="str">
        <f>""</f>
        <v/>
      </c>
      <c r="V338" t="str">
        <f t="shared" si="78"/>
        <v>Нет</v>
      </c>
      <c r="W338">
        <v>51.711470630000001</v>
      </c>
      <c r="X338">
        <v>36.142941819999997</v>
      </c>
      <c r="Y338" t="str">
        <f>"20000006260662"</f>
        <v>20000006260662</v>
      </c>
    </row>
    <row r="339" spans="1:25" x14ac:dyDescent="0.25">
      <c r="A339">
        <v>907</v>
      </c>
      <c r="B339" t="str">
        <f t="shared" si="75"/>
        <v>Курск</v>
      </c>
      <c r="C339">
        <v>539324</v>
      </c>
      <c r="D339" t="str">
        <f>"ОК4а ППК 5.2.1 Курск, Обоянская, 14 а п. 1"</f>
        <v>ОК4а ППК 5.2.1 Курск, Обоянская, 14 а п. 1</v>
      </c>
      <c r="E339" t="str">
        <f t="shared" ref="E339:E345" si="82">"КРС-8/16-SC"</f>
        <v>КРС-8/16-SC</v>
      </c>
      <c r="F339" t="str">
        <f>"26.11.2018"</f>
        <v>26.11.2018</v>
      </c>
      <c r="G339" t="str">
        <f>"ЦЕНТР ЛАБОРАТОРНОЙ ДИАГНОСТИКИ"</f>
        <v>ЦЕНТР ЛАБОРАТОРНОЙ ДИАГНОСТИКИ</v>
      </c>
      <c r="H339" t="str">
        <f>"ОК4а ППК 5.2.1"</f>
        <v>ОК4а ППК 5.2.1</v>
      </c>
      <c r="I339" t="str">
        <f>"ДШ (под. 1, ОУ№ 4а)"</f>
        <v>ДШ (под. 1, ОУ№ 4а)</v>
      </c>
      <c r="J339" t="str">
        <f>"Курск, Обоянская, 14 а"</f>
        <v>Курск, Обоянская, 14 а</v>
      </c>
      <c r="K339" t="str">
        <f t="shared" si="79"/>
        <v>ДШ-1</v>
      </c>
      <c r="L339" t="str">
        <f>"23-NOV-18"</f>
        <v>23-NOV-18</v>
      </c>
      <c r="M339">
        <v>203873</v>
      </c>
      <c r="N339" t="str">
        <f>""</f>
        <v/>
      </c>
      <c r="O339" t="str">
        <f>"HSH-203873"</f>
        <v>HSH-203873</v>
      </c>
      <c r="P339" t="str">
        <f t="shared" si="76"/>
        <v>Нет</v>
      </c>
      <c r="Q339" t="str">
        <f>"КСК00000000000000226"</f>
        <v>КСК00000000000000226</v>
      </c>
      <c r="R339" t="str">
        <f>""</f>
        <v/>
      </c>
      <c r="S339" t="str">
        <f t="shared" si="80"/>
        <v>Основной</v>
      </c>
      <c r="T339" t="str">
        <f t="shared" si="77"/>
        <v>ГУТС</v>
      </c>
      <c r="U339" t="str">
        <f>""</f>
        <v/>
      </c>
      <c r="V339" t="str">
        <f t="shared" si="78"/>
        <v>Нет</v>
      </c>
      <c r="W339">
        <v>51.669708749999998</v>
      </c>
      <c r="X339">
        <v>36.150926740000003</v>
      </c>
      <c r="Y339" t="str">
        <f>"20000004571054"</f>
        <v>20000004571054</v>
      </c>
    </row>
    <row r="340" spans="1:25" x14ac:dyDescent="0.25">
      <c r="A340">
        <v>907</v>
      </c>
      <c r="B340" t="str">
        <f t="shared" si="75"/>
        <v>Курск</v>
      </c>
      <c r="C340">
        <v>539337</v>
      </c>
      <c r="D340" t="str">
        <f>"ОК1.1.1-92 ППК 1.1.1 Курск, Дзержинского, 25 /2 п. 1"</f>
        <v>ОК1.1.1-92 ППК 1.1.1 Курск, Дзержинского, 25 /2 п. 1</v>
      </c>
      <c r="E340" t="str">
        <f t="shared" si="82"/>
        <v>КРС-8/16-SC</v>
      </c>
      <c r="F340" t="str">
        <f>"26.11.2018"</f>
        <v>26.11.2018</v>
      </c>
      <c r="G340" t="str">
        <f>""</f>
        <v/>
      </c>
      <c r="H340" t="str">
        <f>"ОК1.1.1-92 ППК 1.1.1"</f>
        <v>ОК1.1.1-92 ППК 1.1.1</v>
      </c>
      <c r="I340" t="str">
        <f>"ДШ (под. 1, ОУ№ 1.1.1-93)"</f>
        <v>ДШ (под. 1, ОУ№ 1.1.1-93)</v>
      </c>
      <c r="J340" t="str">
        <f>"Курск, Дзержинского, 25 /2"</f>
        <v>Курск, Дзержинского, 25 /2</v>
      </c>
      <c r="K340" t="str">
        <f>"Офис"</f>
        <v>Офис</v>
      </c>
      <c r="L340" t="str">
        <f>"13-NOV-18"</f>
        <v>13-NOV-18</v>
      </c>
      <c r="M340">
        <v>203876</v>
      </c>
      <c r="N340" t="str">
        <f>""</f>
        <v/>
      </c>
      <c r="O340" t="str">
        <f>"KURSK002565"</f>
        <v>KURSK002565</v>
      </c>
      <c r="P340" t="str">
        <f t="shared" si="76"/>
        <v>Нет</v>
      </c>
      <c r="Q340" t="str">
        <f>"КСК00000000000000027"</f>
        <v>КСК00000000000000027</v>
      </c>
      <c r="R340" t="str">
        <f>""</f>
        <v/>
      </c>
      <c r="S340" t="str">
        <f t="shared" si="80"/>
        <v>Основной</v>
      </c>
      <c r="T340" t="str">
        <f t="shared" si="77"/>
        <v>ГУТС</v>
      </c>
      <c r="U340" t="str">
        <f>""</f>
        <v/>
      </c>
      <c r="V340" t="str">
        <f t="shared" si="78"/>
        <v>Нет</v>
      </c>
      <c r="W340">
        <v>51.727505190000002</v>
      </c>
      <c r="X340">
        <v>36.185208979999999</v>
      </c>
      <c r="Y340" t="str">
        <f>"20000004571057"</f>
        <v>20000004571057</v>
      </c>
    </row>
    <row r="341" spans="1:25" x14ac:dyDescent="0.25">
      <c r="A341">
        <v>907</v>
      </c>
      <c r="B341" t="str">
        <f t="shared" si="75"/>
        <v>Курск</v>
      </c>
      <c r="C341">
        <v>539352</v>
      </c>
      <c r="D341" t="str">
        <f>"ОК7.1 ППК 5.3.1 Курск, Обоянская, 16  п. 1"</f>
        <v>ОК7.1 ППК 5.3.1 Курск, Обоянская, 16  п. 1</v>
      </c>
      <c r="E341" t="str">
        <f t="shared" si="82"/>
        <v>КРС-8/16-SC</v>
      </c>
      <c r="F341" t="str">
        <f>"27.11.2018"</f>
        <v>27.11.2018</v>
      </c>
      <c r="G341" t="str">
        <f>"""Курский аптечный склад"""</f>
        <v>"Курский аптечный склад"</v>
      </c>
      <c r="H341" t="str">
        <f>"ОК7.1 ППК 5.3.1"</f>
        <v>ОК7.1 ППК 5.3.1</v>
      </c>
      <c r="I341" t="str">
        <f>"ДШ (под. 1, ОУ№ 7)"</f>
        <v>ДШ (под. 1, ОУ№ 7)</v>
      </c>
      <c r="J341" t="str">
        <f>"Курск, Обоянская, 16"</f>
        <v>Курск, Обоянская, 16</v>
      </c>
      <c r="K341" t="str">
        <f>"ДШ-1"</f>
        <v>ДШ-1</v>
      </c>
      <c r="L341" t="str">
        <f>"13-NOV-18"</f>
        <v>13-NOV-18</v>
      </c>
      <c r="M341">
        <v>203909</v>
      </c>
      <c r="N341" t="str">
        <f>""</f>
        <v/>
      </c>
      <c r="O341" t="str">
        <f>"HSH-203909"</f>
        <v>HSH-203909</v>
      </c>
      <c r="P341" t="str">
        <f t="shared" si="76"/>
        <v>Нет</v>
      </c>
      <c r="Q341" t="str">
        <f>"КСК00000000000000231"</f>
        <v>КСК00000000000000231</v>
      </c>
      <c r="R341" t="str">
        <f>""</f>
        <v/>
      </c>
      <c r="S341" t="str">
        <f t="shared" si="80"/>
        <v>Основной</v>
      </c>
      <c r="T341" t="str">
        <f t="shared" si="77"/>
        <v>ГУТС</v>
      </c>
      <c r="U341" t="str">
        <f>""</f>
        <v/>
      </c>
      <c r="V341" t="str">
        <f t="shared" si="78"/>
        <v>Нет</v>
      </c>
      <c r="W341">
        <v>51.671498749999998</v>
      </c>
      <c r="X341">
        <v>36.151900439999999</v>
      </c>
      <c r="Y341" t="str">
        <f>"20000004571066"</f>
        <v>20000004571066</v>
      </c>
    </row>
    <row r="342" spans="1:25" x14ac:dyDescent="0.25">
      <c r="A342">
        <v>907</v>
      </c>
      <c r="B342" t="str">
        <f t="shared" si="75"/>
        <v>Курск</v>
      </c>
      <c r="C342">
        <v>539390</v>
      </c>
      <c r="D342" t="str">
        <f>"ОК9 ППК 2.6.3 Курск, Павлуновского, 112  п. 6"</f>
        <v>ОК9 ППК 2.6.3 Курск, Павлуновского, 112  п. 6</v>
      </c>
      <c r="E342" t="str">
        <f t="shared" si="82"/>
        <v>КРС-8/16-SC</v>
      </c>
      <c r="F342" t="str">
        <f>"27.11.2018"</f>
        <v>27.11.2018</v>
      </c>
      <c r="G342" t="str">
        <f>""</f>
        <v/>
      </c>
      <c r="H342" t="str">
        <f>"ОК9 ППК 2.6.3"</f>
        <v>ОК9 ППК 2.6.3</v>
      </c>
      <c r="I342" t="str">
        <f>"ДШ (под. 6, ОУ№ 9)"</f>
        <v>ДШ (под. 6, ОУ№ 9)</v>
      </c>
      <c r="J342" t="str">
        <f>"Курск, Павлуновского, 112"</f>
        <v>Курск, Павлуновского, 112</v>
      </c>
      <c r="K342" t="str">
        <f>"ДШ-1"</f>
        <v>ДШ-1</v>
      </c>
      <c r="L342" t="str">
        <f>"21-NOV-18"</f>
        <v>21-NOV-18</v>
      </c>
      <c r="M342">
        <v>203914</v>
      </c>
      <c r="N342" t="str">
        <f>""</f>
        <v/>
      </c>
      <c r="O342" t="str">
        <f>"KURSK002568"</f>
        <v>KURSK002568</v>
      </c>
      <c r="P342" t="str">
        <f t="shared" si="76"/>
        <v>Нет</v>
      </c>
      <c r="Q342" t="str">
        <f>"КСК00000000000000430"</f>
        <v>КСК00000000000000430</v>
      </c>
      <c r="R342" t="str">
        <f>""</f>
        <v/>
      </c>
      <c r="S342" t="str">
        <f>"Достройка МЕ"</f>
        <v>Достройка МЕ</v>
      </c>
      <c r="T342" t="str">
        <f t="shared" si="77"/>
        <v>ГУТС</v>
      </c>
      <c r="U342" t="str">
        <f>""</f>
        <v/>
      </c>
      <c r="V342" t="str">
        <f t="shared" si="78"/>
        <v>Нет</v>
      </c>
      <c r="W342">
        <v>51.738756789999996</v>
      </c>
      <c r="X342">
        <v>36.155280089999998</v>
      </c>
      <c r="Y342" t="str">
        <f>"20000004571068"</f>
        <v>20000004571068</v>
      </c>
    </row>
    <row r="343" spans="1:25" x14ac:dyDescent="0.25">
      <c r="A343">
        <v>907</v>
      </c>
      <c r="B343" t="str">
        <f t="shared" si="75"/>
        <v>Курск</v>
      </c>
      <c r="C343">
        <v>539403</v>
      </c>
      <c r="D343" t="str">
        <f>"ОК10 ППК 2.6.3 Курск, Павлуновского, 112  п. 2"</f>
        <v>ОК10 ППК 2.6.3 Курск, Павлуновского, 112  п. 2</v>
      </c>
      <c r="E343" t="str">
        <f t="shared" si="82"/>
        <v>КРС-8/16-SC</v>
      </c>
      <c r="F343" t="str">
        <f>"27.11.2018"</f>
        <v>27.11.2018</v>
      </c>
      <c r="G343" t="str">
        <f>""</f>
        <v/>
      </c>
      <c r="H343" t="str">
        <f>"ОК10 ППК 2.6.3"</f>
        <v>ОК10 ППК 2.6.3</v>
      </c>
      <c r="I343" t="str">
        <f>"ДШ (под. 2, ОУ№ 10)"</f>
        <v>ДШ (под. 2, ОУ№ 10)</v>
      </c>
      <c r="J343" t="str">
        <f>"Курск, Павлуновского, 112"</f>
        <v>Курск, Павлуновского, 112</v>
      </c>
      <c r="K343" t="str">
        <f>"ДШ-2"</f>
        <v>ДШ-2</v>
      </c>
      <c r="L343" t="str">
        <f>"15-NOV-18"</f>
        <v>15-NOV-18</v>
      </c>
      <c r="M343">
        <v>203915</v>
      </c>
      <c r="N343" t="str">
        <f>""</f>
        <v/>
      </c>
      <c r="O343" t="str">
        <f>"KURSK002569"</f>
        <v>KURSK002569</v>
      </c>
      <c r="P343" t="str">
        <f t="shared" si="76"/>
        <v>Нет</v>
      </c>
      <c r="Q343" t="str">
        <f>"КСК00000000000000430"</f>
        <v>КСК00000000000000430</v>
      </c>
      <c r="R343" t="str">
        <f>""</f>
        <v/>
      </c>
      <c r="S343" t="str">
        <f>"Достройка МЕ"</f>
        <v>Достройка МЕ</v>
      </c>
      <c r="T343" t="str">
        <f t="shared" si="77"/>
        <v>ГУТС</v>
      </c>
      <c r="U343" t="str">
        <f>""</f>
        <v/>
      </c>
      <c r="V343" t="str">
        <f t="shared" si="78"/>
        <v>Нет</v>
      </c>
      <c r="W343">
        <v>51.739344760000002</v>
      </c>
      <c r="X343">
        <v>36.154826800000002</v>
      </c>
      <c r="Y343" t="str">
        <f>"20000004571069"</f>
        <v>20000004571069</v>
      </c>
    </row>
    <row r="344" spans="1:25" x14ac:dyDescent="0.25">
      <c r="A344">
        <v>907</v>
      </c>
      <c r="B344" t="str">
        <f t="shared" si="75"/>
        <v>Курск</v>
      </c>
      <c r="C344">
        <v>539416</v>
      </c>
      <c r="D344" t="str">
        <f>"ОК1 ППК 3.4.6 Банкротное бюро Курск, Ленина, 63  п. 1"</f>
        <v>ОК1 ППК 3.4.6 Банкротное бюро Курск, Ленина, 63  п. 1</v>
      </c>
      <c r="E344" t="str">
        <f t="shared" si="82"/>
        <v>КРС-8/16-SC</v>
      </c>
      <c r="F344" t="str">
        <f>"28.11.2018"</f>
        <v>28.11.2018</v>
      </c>
      <c r="G344" t="str">
        <f>"Банкротное бюро №1"</f>
        <v>Банкротное бюро №1</v>
      </c>
      <c r="H344" t="str">
        <f>"ОК1 ППК 3.4.6 Банкротное бюро"</f>
        <v>ОК1 ППК 3.4.6 Банкротное бюро</v>
      </c>
      <c r="I344" t="str">
        <f>"ДШ (под. 1, ОУ№ 8-КК)"</f>
        <v>ДШ (под. 1, ОУ№ 8-КК)</v>
      </c>
      <c r="J344" t="str">
        <f>"Курск, Ленина, 63"</f>
        <v>Курск, Ленина, 63</v>
      </c>
      <c r="K344" t="str">
        <f>"ДШ-1"</f>
        <v>ДШ-1</v>
      </c>
      <c r="L344" t="str">
        <f>"26-DEC-18"</f>
        <v>26-DEC-18</v>
      </c>
      <c r="M344">
        <v>203959</v>
      </c>
      <c r="N344" t="str">
        <f>""</f>
        <v/>
      </c>
      <c r="O344" t="str">
        <f>"HSH-203959"</f>
        <v>HSH-203959</v>
      </c>
      <c r="P344" t="str">
        <f t="shared" si="76"/>
        <v>Нет</v>
      </c>
      <c r="Q344" t="str">
        <f>"КСК00000000000000218"</f>
        <v>КСК00000000000000218</v>
      </c>
      <c r="R344" t="str">
        <f>""</f>
        <v/>
      </c>
      <c r="S344" t="str">
        <f>"Основной"</f>
        <v>Основной</v>
      </c>
      <c r="T344" t="str">
        <f t="shared" si="77"/>
        <v>ГУТС</v>
      </c>
      <c r="U344" t="str">
        <f>""</f>
        <v/>
      </c>
      <c r="V344" t="str">
        <f t="shared" si="78"/>
        <v>Нет</v>
      </c>
      <c r="W344">
        <v>51.742446690000001</v>
      </c>
      <c r="X344">
        <v>36.194347870000001</v>
      </c>
      <c r="Y344" t="str">
        <f>"20000004571072"</f>
        <v>20000004571072</v>
      </c>
    </row>
    <row r="345" spans="1:25" x14ac:dyDescent="0.25">
      <c r="A345">
        <v>907</v>
      </c>
      <c r="B345" t="str">
        <f t="shared" si="75"/>
        <v>Курск</v>
      </c>
      <c r="C345">
        <v>539545</v>
      </c>
      <c r="D345" t="str">
        <f>"ОК 2а.2 ППК 2.6.3  Курск, 50 Лет Октября, 149  п. 1"</f>
        <v>ОК 2а.2 ППК 2.6.3  Курск, 50 Лет Октября, 149  п. 1</v>
      </c>
      <c r="E345" t="str">
        <f t="shared" si="82"/>
        <v>КРС-8/16-SC</v>
      </c>
      <c r="F345" t="str">
        <f>"30.11.2018"</f>
        <v>30.11.2018</v>
      </c>
      <c r="G345" t="str">
        <f>"Снятие сплайс-пластин. Дата установки: 30.11.2018 кол-во сплайс-пластин: 1"</f>
        <v>Снятие сплайс-пластин. Дата установки: 30.11.2018 кол-во сплайс-пластин: 1</v>
      </c>
      <c r="H345" t="str">
        <f>"ОК 2а.2 ППК 2.6.3 "</f>
        <v xml:space="preserve">ОК 2а.2 ППК 2.6.3 </v>
      </c>
      <c r="I345" t="str">
        <f>"ДШ (под. 1, ОУ№ 2а)"</f>
        <v>ДШ (под. 1, ОУ№ 2а)</v>
      </c>
      <c r="J345" t="str">
        <f>"Курск, 50 Лет Октября, 149"</f>
        <v>Курск, 50 Лет Октября, 149</v>
      </c>
      <c r="K345" t="str">
        <f>""</f>
        <v/>
      </c>
      <c r="L345" t="str">
        <f>""</f>
        <v/>
      </c>
      <c r="M345">
        <v>204031</v>
      </c>
      <c r="N345" t="str">
        <f>""</f>
        <v/>
      </c>
      <c r="O345" t="str">
        <f>"HSH-204031"</f>
        <v>HSH-204031</v>
      </c>
      <c r="P345" t="str">
        <f t="shared" si="76"/>
        <v>Нет</v>
      </c>
      <c r="Q345" t="str">
        <f>"КСК00000000000000430"</f>
        <v>КСК00000000000000430</v>
      </c>
      <c r="R345" t="str">
        <f>""</f>
        <v/>
      </c>
      <c r="S345" t="str">
        <f>"Основной"</f>
        <v>Основной</v>
      </c>
      <c r="T345" t="str">
        <f t="shared" si="77"/>
        <v>ГУТС</v>
      </c>
      <c r="U345" t="str">
        <f>""</f>
        <v/>
      </c>
      <c r="V345" t="str">
        <f t="shared" si="78"/>
        <v>Нет</v>
      </c>
      <c r="W345">
        <v>51.738743220000003</v>
      </c>
      <c r="X345">
        <v>36.151425179999997</v>
      </c>
      <c r="Y345" t="str">
        <f>"20000004571122"</f>
        <v>20000004571122</v>
      </c>
    </row>
    <row r="346" spans="1:25" x14ac:dyDescent="0.25">
      <c r="A346">
        <v>907</v>
      </c>
      <c r="B346" t="str">
        <f t="shared" si="75"/>
        <v>Курск</v>
      </c>
      <c r="C346">
        <v>540175</v>
      </c>
      <c r="D346" t="str">
        <f>"ОК3.1.1-19 ППК 3.1.1 Курск, Радищева, 86  п. 1"</f>
        <v>ОК3.1.1-19 ППК 3.1.1 Курск, Радищева, 86  п. 1</v>
      </c>
      <c r="E346" t="str">
        <f>"Сплайс-пластина"</f>
        <v>Сплайс-пластина</v>
      </c>
      <c r="F346" t="str">
        <f>"13.01.2019"</f>
        <v>13.01.2019</v>
      </c>
      <c r="G346" t="str">
        <f>""</f>
        <v/>
      </c>
      <c r="H346" t="str">
        <f>"ОК3.1.1-19 ППК 3.1.1"</f>
        <v>ОК3.1.1-19 ППК 3.1.1</v>
      </c>
      <c r="I346" t="str">
        <f>"ДШ (под. 1, ОУ№ 39-КК)"</f>
        <v>ДШ (под. 1, ОУ№ 39-КК)</v>
      </c>
      <c r="J346" t="str">
        <f>"Курск, Радищева, 86"</f>
        <v>Курск, Радищева, 86</v>
      </c>
      <c r="K346" t="str">
        <f>"Офис"</f>
        <v>Офис</v>
      </c>
      <c r="L346" t="str">
        <f>"12-JAN-19"</f>
        <v>12-JAN-19</v>
      </c>
      <c r="M346">
        <v>207444</v>
      </c>
      <c r="N346" t="str">
        <f>""</f>
        <v/>
      </c>
      <c r="O346" t="str">
        <f>"HSH-207444"</f>
        <v>HSH-207444</v>
      </c>
      <c r="P346" t="str">
        <f t="shared" si="76"/>
        <v>Нет</v>
      </c>
      <c r="Q346" t="str">
        <f>"КСК00000000000000178"</f>
        <v>КСК00000000000000178</v>
      </c>
      <c r="R346" t="str">
        <f>""</f>
        <v/>
      </c>
      <c r="S346" t="str">
        <f>"Основной"</f>
        <v>Основной</v>
      </c>
      <c r="T346" t="str">
        <f t="shared" si="77"/>
        <v>ГУТС</v>
      </c>
      <c r="U346" t="str">
        <f>""</f>
        <v/>
      </c>
      <c r="V346" t="str">
        <f t="shared" si="78"/>
        <v>Нет</v>
      </c>
      <c r="W346">
        <v>51.749127180000002</v>
      </c>
      <c r="X346">
        <v>36.189639560000003</v>
      </c>
      <c r="Y346" t="str">
        <f>"20000006260416"</f>
        <v>20000006260416</v>
      </c>
    </row>
    <row r="347" spans="1:25" x14ac:dyDescent="0.25">
      <c r="A347">
        <v>907</v>
      </c>
      <c r="B347" t="str">
        <f t="shared" si="75"/>
        <v>Курск</v>
      </c>
      <c r="C347">
        <v>540663</v>
      </c>
      <c r="D347" t="str">
        <f>"ОК12 ППК 3.1.3 Курск, Институтская, 48  п. 4"</f>
        <v>ОК12 ППК 3.1.3 Курск, Институтская, 48  п. 4</v>
      </c>
      <c r="E347" t="str">
        <f>"КРН-24-SC"</f>
        <v>КРН-24-SC</v>
      </c>
      <c r="F347" t="str">
        <f>"25.12.2018"</f>
        <v>25.12.2018</v>
      </c>
      <c r="G347" t="str">
        <f>"Микрооператор"</f>
        <v>Микрооператор</v>
      </c>
      <c r="H347" t="str">
        <f>"ОК12 ППК 3.1.3"</f>
        <v>ОК12 ППК 3.1.3</v>
      </c>
      <c r="I347" t="str">
        <f>"ДШ (под. 4, ОУ№ 12)"</f>
        <v>ДШ (под. 4, ОУ№ 12)</v>
      </c>
      <c r="J347" t="str">
        <f>"Курск, Институтская, 48"</f>
        <v>Курск, Институтская, 48</v>
      </c>
      <c r="K347" t="str">
        <f>"Чердак"</f>
        <v>Чердак</v>
      </c>
      <c r="L347" t="str">
        <f>"28-DEC-18"</f>
        <v>28-DEC-18</v>
      </c>
      <c r="M347">
        <v>204982</v>
      </c>
      <c r="N347" t="str">
        <f>""</f>
        <v/>
      </c>
      <c r="O347" t="str">
        <f>"KURSK002904"</f>
        <v>KURSK002904</v>
      </c>
      <c r="P347" t="str">
        <f t="shared" si="76"/>
        <v>Нет</v>
      </c>
      <c r="Q347" t="str">
        <f>"КСК00000000000000180"</f>
        <v>КСК00000000000000180</v>
      </c>
      <c r="R347" t="str">
        <f>""</f>
        <v/>
      </c>
      <c r="S347" t="str">
        <f>"Микрооператоры"</f>
        <v>Микрооператоры</v>
      </c>
      <c r="T347" t="str">
        <f t="shared" si="77"/>
        <v>ГУТС</v>
      </c>
      <c r="U347" t="str">
        <f>""</f>
        <v/>
      </c>
      <c r="V347" t="str">
        <f t="shared" si="78"/>
        <v>Нет</v>
      </c>
      <c r="W347">
        <v>51.763092980000003</v>
      </c>
      <c r="X347">
        <v>36.169908790000001</v>
      </c>
      <c r="Y347" t="str">
        <f>"20000004571238"</f>
        <v>20000004571238</v>
      </c>
    </row>
    <row r="348" spans="1:25" x14ac:dyDescent="0.25">
      <c r="A348">
        <v>907</v>
      </c>
      <c r="B348" t="str">
        <f t="shared" si="75"/>
        <v>Курск</v>
      </c>
      <c r="C348">
        <v>541113</v>
      </c>
      <c r="D348" t="str">
        <f>" Курск, Почтовая, 12  п. 1"</f>
        <v xml:space="preserve"> Курск, Почтовая, 12  п. 1</v>
      </c>
      <c r="E348" t="str">
        <f>"Сплайс-пластина"</f>
        <v>Сплайс-пластина</v>
      </c>
      <c r="F348" t="str">
        <f>"25.12.2018"</f>
        <v>25.12.2018</v>
      </c>
      <c r="G348" t="str">
        <f>""</f>
        <v/>
      </c>
      <c r="H348" t="str">
        <f>""</f>
        <v/>
      </c>
      <c r="I348" t="str">
        <f>"ДШ (под. 1, ОУ№ 2)"</f>
        <v>ДШ (под. 1, ОУ№ 2)</v>
      </c>
      <c r="J348" t="str">
        <f>"Курск, Почтовая, 12"</f>
        <v>Курск, Почтовая, 12</v>
      </c>
      <c r="K348" t="str">
        <f>""</f>
        <v/>
      </c>
      <c r="L348" t="str">
        <f>""</f>
        <v/>
      </c>
      <c r="M348">
        <v>205169</v>
      </c>
      <c r="N348" t="str">
        <f>""</f>
        <v/>
      </c>
      <c r="O348" t="str">
        <f>"KURSK003091"</f>
        <v>KURSK003091</v>
      </c>
      <c r="P348" t="str">
        <f t="shared" si="76"/>
        <v>Нет</v>
      </c>
      <c r="Q348" t="str">
        <f>"КСК00000000000001645"</f>
        <v>КСК00000000000001645</v>
      </c>
      <c r="R348" t="str">
        <f>""</f>
        <v/>
      </c>
      <c r="S348" t="str">
        <f>"Микрооператоры"</f>
        <v>Микрооператоры</v>
      </c>
      <c r="T348" t="str">
        <f t="shared" si="77"/>
        <v>ГУТС</v>
      </c>
      <c r="U348" t="str">
        <f>""</f>
        <v/>
      </c>
      <c r="V348" t="str">
        <f t="shared" si="78"/>
        <v>Нет</v>
      </c>
      <c r="W348">
        <v>51.733065420000003</v>
      </c>
      <c r="X348">
        <v>36.189075320000001</v>
      </c>
      <c r="Y348" t="str">
        <f>"20000006260511"</f>
        <v>20000006260511</v>
      </c>
    </row>
    <row r="349" spans="1:25" x14ac:dyDescent="0.25">
      <c r="A349">
        <v>907</v>
      </c>
      <c r="B349" t="str">
        <f t="shared" si="75"/>
        <v>Курск</v>
      </c>
      <c r="C349">
        <v>541119</v>
      </c>
      <c r="D349" t="str">
        <f>"ОК1.1 ППК 1.1.10 Курск, Почтовая, 12  п. 2"</f>
        <v>ОК1.1 ППК 1.1.10 Курск, Почтовая, 12  п. 2</v>
      </c>
      <c r="E349" t="str">
        <f>"КРН-24-SC"</f>
        <v>КРН-24-SC</v>
      </c>
      <c r="F349" t="str">
        <f>"25.12.2018"</f>
        <v>25.12.2018</v>
      </c>
      <c r="G349" t="str">
        <f>""</f>
        <v/>
      </c>
      <c r="H349" t="str">
        <f>"ОК1.1 ППК 1.1.10"</f>
        <v>ОК1.1 ППК 1.1.10</v>
      </c>
      <c r="I349" t="str">
        <f>"ДШ (под. 2, ОУ№ 4)"</f>
        <v>ДШ (под. 2, ОУ№ 4)</v>
      </c>
      <c r="J349" t="str">
        <f>"Курск, Почтовая, 12"</f>
        <v>Курск, Почтовая, 12</v>
      </c>
      <c r="K349" t="str">
        <f>"ДШ-1"</f>
        <v>ДШ-1</v>
      </c>
      <c r="L349" t="str">
        <f>"22-SEP-20"</f>
        <v>22-SEP-20</v>
      </c>
      <c r="M349">
        <v>205171</v>
      </c>
      <c r="N349" t="str">
        <f>""</f>
        <v/>
      </c>
      <c r="O349" t="str">
        <f>"KURSK003093"</f>
        <v>KURSK003093</v>
      </c>
      <c r="P349" t="str">
        <f t="shared" si="76"/>
        <v>Нет</v>
      </c>
      <c r="Q349" t="str">
        <f>"КСК00000000000001645"</f>
        <v>КСК00000000000001645</v>
      </c>
      <c r="R349" t="str">
        <f>""</f>
        <v/>
      </c>
      <c r="S349" t="str">
        <f>"Микрооператоры"</f>
        <v>Микрооператоры</v>
      </c>
      <c r="T349" t="str">
        <f t="shared" si="77"/>
        <v>ГУТС</v>
      </c>
      <c r="U349" t="str">
        <f>""</f>
        <v/>
      </c>
      <c r="V349" t="str">
        <f t="shared" si="78"/>
        <v>Нет</v>
      </c>
      <c r="W349">
        <v>51.733042169999997</v>
      </c>
      <c r="X349">
        <v>36.18859922</v>
      </c>
      <c r="Y349" t="str">
        <f>"20000004571250"</f>
        <v>20000004571250</v>
      </c>
    </row>
    <row r="350" spans="1:25" x14ac:dyDescent="0.25">
      <c r="A350">
        <v>907</v>
      </c>
      <c r="B350" t="str">
        <f t="shared" si="75"/>
        <v>Курск</v>
      </c>
      <c r="C350">
        <v>541208</v>
      </c>
      <c r="D350" t="str">
        <f>" Курск, Карла Маркса, 66 б п. 1"</f>
        <v xml:space="preserve"> Курск, Карла Маркса, 66 б п. 1</v>
      </c>
      <c r="E350" t="str">
        <f>"Сплайс-пластина"</f>
        <v>Сплайс-пластина</v>
      </c>
      <c r="F350" t="str">
        <f>"25.12.2018"</f>
        <v>25.12.2018</v>
      </c>
      <c r="G350" t="str">
        <f>""</f>
        <v/>
      </c>
      <c r="H350" t="str">
        <f>""</f>
        <v/>
      </c>
      <c r="I350" t="str">
        <f>"ДШ (под. 1, ОУ№ 14)"</f>
        <v>ДШ (под. 1, ОУ№ 14)</v>
      </c>
      <c r="J350" t="str">
        <f>"Курск, Карла Маркса, 66 б"</f>
        <v>Курск, Карла Маркса, 66 б</v>
      </c>
      <c r="K350" t="str">
        <f>""</f>
        <v/>
      </c>
      <c r="L350" t="str">
        <f>""</f>
        <v/>
      </c>
      <c r="M350">
        <v>205208</v>
      </c>
      <c r="N350" t="str">
        <f>""</f>
        <v/>
      </c>
      <c r="O350" t="str">
        <f>"KURSK003130"</f>
        <v>KURSK003130</v>
      </c>
      <c r="P350" t="str">
        <f t="shared" si="76"/>
        <v>Нет</v>
      </c>
      <c r="Q350" t="str">
        <f>"КСК00000000000000179"</f>
        <v>КСК00000000000000179</v>
      </c>
      <c r="R350" t="str">
        <f>""</f>
        <v/>
      </c>
      <c r="S350" t="str">
        <f>"Микрооператоры"</f>
        <v>Микрооператоры</v>
      </c>
      <c r="T350" t="str">
        <f t="shared" si="77"/>
        <v>ГУТС</v>
      </c>
      <c r="U350" t="str">
        <f>""</f>
        <v/>
      </c>
      <c r="V350" t="str">
        <f t="shared" si="78"/>
        <v>Нет</v>
      </c>
      <c r="W350">
        <v>51.75834802</v>
      </c>
      <c r="X350">
        <v>36.183937520000001</v>
      </c>
      <c r="Y350" t="str">
        <f>"20000006260517"</f>
        <v>20000006260517</v>
      </c>
    </row>
    <row r="351" spans="1:25" x14ac:dyDescent="0.25">
      <c r="A351">
        <v>907</v>
      </c>
      <c r="B351" t="str">
        <f t="shared" si="75"/>
        <v>Курск</v>
      </c>
      <c r="C351">
        <v>541731</v>
      </c>
      <c r="D351" t="str">
        <f>"ОК12 ППК 3.1.9 Курск, Карла Маркса, 71 а п. 1"</f>
        <v>ОК12 ППК 3.1.9 Курск, Карла Маркса, 71 а п. 1</v>
      </c>
      <c r="E351" t="str">
        <f>"Сплайс-пластина"</f>
        <v>Сплайс-пластина</v>
      </c>
      <c r="F351" t="str">
        <f>"25.12.2018"</f>
        <v>25.12.2018</v>
      </c>
      <c r="G351" t="str">
        <f>""</f>
        <v/>
      </c>
      <c r="H351" t="str">
        <f>"ОК12 ППК 3.1.9"</f>
        <v>ОК12 ППК 3.1.9</v>
      </c>
      <c r="I351" t="str">
        <f>"ДШ (под. 1, ОУ№ 12)"</f>
        <v>ДШ (под. 1, ОУ№ 12)</v>
      </c>
      <c r="J351" t="str">
        <f>"Курск, Карла Маркса, 71 а"</f>
        <v>Курск, Карла Маркса, 71 а</v>
      </c>
      <c r="K351" t="str">
        <f>"Крыша"</f>
        <v>Крыша</v>
      </c>
      <c r="L351" t="str">
        <f>"30-JAN-19"</f>
        <v>30-JAN-19</v>
      </c>
      <c r="M351">
        <v>205443</v>
      </c>
      <c r="N351" t="str">
        <f>""</f>
        <v/>
      </c>
      <c r="O351" t="str">
        <f>"KURSK003367"</f>
        <v>KURSK003367</v>
      </c>
      <c r="P351" t="str">
        <f t="shared" si="76"/>
        <v>Нет</v>
      </c>
      <c r="Q351" t="str">
        <f>"КСК00000000000000183"</f>
        <v>КСК00000000000000183</v>
      </c>
      <c r="R351" t="str">
        <f>""</f>
        <v/>
      </c>
      <c r="S351" t="str">
        <f>"Микрооператоры"</f>
        <v>Микрооператоры</v>
      </c>
      <c r="T351" t="str">
        <f t="shared" si="77"/>
        <v>ГУТС</v>
      </c>
      <c r="U351" t="str">
        <f>""</f>
        <v/>
      </c>
      <c r="V351" t="str">
        <f t="shared" si="78"/>
        <v>Нет</v>
      </c>
      <c r="W351">
        <v>51.767153100000002</v>
      </c>
      <c r="X351">
        <v>36.183807360000003</v>
      </c>
      <c r="Y351" t="str">
        <f>"20000006260613"</f>
        <v>20000006260613</v>
      </c>
    </row>
    <row r="352" spans="1:25" x14ac:dyDescent="0.25">
      <c r="A352">
        <v>907</v>
      </c>
      <c r="B352" t="str">
        <f t="shared" si="75"/>
        <v>Курск</v>
      </c>
      <c r="C352">
        <v>544956</v>
      </c>
      <c r="D352" t="str">
        <f>"ОК 8.2 ППК 3.4.6  Курск, Володарского, 6  п. 1"</f>
        <v>ОК 8.2 ППК 3.4.6  Курск, Володарского, 6  п. 1</v>
      </c>
      <c r="E352" t="str">
        <f>"КРН-16-SC"</f>
        <v>КРН-16-SC</v>
      </c>
      <c r="F352" t="str">
        <f>"09.01.2019"</f>
        <v>09.01.2019</v>
      </c>
      <c r="G352" t="str">
        <f>"Снятие сплайс-пластин. Дата установки: 09.01.2019 кол-во сплайс-пластин: 1"</f>
        <v>Снятие сплайс-пластин. Дата установки: 09.01.2019 кол-во сплайс-пластин: 1</v>
      </c>
      <c r="H352" t="str">
        <f>"ОК 8.2 ППК 3.4.6 "</f>
        <v xml:space="preserve">ОК 8.2 ППК 3.4.6 </v>
      </c>
      <c r="I352" t="str">
        <f>"ДШ (под. 1, ОУ№ 8)"</f>
        <v>ДШ (под. 1, ОУ№ 8)</v>
      </c>
      <c r="J352" t="str">
        <f>"Курск, Володарского, 6"</f>
        <v>Курск, Володарского, 6</v>
      </c>
      <c r="K352" t="str">
        <f>""</f>
        <v/>
      </c>
      <c r="L352" t="str">
        <f>""</f>
        <v/>
      </c>
      <c r="M352">
        <v>207184</v>
      </c>
      <c r="N352" t="str">
        <f>""</f>
        <v/>
      </c>
      <c r="O352" t="str">
        <f>"HSH-207184"</f>
        <v>HSH-207184</v>
      </c>
      <c r="P352" t="str">
        <f t="shared" si="76"/>
        <v>Нет</v>
      </c>
      <c r="Q352" t="str">
        <f>"КСК00000000000000218"</f>
        <v>КСК00000000000000218</v>
      </c>
      <c r="R352" t="str">
        <f>""</f>
        <v/>
      </c>
      <c r="S352" t="str">
        <f t="shared" ref="S352:S359" si="83">"Основной"</f>
        <v>Основной</v>
      </c>
      <c r="T352" t="str">
        <f t="shared" si="77"/>
        <v>ГУТС</v>
      </c>
      <c r="U352" t="str">
        <f>""</f>
        <v/>
      </c>
      <c r="V352" t="str">
        <f t="shared" si="78"/>
        <v>Нет</v>
      </c>
      <c r="W352">
        <v>51.730650920000002</v>
      </c>
      <c r="X352">
        <v>36.196619609999999</v>
      </c>
      <c r="Y352" t="str">
        <f>"20000004571380"</f>
        <v>20000004571380</v>
      </c>
    </row>
    <row r="353" spans="1:25" x14ac:dyDescent="0.25">
      <c r="A353">
        <v>907</v>
      </c>
      <c r="B353" t="str">
        <f t="shared" si="75"/>
        <v>Курск</v>
      </c>
      <c r="C353">
        <v>544998</v>
      </c>
      <c r="D353" t="str">
        <f>"ОК9-1 ППК 3.4.6 Курск, Горького, 65  п. 1"</f>
        <v>ОК9-1 ППК 3.4.6 Курск, Горького, 65  п. 1</v>
      </c>
      <c r="E353" t="str">
        <f>"Сплайс-пластина"</f>
        <v>Сплайс-пластина</v>
      </c>
      <c r="F353" t="str">
        <f>"09.01.2019"</f>
        <v>09.01.2019</v>
      </c>
      <c r="G353" t="str">
        <f>"Аксинет"</f>
        <v>Аксинет</v>
      </c>
      <c r="H353" t="str">
        <f>"ОК9-1 ППК 3.4.6"</f>
        <v>ОК9-1 ППК 3.4.6</v>
      </c>
      <c r="I353" t="str">
        <f>"ДШ (под. 1, ОУ№ 9)"</f>
        <v>ДШ (под. 1, ОУ№ 9)</v>
      </c>
      <c r="J353" t="str">
        <f>"Курск, Горького, 65"</f>
        <v>Курск, Горького, 65</v>
      </c>
      <c r="K353" t="str">
        <f>"ДШ-1"</f>
        <v>ДШ-1</v>
      </c>
      <c r="L353" t="str">
        <f>"28-DEC-18"</f>
        <v>28-DEC-18</v>
      </c>
      <c r="M353">
        <v>207191</v>
      </c>
      <c r="N353" t="str">
        <f>""</f>
        <v/>
      </c>
      <c r="O353" t="str">
        <f>"HSH-207191"</f>
        <v>HSH-207191</v>
      </c>
      <c r="P353" t="str">
        <f t="shared" si="76"/>
        <v>Нет</v>
      </c>
      <c r="Q353" t="str">
        <f>"КСК00000000000000218"</f>
        <v>КСК00000000000000218</v>
      </c>
      <c r="R353" t="str">
        <f>""</f>
        <v/>
      </c>
      <c r="S353" t="str">
        <f t="shared" si="83"/>
        <v>Основной</v>
      </c>
      <c r="T353" t="str">
        <f t="shared" si="77"/>
        <v>ГУТС</v>
      </c>
      <c r="U353" t="str">
        <f>""</f>
        <v/>
      </c>
      <c r="V353" t="str">
        <f t="shared" si="78"/>
        <v>Нет</v>
      </c>
      <c r="W353">
        <v>51.740337109999999</v>
      </c>
      <c r="X353">
        <v>36.197800639999997</v>
      </c>
      <c r="Y353" t="str">
        <f>"20000006259659"</f>
        <v>20000006259659</v>
      </c>
    </row>
    <row r="354" spans="1:25" x14ac:dyDescent="0.25">
      <c r="A354">
        <v>907</v>
      </c>
      <c r="B354" t="str">
        <f t="shared" si="75"/>
        <v>Курск</v>
      </c>
      <c r="C354">
        <v>545652</v>
      </c>
      <c r="D354" t="str">
        <f>"ОК12.1-3  ППК 3.1.3 Курск, Институтская, 48  п. 4"</f>
        <v>ОК12.1-3  ППК 3.1.3 Курск, Институтская, 48  п. 4</v>
      </c>
      <c r="E354" t="str">
        <f>"Сплайс-пластина"</f>
        <v>Сплайс-пластина</v>
      </c>
      <c r="F354" t="str">
        <f>"14.01.2019"</f>
        <v>14.01.2019</v>
      </c>
      <c r="G354" t="str">
        <f>""</f>
        <v/>
      </c>
      <c r="H354" t="str">
        <f>"ОК12.1-3  ППК 3.1.3"</f>
        <v>ОК12.1-3  ППК 3.1.3</v>
      </c>
      <c r="I354" t="str">
        <f>"ДШ (под. 4, ОУ№ 12)"</f>
        <v>ДШ (под. 4, ОУ№ 12)</v>
      </c>
      <c r="J354" t="str">
        <f>"Курск, Институтская, 48"</f>
        <v>Курск, Институтская, 48</v>
      </c>
      <c r="K354" t="str">
        <f>"Чердак"</f>
        <v>Чердак</v>
      </c>
      <c r="L354" t="str">
        <f>"28-DEC-18"</f>
        <v>28-DEC-18</v>
      </c>
      <c r="M354">
        <v>207477</v>
      </c>
      <c r="N354" t="str">
        <f>""</f>
        <v/>
      </c>
      <c r="O354" t="str">
        <f>"KURSK005159"</f>
        <v>KURSK005159</v>
      </c>
      <c r="P354" t="str">
        <f t="shared" si="76"/>
        <v>Нет</v>
      </c>
      <c r="Q354" t="str">
        <f>"КСК00000000000000180"</f>
        <v>КСК00000000000000180</v>
      </c>
      <c r="R354" t="str">
        <f>""</f>
        <v/>
      </c>
      <c r="S354" t="str">
        <f t="shared" si="83"/>
        <v>Основной</v>
      </c>
      <c r="T354" t="str">
        <f t="shared" si="77"/>
        <v>ГУТС</v>
      </c>
      <c r="U354" t="str">
        <f>""</f>
        <v/>
      </c>
      <c r="V354" t="str">
        <f t="shared" si="78"/>
        <v>Нет</v>
      </c>
      <c r="W354">
        <v>51.763114979999997</v>
      </c>
      <c r="X354">
        <v>36.169894030000002</v>
      </c>
      <c r="Y354" t="str">
        <f>"20000006259664"</f>
        <v>20000006259664</v>
      </c>
    </row>
    <row r="355" spans="1:25" x14ac:dyDescent="0.25">
      <c r="A355">
        <v>907</v>
      </c>
      <c r="B355" t="str">
        <f t="shared" si="75"/>
        <v>Курск</v>
      </c>
      <c r="C355">
        <v>545673</v>
      </c>
      <c r="D355" t="str">
        <f>" Курск, Карла Маркса, 70 б п. 1"</f>
        <v xml:space="preserve"> Курск, Карла Маркса, 70 б п. 1</v>
      </c>
      <c r="E355" t="str">
        <f>"Сплайс-пластина"</f>
        <v>Сплайс-пластина</v>
      </c>
      <c r="F355" t="str">
        <f>"14.01.2019"</f>
        <v>14.01.2019</v>
      </c>
      <c r="G355" t="str">
        <f>""</f>
        <v/>
      </c>
      <c r="H355" t="str">
        <f>""</f>
        <v/>
      </c>
      <c r="I355" t="str">
        <f>"ДШ (под. 1, ОУ№ 6)"</f>
        <v>ДШ (под. 1, ОУ№ 6)</v>
      </c>
      <c r="J355" t="str">
        <f>"Курск, Карла Маркса, 70 б"</f>
        <v>Курск, Карла Маркса, 70 б</v>
      </c>
      <c r="K355" t="str">
        <f>""</f>
        <v/>
      </c>
      <c r="L355" t="str">
        <f>""</f>
        <v/>
      </c>
      <c r="M355">
        <v>207483</v>
      </c>
      <c r="N355" t="str">
        <f>""</f>
        <v/>
      </c>
      <c r="O355" t="str">
        <f>"KURSK005161"</f>
        <v>KURSK005161</v>
      </c>
      <c r="P355" t="str">
        <f t="shared" si="76"/>
        <v>Нет</v>
      </c>
      <c r="Q355" t="str">
        <f>"КСК00000000000000180"</f>
        <v>КСК00000000000000180</v>
      </c>
      <c r="R355" t="str">
        <f>""</f>
        <v/>
      </c>
      <c r="S355" t="str">
        <f t="shared" si="83"/>
        <v>Основной</v>
      </c>
      <c r="T355" t="str">
        <f t="shared" si="77"/>
        <v>ГУТС</v>
      </c>
      <c r="U355" t="str">
        <f>""</f>
        <v/>
      </c>
      <c r="V355" t="str">
        <f t="shared" si="78"/>
        <v>Нет</v>
      </c>
      <c r="W355">
        <v>51.764456780000003</v>
      </c>
      <c r="X355">
        <v>36.174271400000002</v>
      </c>
      <c r="Y355" t="str">
        <f>"20000006259665"</f>
        <v>20000006259665</v>
      </c>
    </row>
    <row r="356" spans="1:25" x14ac:dyDescent="0.25">
      <c r="A356">
        <v>907</v>
      </c>
      <c r="B356" t="str">
        <f t="shared" si="75"/>
        <v>Курск</v>
      </c>
      <c r="C356">
        <v>545680</v>
      </c>
      <c r="D356" t="str">
        <f>"ОК14 ППК 3.1.9 Курск, Карла Маркса, 71 а п. 3"</f>
        <v>ОК14 ППК 3.1.9 Курск, Карла Маркса, 71 а п. 3</v>
      </c>
      <c r="E356" t="str">
        <f>"КРН-16-SC"</f>
        <v>КРН-16-SC</v>
      </c>
      <c r="F356" t="str">
        <f>"15.01.2019"</f>
        <v>15.01.2019</v>
      </c>
      <c r="G356" t="str">
        <f>""</f>
        <v/>
      </c>
      <c r="H356" t="str">
        <f>"ОК14 ППК 3.1.9"</f>
        <v>ОК14 ППК 3.1.9</v>
      </c>
      <c r="I356" t="str">
        <f>"ДШ (под. 3, ОУ№ 14)"</f>
        <v>ДШ (под. 3, ОУ№ 14)</v>
      </c>
      <c r="J356" t="str">
        <f>"Курск, Карла Маркса, 71 а"</f>
        <v>Курск, Карла Маркса, 71 а</v>
      </c>
      <c r="K356" t="str">
        <f>"ДШ-1"</f>
        <v>ДШ-1</v>
      </c>
      <c r="L356" t="str">
        <f>"30-JAN-19"</f>
        <v>30-JAN-19</v>
      </c>
      <c r="M356">
        <v>207527</v>
      </c>
      <c r="N356" t="str">
        <f>""</f>
        <v/>
      </c>
      <c r="O356" t="str">
        <f>"HSH-207527"</f>
        <v>HSH-207527</v>
      </c>
      <c r="P356" t="str">
        <f t="shared" si="76"/>
        <v>Нет</v>
      </c>
      <c r="Q356" t="str">
        <f>"КСК00000000000000183"</f>
        <v>КСК00000000000000183</v>
      </c>
      <c r="R356" t="str">
        <f>""</f>
        <v/>
      </c>
      <c r="S356" t="str">
        <f t="shared" si="83"/>
        <v>Основной</v>
      </c>
      <c r="T356" t="str">
        <f t="shared" si="77"/>
        <v>ГУТС</v>
      </c>
      <c r="U356" t="str">
        <f>""</f>
        <v/>
      </c>
      <c r="V356" t="str">
        <f t="shared" si="78"/>
        <v>Нет</v>
      </c>
      <c r="W356">
        <v>51.767043540000003</v>
      </c>
      <c r="X356">
        <v>36.183963589999998</v>
      </c>
      <c r="Y356" t="str">
        <f>"20000004571457"</f>
        <v>20000004571457</v>
      </c>
    </row>
    <row r="357" spans="1:25" x14ac:dyDescent="0.25">
      <c r="A357">
        <v>907</v>
      </c>
      <c r="B357" t="str">
        <f t="shared" si="75"/>
        <v>Курск</v>
      </c>
      <c r="C357">
        <v>545719</v>
      </c>
      <c r="D357" t="str">
        <f>"ОК15 ППК 3.1.9 Курск, Карла Маркса, 71 б п. 2"</f>
        <v>ОК15 ППК 3.1.9 Курск, Карла Маркса, 71 б п. 2</v>
      </c>
      <c r="E357" t="str">
        <f>"КРН-16-SC"</f>
        <v>КРН-16-SC</v>
      </c>
      <c r="F357" t="str">
        <f>"16.01.2019"</f>
        <v>16.01.2019</v>
      </c>
      <c r="G357" t="str">
        <f>""</f>
        <v/>
      </c>
      <c r="H357" t="str">
        <f>"ОК15 ППК 3.1.9"</f>
        <v>ОК15 ППК 3.1.9</v>
      </c>
      <c r="I357" t="str">
        <f>"ДШ (под. 2, ОУ№ 15)"</f>
        <v>ДШ (под. 2, ОУ№ 15)</v>
      </c>
      <c r="J357" t="str">
        <f>"Курск, Карла Маркса, 71 б"</f>
        <v>Курск, Карла Маркса, 71 б</v>
      </c>
      <c r="K357" t="str">
        <f>"ДШ-1"</f>
        <v>ДШ-1</v>
      </c>
      <c r="L357" t="str">
        <f>"01-FEB-19"</f>
        <v>01-FEB-19</v>
      </c>
      <c r="M357">
        <v>207578</v>
      </c>
      <c r="N357" t="str">
        <f>""</f>
        <v/>
      </c>
      <c r="O357" t="str">
        <f>"HSH-207578"</f>
        <v>HSH-207578</v>
      </c>
      <c r="P357" t="str">
        <f t="shared" si="76"/>
        <v>Нет</v>
      </c>
      <c r="Q357" t="str">
        <f>"КСК00000000000000183"</f>
        <v>КСК00000000000000183</v>
      </c>
      <c r="R357" t="str">
        <f>""</f>
        <v/>
      </c>
      <c r="S357" t="str">
        <f t="shared" si="83"/>
        <v>Основной</v>
      </c>
      <c r="T357" t="str">
        <f t="shared" si="77"/>
        <v>ГУТС</v>
      </c>
      <c r="U357" t="str">
        <f>""</f>
        <v/>
      </c>
      <c r="V357" t="str">
        <f t="shared" si="78"/>
        <v>Нет</v>
      </c>
      <c r="W357">
        <v>51.767079840000001</v>
      </c>
      <c r="X357">
        <v>36.184762429999999</v>
      </c>
      <c r="Y357" t="str">
        <f>"20000004571479"</f>
        <v>20000004571479</v>
      </c>
    </row>
    <row r="358" spans="1:25" x14ac:dyDescent="0.25">
      <c r="A358">
        <v>907</v>
      </c>
      <c r="B358" t="str">
        <f t="shared" si="75"/>
        <v>Курск</v>
      </c>
      <c r="C358">
        <v>545923</v>
      </c>
      <c r="D358" t="str">
        <f>"ГОК3.2.3.1 Курск, Карла Маркса, 65  п. 2"</f>
        <v>ГОК3.2.3.1 Курск, Карла Маркса, 65  п. 2</v>
      </c>
      <c r="E358" t="str">
        <f>"КРН-16-SC"</f>
        <v>КРН-16-SC</v>
      </c>
      <c r="F358" t="str">
        <f>"18.01.2019"</f>
        <v>18.01.2019</v>
      </c>
      <c r="G358" t="str">
        <f>""</f>
        <v/>
      </c>
      <c r="H358" t="str">
        <f>"ГОК3.2.3.1"</f>
        <v>ГОК3.2.3.1</v>
      </c>
      <c r="I358" t="str">
        <f>"ДШ (под. 2, ОУ№ 1)"</f>
        <v>ДШ (под. 2, ОУ№ 1)</v>
      </c>
      <c r="J358" t="str">
        <f>"Курск, Карла Маркса, 65"</f>
        <v>Курск, Карла Маркса, 65</v>
      </c>
      <c r="K358" t="str">
        <f>"ДШ-1"</f>
        <v>ДШ-1</v>
      </c>
      <c r="L358" t="str">
        <f>"05-FEB-19"</f>
        <v>05-FEB-19</v>
      </c>
      <c r="M358">
        <v>207682</v>
      </c>
      <c r="N358" t="str">
        <f>""</f>
        <v/>
      </c>
      <c r="O358" t="str">
        <f>"HSH-207682"</f>
        <v>HSH-207682</v>
      </c>
      <c r="P358" t="str">
        <f t="shared" si="76"/>
        <v>Нет</v>
      </c>
      <c r="Q358" t="str">
        <f>"КСК00000000000001648"</f>
        <v>КСК00000000000001648</v>
      </c>
      <c r="R358" t="str">
        <f>""</f>
        <v/>
      </c>
      <c r="S358" t="str">
        <f t="shared" si="83"/>
        <v>Основной</v>
      </c>
      <c r="T358" t="str">
        <f t="shared" si="77"/>
        <v>ГУТС</v>
      </c>
      <c r="U358" t="str">
        <f>""</f>
        <v/>
      </c>
      <c r="V358" t="str">
        <f t="shared" si="78"/>
        <v>Нет</v>
      </c>
      <c r="W358">
        <v>51.760452999999998</v>
      </c>
      <c r="X358">
        <v>36.186964420000002</v>
      </c>
      <c r="Y358" t="str">
        <f>"20000004571517"</f>
        <v>20000004571517</v>
      </c>
    </row>
    <row r="359" spans="1:25" x14ac:dyDescent="0.25">
      <c r="A359">
        <v>907</v>
      </c>
      <c r="B359" t="str">
        <f t="shared" si="75"/>
        <v>Курск</v>
      </c>
      <c r="C359">
        <v>546761</v>
      </c>
      <c r="D359" t="str">
        <f>" Курск, Гайдара, 11  п. 2"</f>
        <v xml:space="preserve"> Курск, Гайдара, 11  п. 2</v>
      </c>
      <c r="E359" t="str">
        <f>"КРН-16-SC"</f>
        <v>КРН-16-SC</v>
      </c>
      <c r="F359" t="str">
        <f>"01.02.2019"</f>
        <v>01.02.2019</v>
      </c>
      <c r="G359" t="str">
        <f>""</f>
        <v/>
      </c>
      <c r="H359" t="str">
        <f>""</f>
        <v/>
      </c>
      <c r="I359" t="str">
        <f>"ДШ (под. 2, ОУ№ 14)"</f>
        <v>ДШ (под. 2, ОУ№ 14)</v>
      </c>
      <c r="J359" t="str">
        <f>"Курск, Гайдара, 11"</f>
        <v>Курск, Гайдара, 11</v>
      </c>
      <c r="K359" t="str">
        <f>""</f>
        <v/>
      </c>
      <c r="L359" t="str">
        <f>""</f>
        <v/>
      </c>
      <c r="M359">
        <v>208234</v>
      </c>
      <c r="N359" t="str">
        <f>""</f>
        <v/>
      </c>
      <c r="O359" t="str">
        <f>"HSH-208234"</f>
        <v>HSH-208234</v>
      </c>
      <c r="P359" t="str">
        <f t="shared" si="76"/>
        <v>Нет</v>
      </c>
      <c r="Q359" t="str">
        <f>"КСК00000000000001645"</f>
        <v>КСК00000000000001645</v>
      </c>
      <c r="R359" t="str">
        <f>""</f>
        <v/>
      </c>
      <c r="S359" t="str">
        <f t="shared" si="83"/>
        <v>Основной</v>
      </c>
      <c r="T359" t="str">
        <f t="shared" si="77"/>
        <v>ГУТС</v>
      </c>
      <c r="U359" t="str">
        <f>""</f>
        <v/>
      </c>
      <c r="V359" t="str">
        <f t="shared" si="78"/>
        <v>Нет</v>
      </c>
      <c r="W359">
        <v>51.724197269999998</v>
      </c>
      <c r="X359">
        <v>36.183463330000002</v>
      </c>
      <c r="Y359" t="str">
        <f>"20000004571643"</f>
        <v>20000004571643</v>
      </c>
    </row>
    <row r="360" spans="1:25" x14ac:dyDescent="0.25">
      <c r="A360">
        <v>907</v>
      </c>
      <c r="B360" t="str">
        <f t="shared" si="75"/>
        <v>Курск</v>
      </c>
      <c r="C360">
        <v>546782</v>
      </c>
      <c r="D360" t="str">
        <f>"ОК2а.1 ППК 1.1.1 Курск, Радищева, 5  п. 1"</f>
        <v>ОК2а.1 ППК 1.1.1 Курск, Радищева, 5  п. 1</v>
      </c>
      <c r="E360" t="str">
        <f>"Сплайс-пластина"</f>
        <v>Сплайс-пластина</v>
      </c>
      <c r="F360" t="str">
        <f>"04.02.2019"</f>
        <v>04.02.2019</v>
      </c>
      <c r="G360" t="str">
        <f>""</f>
        <v/>
      </c>
      <c r="H360" t="str">
        <f>"ОК2а.1 ППК 1.1.1"</f>
        <v>ОК2а.1 ППК 1.1.1</v>
      </c>
      <c r="I360" t="str">
        <f>"ДШ (под. 1, ОУ№ 2а)"</f>
        <v>ДШ (под. 1, ОУ№ 2а)</v>
      </c>
      <c r="J360" t="str">
        <f>"Курск, Радищева, 5"</f>
        <v>Курск, Радищева, 5</v>
      </c>
      <c r="K360" t="str">
        <f>"ДШ-1"</f>
        <v>ДШ-1</v>
      </c>
      <c r="L360" t="str">
        <f>"06-OCT-20"</f>
        <v>06-OCT-20</v>
      </c>
      <c r="M360">
        <v>208262</v>
      </c>
      <c r="N360" t="str">
        <f>""</f>
        <v/>
      </c>
      <c r="O360" t="str">
        <f>"KURSK005333"</f>
        <v>KURSK005333</v>
      </c>
      <c r="P360" t="str">
        <f t="shared" si="76"/>
        <v>Нет</v>
      </c>
      <c r="Q360" t="str">
        <f>"КСК00000000000000027"</f>
        <v>КСК00000000000000027</v>
      </c>
      <c r="R360" t="str">
        <f>""</f>
        <v/>
      </c>
      <c r="S360" t="str">
        <f>"Микрооператоры"</f>
        <v>Микрооператоры</v>
      </c>
      <c r="T360" t="str">
        <f t="shared" si="77"/>
        <v>ГУТС</v>
      </c>
      <c r="U360" t="str">
        <f>""</f>
        <v/>
      </c>
      <c r="V360" t="str">
        <f t="shared" si="78"/>
        <v>Нет</v>
      </c>
      <c r="W360">
        <v>51.729829899999999</v>
      </c>
      <c r="X360">
        <v>36.191069079999998</v>
      </c>
      <c r="Y360" t="str">
        <f>"20000006259685"</f>
        <v>20000006259685</v>
      </c>
    </row>
    <row r="361" spans="1:25" x14ac:dyDescent="0.25">
      <c r="A361">
        <v>907</v>
      </c>
      <c r="B361" t="str">
        <f t="shared" si="75"/>
        <v>Курск</v>
      </c>
      <c r="C361">
        <v>547540</v>
      </c>
      <c r="D361" t="str">
        <f>"ОК 7.2 ППК 1.1.3  Курск, Дзержинского, 67  п. 1"</f>
        <v>ОК 7.2 ППК 1.1.3  Курск, Дзержинского, 67  п. 1</v>
      </c>
      <c r="E361" t="str">
        <f>"КРН-16-SC"</f>
        <v>КРН-16-SC</v>
      </c>
      <c r="F361" t="str">
        <f>"20.02.2019"</f>
        <v>20.02.2019</v>
      </c>
      <c r="G361" t="str">
        <f>"Информационные системы Джет"</f>
        <v>Информационные системы Джет</v>
      </c>
      <c r="H361" t="str">
        <f>"ОК 7.2 ППК 1.1.3 "</f>
        <v xml:space="preserve">ОК 7.2 ППК 1.1.3 </v>
      </c>
      <c r="I361" t="str">
        <f>"ДШ (под. 1, ОУ№ 7)"</f>
        <v>ДШ (под. 1, ОУ№ 7)</v>
      </c>
      <c r="J361" t="str">
        <f>"Курск, Дзержинского, 67"</f>
        <v>Курск, Дзержинского, 67</v>
      </c>
      <c r="K361" t="str">
        <f>""</f>
        <v/>
      </c>
      <c r="L361" t="str">
        <f>""</f>
        <v/>
      </c>
      <c r="M361">
        <v>208716</v>
      </c>
      <c r="N361" t="str">
        <f>""</f>
        <v/>
      </c>
      <c r="O361" t="str">
        <f>"HSH-208716"</f>
        <v>HSH-208716</v>
      </c>
      <c r="P361" t="str">
        <f t="shared" si="76"/>
        <v>Нет</v>
      </c>
      <c r="Q361" t="str">
        <f>"КСК00000000000000029"</f>
        <v>КСК00000000000000029</v>
      </c>
      <c r="R361" t="str">
        <f>""</f>
        <v/>
      </c>
      <c r="S361" t="str">
        <f t="shared" ref="S361:S366" si="84">"Основной"</f>
        <v>Основной</v>
      </c>
      <c r="T361" t="str">
        <f t="shared" si="77"/>
        <v>ГУТС</v>
      </c>
      <c r="U361" t="str">
        <f>""</f>
        <v/>
      </c>
      <c r="V361" t="str">
        <f t="shared" si="78"/>
        <v>Нет</v>
      </c>
      <c r="W361">
        <v>51.723213919999999</v>
      </c>
      <c r="X361">
        <v>36.173077769999999</v>
      </c>
      <c r="Y361" t="str">
        <f>"20000004571714"</f>
        <v>20000004571714</v>
      </c>
    </row>
    <row r="362" spans="1:25" x14ac:dyDescent="0.25">
      <c r="A362">
        <v>907</v>
      </c>
      <c r="B362" t="str">
        <f t="shared" si="75"/>
        <v>Курск</v>
      </c>
      <c r="C362">
        <v>548027</v>
      </c>
      <c r="D362" t="str">
        <f>"ОК 23.2 ППК 1.1.1  Курск, Александра Невского, 13  п. 1"</f>
        <v>ОК 23.2 ППК 1.1.1  Курск, Александра Невского, 13  п. 1</v>
      </c>
      <c r="E362" t="str">
        <f>"КРН-16-SC"</f>
        <v>КРН-16-SC</v>
      </c>
      <c r="F362" t="str">
        <f>"26.02.2019"</f>
        <v>26.02.2019</v>
      </c>
      <c r="G362" t="str">
        <f>"Алехина Екатерина Викторовна"</f>
        <v>Алехина Екатерина Викторовна</v>
      </c>
      <c r="H362" t="str">
        <f>"ОК 23.2 ППК 1.1.1 "</f>
        <v xml:space="preserve">ОК 23.2 ППК 1.1.1 </v>
      </c>
      <c r="I362" t="str">
        <f>"ДШ (под. 1, ОУ№ 23)"</f>
        <v>ДШ (под. 1, ОУ№ 23)</v>
      </c>
      <c r="J362" t="str">
        <f>"Курск, Александра Невского, 13"</f>
        <v>Курск, Александра Невского, 13</v>
      </c>
      <c r="K362" t="str">
        <f>""</f>
        <v/>
      </c>
      <c r="L362" t="str">
        <f>""</f>
        <v/>
      </c>
      <c r="M362">
        <v>208992</v>
      </c>
      <c r="N362" t="str">
        <f>""</f>
        <v/>
      </c>
      <c r="O362" t="str">
        <f>"HSH-208992"</f>
        <v>HSH-208992</v>
      </c>
      <c r="P362" t="str">
        <f t="shared" si="76"/>
        <v>Нет</v>
      </c>
      <c r="Q362" t="str">
        <f>"КСК00000000000000027"</f>
        <v>КСК00000000000000027</v>
      </c>
      <c r="R362" t="str">
        <f>""</f>
        <v/>
      </c>
      <c r="S362" t="str">
        <f t="shared" si="84"/>
        <v>Основной</v>
      </c>
      <c r="T362" t="str">
        <f t="shared" si="77"/>
        <v>ГУТС</v>
      </c>
      <c r="U362" t="str">
        <f>""</f>
        <v/>
      </c>
      <c r="V362" t="str">
        <f t="shared" si="78"/>
        <v>Нет</v>
      </c>
      <c r="W362">
        <v>51.724482309999999</v>
      </c>
      <c r="X362">
        <v>36.187806729999998</v>
      </c>
      <c r="Y362" t="str">
        <f>"20000004571766"</f>
        <v>20000004571766</v>
      </c>
    </row>
    <row r="363" spans="1:25" x14ac:dyDescent="0.25">
      <c r="A363">
        <v>907</v>
      </c>
      <c r="B363" t="str">
        <f t="shared" si="75"/>
        <v>Курск</v>
      </c>
      <c r="C363">
        <v>548725</v>
      </c>
      <c r="D363" t="str">
        <f>"ОК 10.2 ППК 3.4.6  Курск, Ленина, 11  п. 1"</f>
        <v>ОК 10.2 ППК 3.4.6  Курск, Ленина, 11  п. 1</v>
      </c>
      <c r="E363" t="str">
        <f>"КРН-16-SC"</f>
        <v>КРН-16-SC</v>
      </c>
      <c r="F363" t="str">
        <f>"12.03.2019"</f>
        <v>12.03.2019</v>
      </c>
      <c r="G363" t="str">
        <f>"Новый Книжный М"</f>
        <v>Новый Книжный М</v>
      </c>
      <c r="H363" t="str">
        <f>"ОК 10.2 ППК 3.4.6 "</f>
        <v xml:space="preserve">ОК 10.2 ППК 3.4.6 </v>
      </c>
      <c r="I363" t="str">
        <f>"ДШ (под. 1, ОУ№ 10)"</f>
        <v>ДШ (под. 1, ОУ№ 10)</v>
      </c>
      <c r="J363" t="str">
        <f>"Курск, Ленина, 11"</f>
        <v>Курск, Ленина, 11</v>
      </c>
      <c r="K363" t="str">
        <f>""</f>
        <v/>
      </c>
      <c r="L363" t="str">
        <f>""</f>
        <v/>
      </c>
      <c r="M363">
        <v>209415</v>
      </c>
      <c r="N363" t="str">
        <f>""</f>
        <v/>
      </c>
      <c r="O363" t="str">
        <f>"HSH-209415"</f>
        <v>HSH-209415</v>
      </c>
      <c r="P363" t="str">
        <f t="shared" si="76"/>
        <v>Нет</v>
      </c>
      <c r="Q363" t="str">
        <f>"КСК00000000000000218"</f>
        <v>КСК00000000000000218</v>
      </c>
      <c r="R363" t="str">
        <f>""</f>
        <v/>
      </c>
      <c r="S363" t="str">
        <f t="shared" si="84"/>
        <v>Основной</v>
      </c>
      <c r="T363" t="str">
        <f t="shared" si="77"/>
        <v>ГУТС</v>
      </c>
      <c r="U363" t="str">
        <f>""</f>
        <v/>
      </c>
      <c r="V363" t="str">
        <f t="shared" si="78"/>
        <v>Нет</v>
      </c>
      <c r="W363">
        <v>51.733204180000001</v>
      </c>
      <c r="X363">
        <v>36.193268410000002</v>
      </c>
      <c r="Y363" t="str">
        <f>"20000004571933"</f>
        <v>20000004571933</v>
      </c>
    </row>
    <row r="364" spans="1:25" x14ac:dyDescent="0.25">
      <c r="A364">
        <v>907</v>
      </c>
      <c r="B364" t="str">
        <f t="shared" si="75"/>
        <v>Курск</v>
      </c>
      <c r="C364">
        <v>550007</v>
      </c>
      <c r="D364" t="str">
        <f>"ОК9 ППК 4.1.1 Курск, Ухтомского, 2 а п. 1"</f>
        <v>ОК9 ППК 4.1.1 Курск, Ухтомского, 2 а п. 1</v>
      </c>
      <c r="E364" t="str">
        <f>"КРС-8/16-SC"</f>
        <v>КРС-8/16-SC</v>
      </c>
      <c r="F364" t="str">
        <f>"17.04.2019"</f>
        <v>17.04.2019</v>
      </c>
      <c r="G364" t="str">
        <f>"АЛТЕКС"</f>
        <v>АЛТЕКС</v>
      </c>
      <c r="H364" t="str">
        <f>"ОК9 ППК 4.1.1"</f>
        <v>ОК9 ППК 4.1.1</v>
      </c>
      <c r="I364" t="str">
        <f>"ДШ (под. 1, ОУ№ 9)"</f>
        <v>ДШ (под. 1, ОУ№ 9)</v>
      </c>
      <c r="J364" t="str">
        <f>"Курск, Ухтомского, 2 а"</f>
        <v>Курск, Ухтомского, 2 а</v>
      </c>
      <c r="K364" t="str">
        <f>"Офис"</f>
        <v>Офис</v>
      </c>
      <c r="L364" t="str">
        <f>"19-MAY-19"</f>
        <v>19-MAY-19</v>
      </c>
      <c r="M364">
        <v>210671</v>
      </c>
      <c r="N364" t="str">
        <f>""</f>
        <v/>
      </c>
      <c r="O364" t="str">
        <f>"HSH-210671"</f>
        <v>HSH-210671</v>
      </c>
      <c r="P364" t="str">
        <f t="shared" si="76"/>
        <v>Нет</v>
      </c>
      <c r="Q364" t="str">
        <f>"КСК00000000000000334"</f>
        <v>КСК00000000000000334</v>
      </c>
      <c r="R364" t="str">
        <f>""</f>
        <v/>
      </c>
      <c r="S364" t="str">
        <f t="shared" si="84"/>
        <v>Основной</v>
      </c>
      <c r="T364" t="str">
        <f t="shared" si="77"/>
        <v>ГУТС</v>
      </c>
      <c r="U364" t="str">
        <f>""</f>
        <v/>
      </c>
      <c r="V364" t="str">
        <f t="shared" si="78"/>
        <v>Нет</v>
      </c>
      <c r="W364">
        <v>51.749302849999999</v>
      </c>
      <c r="X364">
        <v>36.23864348</v>
      </c>
      <c r="Y364" t="str">
        <f>"20000004572144"</f>
        <v>20000004572144</v>
      </c>
    </row>
    <row r="365" spans="1:25" x14ac:dyDescent="0.25">
      <c r="A365">
        <v>907</v>
      </c>
      <c r="B365" t="str">
        <f t="shared" si="75"/>
        <v>Курск</v>
      </c>
      <c r="C365">
        <v>550020</v>
      </c>
      <c r="D365" t="str">
        <f>"ОК12.1 ППК 3.1.7 Курск, Карла Маркса, 77 б п. 1"</f>
        <v>ОК12.1 ППК 3.1.7 Курск, Карла Маркса, 77 б п. 1</v>
      </c>
      <c r="E365" t="str">
        <f>"КРС-8/16-SC"</f>
        <v>КРС-8/16-SC</v>
      </c>
      <c r="F365" t="str">
        <f>"18.04.2019"</f>
        <v>18.04.2019</v>
      </c>
      <c r="G365" t="str">
        <f>"Публичное акционерное общество `Сбербанк России`"</f>
        <v>Публичное акционерное общество `Сбербанк России`</v>
      </c>
      <c r="H365" t="str">
        <f>"ОК12.1 ППК 3.1.7"</f>
        <v>ОК12.1 ППК 3.1.7</v>
      </c>
      <c r="I365" t="str">
        <f>"ДШ (под. 1, ОУ№ 6-КК)"</f>
        <v>ДШ (под. 1, ОУ№ 6-КК)</v>
      </c>
      <c r="J365" t="str">
        <f>"Курск, Карла Маркса, 77 б"</f>
        <v>Курск, Карла Маркса, 77 б</v>
      </c>
      <c r="K365" t="str">
        <f t="shared" ref="K365:K371" si="85">"ДШ-1"</f>
        <v>ДШ-1</v>
      </c>
      <c r="L365" t="str">
        <f>"19-MAY-19"</f>
        <v>19-MAY-19</v>
      </c>
      <c r="M365">
        <v>210714</v>
      </c>
      <c r="N365" t="str">
        <f>""</f>
        <v/>
      </c>
      <c r="O365" t="str">
        <f>"HSH-210714"</f>
        <v>HSH-210714</v>
      </c>
      <c r="P365" t="str">
        <f t="shared" si="76"/>
        <v>Нет</v>
      </c>
      <c r="Q365" t="str">
        <f>"КСК00000000000000339"</f>
        <v>КСК00000000000000339</v>
      </c>
      <c r="R365" t="str">
        <f>""</f>
        <v/>
      </c>
      <c r="S365" t="str">
        <f t="shared" si="84"/>
        <v>Основной</v>
      </c>
      <c r="T365" t="str">
        <f t="shared" si="77"/>
        <v>ГУТС</v>
      </c>
      <c r="U365" t="str">
        <f>""</f>
        <v/>
      </c>
      <c r="V365" t="str">
        <f t="shared" si="78"/>
        <v>Нет</v>
      </c>
      <c r="W365">
        <v>51.793554489999998</v>
      </c>
      <c r="X365">
        <v>36.165400310000003</v>
      </c>
      <c r="Y365" t="str">
        <f>"20000004572145"</f>
        <v>20000004572145</v>
      </c>
    </row>
    <row r="366" spans="1:25" x14ac:dyDescent="0.25">
      <c r="A366">
        <v>907</v>
      </c>
      <c r="B366" t="str">
        <f t="shared" si="75"/>
        <v>Курск</v>
      </c>
      <c r="C366">
        <v>550319</v>
      </c>
      <c r="D366" t="str">
        <f>"ОК25.1 ППК 1.1.1 Курск, Литовская, 95 а/3 п. 1"</f>
        <v>ОК25.1 ППК 1.1.1 Курск, Литовская, 95 а/3 п. 1</v>
      </c>
      <c r="E366" t="str">
        <f>"КРС-8/16-SC"</f>
        <v>КРС-8/16-SC</v>
      </c>
      <c r="F366" t="str">
        <f>"29.04.2019"</f>
        <v>29.04.2019</v>
      </c>
      <c r="G366" t="str">
        <f>"Вынос Литовская 95 / а/3"</f>
        <v>Вынос Литовская 95 / а/3</v>
      </c>
      <c r="H366" t="str">
        <f>"ОК25.1 ППК 1.1.1"</f>
        <v>ОК25.1 ППК 1.1.1</v>
      </c>
      <c r="I366" t="str">
        <f>"ДШ (под. 1, ОУ№ 25)"</f>
        <v>ДШ (под. 1, ОУ№ 25)</v>
      </c>
      <c r="J366" t="str">
        <f>"Курск, Литовская, 95 а/3"</f>
        <v>Курск, Литовская, 95 а/3</v>
      </c>
      <c r="K366" t="str">
        <f t="shared" si="85"/>
        <v>ДШ-1</v>
      </c>
      <c r="L366" t="str">
        <f>"19-MAY-19"</f>
        <v>19-MAY-19</v>
      </c>
      <c r="M366">
        <v>210977</v>
      </c>
      <c r="N366" t="str">
        <f>""</f>
        <v/>
      </c>
      <c r="O366" t="str">
        <f>"HSH-210977"</f>
        <v>HSH-210977</v>
      </c>
      <c r="P366" t="str">
        <f t="shared" si="76"/>
        <v>Нет</v>
      </c>
      <c r="Q366" t="str">
        <f>"КСК00000000000000027"</f>
        <v>КСК00000000000000027</v>
      </c>
      <c r="R366" t="str">
        <f>""</f>
        <v/>
      </c>
      <c r="S366" t="str">
        <f t="shared" si="84"/>
        <v>Основной</v>
      </c>
      <c r="T366" t="str">
        <f t="shared" si="77"/>
        <v>ГУТС</v>
      </c>
      <c r="U366" t="str">
        <f>""</f>
        <v/>
      </c>
      <c r="V366" t="str">
        <f t="shared" si="78"/>
        <v>Нет</v>
      </c>
      <c r="W366">
        <v>51.705536780000003</v>
      </c>
      <c r="X366">
        <v>36.171544259999997</v>
      </c>
      <c r="Y366" t="str">
        <f>"20000004572221"</f>
        <v>20000004572221</v>
      </c>
    </row>
    <row r="367" spans="1:25" x14ac:dyDescent="0.25">
      <c r="A367">
        <v>907</v>
      </c>
      <c r="B367" t="str">
        <f t="shared" si="75"/>
        <v>Курск</v>
      </c>
      <c r="C367">
        <v>550798</v>
      </c>
      <c r="D367" t="str">
        <f>"ГОК2.5.10.1 Курск, Вячеслава Клыкова Пр-Кт, 68  п. 1"</f>
        <v>ГОК2.5.10.1 Курск, Вячеслава Клыкова Пр-Кт, 68  п. 1</v>
      </c>
      <c r="E367" t="str">
        <f>"КРС-24-SC"</f>
        <v>КРС-24-SC</v>
      </c>
      <c r="F367" t="str">
        <f>"13.05.2019"</f>
        <v>13.05.2019</v>
      </c>
      <c r="G367" t="str">
        <f>""</f>
        <v/>
      </c>
      <c r="H367" t="str">
        <f>"ГОК2.5.10.1"</f>
        <v>ГОК2.5.10.1</v>
      </c>
      <c r="I367" t="str">
        <f>"ДШ (под. 1, ОУ№ 1)"</f>
        <v>ДШ (под. 1, ОУ№ 1)</v>
      </c>
      <c r="J367" t="str">
        <f>"Курск, Вячеслава Клыкова Пр-Кт, 68"</f>
        <v>Курск, Вячеслава Клыкова Пр-Кт, 68</v>
      </c>
      <c r="K367" t="str">
        <f t="shared" si="85"/>
        <v>ДШ-1</v>
      </c>
      <c r="L367" t="str">
        <f>"13-MAY-19"</f>
        <v>13-MAY-19</v>
      </c>
      <c r="M367">
        <v>211280</v>
      </c>
      <c r="N367" t="str">
        <f>""</f>
        <v/>
      </c>
      <c r="O367" t="str">
        <f>"KURSK005889"</f>
        <v>KURSK005889</v>
      </c>
      <c r="P367" t="str">
        <f t="shared" si="76"/>
        <v>Нет</v>
      </c>
      <c r="Q367" t="str">
        <f>"КСК00000000000002310"</f>
        <v>КСК00000000000002310</v>
      </c>
      <c r="R367" t="str">
        <f>""</f>
        <v/>
      </c>
      <c r="S367" t="str">
        <f>"Достройка МЕ"</f>
        <v>Достройка МЕ</v>
      </c>
      <c r="T367" t="str">
        <f t="shared" si="77"/>
        <v>ГУТС</v>
      </c>
      <c r="U367" t="str">
        <f>""</f>
        <v/>
      </c>
      <c r="V367" t="str">
        <f t="shared" si="78"/>
        <v>Нет</v>
      </c>
      <c r="W367">
        <v>51.720660879999997</v>
      </c>
      <c r="X367">
        <v>36.139446829999997</v>
      </c>
      <c r="Y367" t="str">
        <f>"20000004572269"</f>
        <v>20000004572269</v>
      </c>
    </row>
    <row r="368" spans="1:25" x14ac:dyDescent="0.25">
      <c r="A368">
        <v>907</v>
      </c>
      <c r="B368" t="str">
        <f t="shared" si="75"/>
        <v>Курск</v>
      </c>
      <c r="C368">
        <v>550891</v>
      </c>
      <c r="D368" t="str">
        <f>"ОК11.1 ППК 3.4.6 Курск, Кати Зеленко, 24  п. 1"</f>
        <v>ОК11.1 ППК 3.4.6 Курск, Кати Зеленко, 24  п. 1</v>
      </c>
      <c r="E368" t="str">
        <f>"КРС-8/16-SC"</f>
        <v>КРС-8/16-SC</v>
      </c>
      <c r="F368" t="str">
        <f>"14.05.2019"</f>
        <v>14.05.2019</v>
      </c>
      <c r="G368" t="str">
        <f>"""РЕСО-ЛИЗИНГ"""</f>
        <v>"РЕСО-ЛИЗИНГ"</v>
      </c>
      <c r="H368" t="str">
        <f>"ОК11.1 ППК 3.4.6"</f>
        <v>ОК11.1 ППК 3.4.6</v>
      </c>
      <c r="I368" t="str">
        <f>"ДШ (под. 1, ОУ№ 11)"</f>
        <v>ДШ (под. 1, ОУ№ 11)</v>
      </c>
      <c r="J368" t="str">
        <f>"Курск, Кати Зеленко, 24"</f>
        <v>Курск, Кати Зеленко, 24</v>
      </c>
      <c r="K368" t="str">
        <f t="shared" si="85"/>
        <v>ДШ-1</v>
      </c>
      <c r="L368" t="str">
        <f>"19-MAY-19"</f>
        <v>19-MAY-19</v>
      </c>
      <c r="M368">
        <v>211333</v>
      </c>
      <c r="N368" t="str">
        <f>""</f>
        <v/>
      </c>
      <c r="O368" t="str">
        <f>"HSH-211333"</f>
        <v>HSH-211333</v>
      </c>
      <c r="P368" t="str">
        <f t="shared" si="76"/>
        <v>Нет</v>
      </c>
      <c r="Q368" t="str">
        <f>"КСК00000000000000218"</f>
        <v>КСК00000000000000218</v>
      </c>
      <c r="R368" t="str">
        <f>""</f>
        <v/>
      </c>
      <c r="S368" t="str">
        <f>"Основной"</f>
        <v>Основной</v>
      </c>
      <c r="T368" t="str">
        <f t="shared" si="77"/>
        <v>ГУТС</v>
      </c>
      <c r="U368" t="str">
        <f>""</f>
        <v/>
      </c>
      <c r="V368" t="str">
        <f t="shared" si="78"/>
        <v>Нет</v>
      </c>
      <c r="W368">
        <v>51.738900600000001</v>
      </c>
      <c r="X368">
        <v>36.197694579999997</v>
      </c>
      <c r="Y368" t="str">
        <f>"20000004572293"</f>
        <v>20000004572293</v>
      </c>
    </row>
    <row r="369" spans="1:25" x14ac:dyDescent="0.25">
      <c r="A369">
        <v>907</v>
      </c>
      <c r="B369" t="str">
        <f t="shared" si="75"/>
        <v>Курск</v>
      </c>
      <c r="C369">
        <v>554008</v>
      </c>
      <c r="D369" t="str">
        <f>"ГОК2.5.11.1 Курск, Вячеслава Клыкова Пр-Кт, 80  п. 1"</f>
        <v>ГОК2.5.11.1 Курск, Вячеслава Клыкова Пр-Кт, 80  п. 1</v>
      </c>
      <c r="E369" t="str">
        <f>"КРС-8/16-SC"</f>
        <v>КРС-8/16-SC</v>
      </c>
      <c r="F369" t="str">
        <f>"20.08.2019"</f>
        <v>20.08.2019</v>
      </c>
      <c r="G369" t="str">
        <f>""</f>
        <v/>
      </c>
      <c r="H369" t="str">
        <f>"ГОК2.5.11.1"</f>
        <v>ГОК2.5.11.1</v>
      </c>
      <c r="I369" t="str">
        <f>"ДШ (под. 1, ОУ№ 1)"</f>
        <v>ДШ (под. 1, ОУ№ 1)</v>
      </c>
      <c r="J369" t="str">
        <f>"Курск, Вячеслава Клыкова Пр-Кт, 80"</f>
        <v>Курск, Вячеслава Клыкова Пр-Кт, 80</v>
      </c>
      <c r="K369" t="str">
        <f t="shared" si="85"/>
        <v>ДШ-1</v>
      </c>
      <c r="L369" t="str">
        <f>"02-JUL-19"</f>
        <v>02-JUL-19</v>
      </c>
      <c r="M369">
        <v>214457</v>
      </c>
      <c r="N369" t="str">
        <f>""</f>
        <v/>
      </c>
      <c r="O369" t="str">
        <f>"KURSK006468"</f>
        <v>KURSK006468</v>
      </c>
      <c r="P369" t="str">
        <f t="shared" si="76"/>
        <v>Нет</v>
      </c>
      <c r="Q369" t="str">
        <f>"КСК00000000000002330"</f>
        <v>КСК00000000000002330</v>
      </c>
      <c r="R369" t="str">
        <f>""</f>
        <v/>
      </c>
      <c r="S369" t="str">
        <f>"Достройка МЕ"</f>
        <v>Достройка МЕ</v>
      </c>
      <c r="T369" t="str">
        <f t="shared" si="77"/>
        <v>ГУТС</v>
      </c>
      <c r="U369" t="str">
        <f>""</f>
        <v/>
      </c>
      <c r="V369" t="str">
        <f t="shared" si="78"/>
        <v>Нет</v>
      </c>
      <c r="W369">
        <v>51.720317270000002</v>
      </c>
      <c r="X369">
        <v>36.139694069999997</v>
      </c>
      <c r="Y369" t="str">
        <f>"20000004572950"</f>
        <v>20000004572950</v>
      </c>
    </row>
    <row r="370" spans="1:25" x14ac:dyDescent="0.25">
      <c r="A370">
        <v>907</v>
      </c>
      <c r="B370" t="str">
        <f t="shared" si="75"/>
        <v>Курск</v>
      </c>
      <c r="C370">
        <v>628594</v>
      </c>
      <c r="D370" t="str">
        <f>"ГОК2.6.5.1 Курск, Запольная, 60 а п. 1"</f>
        <v>ГОК2.6.5.1 Курск, Запольная, 60 а п. 1</v>
      </c>
      <c r="E370" t="str">
        <f>"КРС-8/16-SC"</f>
        <v>КРС-8/16-SC</v>
      </c>
      <c r="F370" t="str">
        <f>"23.10.2019"</f>
        <v>23.10.2019</v>
      </c>
      <c r="G370" t="str">
        <f>""</f>
        <v/>
      </c>
      <c r="H370" t="str">
        <f>"ГОК2.6.5.1"</f>
        <v>ГОК2.6.5.1</v>
      </c>
      <c r="I370" t="str">
        <f>"ДШ (под. 1, ОУ№ 1)"</f>
        <v>ДШ (под. 1, ОУ№ 1)</v>
      </c>
      <c r="J370" t="str">
        <f>"Курск, Запольная, 60 а"</f>
        <v>Курск, Запольная, 60 а</v>
      </c>
      <c r="K370" t="str">
        <f t="shared" si="85"/>
        <v>ДШ-1</v>
      </c>
      <c r="L370" t="str">
        <f>"23-AUG-19"</f>
        <v>23-AUG-19</v>
      </c>
      <c r="M370">
        <v>216741</v>
      </c>
      <c r="N370" t="str">
        <f>""</f>
        <v/>
      </c>
      <c r="O370" t="str">
        <f>"HSH-216741"</f>
        <v>HSH-216741</v>
      </c>
      <c r="P370" t="str">
        <f t="shared" si="76"/>
        <v>Нет</v>
      </c>
      <c r="Q370" t="str">
        <f>"КСК00000000000002430"</f>
        <v>КСК00000000000002430</v>
      </c>
      <c r="R370" t="str">
        <f>""</f>
        <v/>
      </c>
      <c r="S370" t="str">
        <f>"Достройка МЕ"</f>
        <v>Достройка МЕ</v>
      </c>
      <c r="T370" t="str">
        <f t="shared" si="77"/>
        <v>ГУТС</v>
      </c>
      <c r="U370" t="str">
        <f>""</f>
        <v/>
      </c>
      <c r="V370" t="str">
        <f t="shared" si="78"/>
        <v>Нет</v>
      </c>
      <c r="W370">
        <v>51.740882650000003</v>
      </c>
      <c r="X370">
        <v>36.149283670000003</v>
      </c>
      <c r="Y370" t="str">
        <f>"20000004573477"</f>
        <v>20000004573477</v>
      </c>
    </row>
    <row r="371" spans="1:25" x14ac:dyDescent="0.25">
      <c r="A371">
        <v>907</v>
      </c>
      <c r="B371" t="str">
        <f t="shared" si="75"/>
        <v>Курск</v>
      </c>
      <c r="C371">
        <v>631052</v>
      </c>
      <c r="D371" t="str">
        <f>"ГОК2.7.1 Курск, Вячеслава Клыкова Пр-Кт, 77  п. 2"</f>
        <v>ГОК2.7.1 Курск, Вячеслава Клыкова Пр-Кт, 77  п. 2</v>
      </c>
      <c r="E371" t="str">
        <f>"КРС-8/16-SC"</f>
        <v>КРС-8/16-SC</v>
      </c>
      <c r="F371" t="str">
        <f>"12.11.2019"</f>
        <v>12.11.2019</v>
      </c>
      <c r="G371" t="str">
        <f>""</f>
        <v/>
      </c>
      <c r="H371" t="str">
        <f>"ГОК2.7.1"</f>
        <v>ГОК2.7.1</v>
      </c>
      <c r="I371" t="str">
        <f>"ДШ (под. 2, ОУ№ 1)"</f>
        <v>ДШ (под. 2, ОУ№ 1)</v>
      </c>
      <c r="J371" t="str">
        <f>"Курск, Вячеслава Клыкова Пр-Кт, 77"</f>
        <v>Курск, Вячеслава Клыкова Пр-Кт, 77</v>
      </c>
      <c r="K371" t="str">
        <f t="shared" si="85"/>
        <v>ДШ-1</v>
      </c>
      <c r="L371" t="str">
        <f>"11-SEP-19"</f>
        <v>11-SEP-19</v>
      </c>
      <c r="M371">
        <v>217342</v>
      </c>
      <c r="N371" t="str">
        <f>""</f>
        <v/>
      </c>
      <c r="O371" t="str">
        <f>"HSH-217342"</f>
        <v>HSH-217342</v>
      </c>
      <c r="P371" t="str">
        <f t="shared" si="76"/>
        <v>Нет</v>
      </c>
      <c r="Q371" t="str">
        <f>"КСК00000000000002404"</f>
        <v>КСК00000000000002404</v>
      </c>
      <c r="R371" t="str">
        <f>""</f>
        <v/>
      </c>
      <c r="S371" t="str">
        <f>"Достройка МЕ"</f>
        <v>Достройка МЕ</v>
      </c>
      <c r="T371" t="str">
        <f t="shared" si="77"/>
        <v>ГУТС</v>
      </c>
      <c r="U371" t="str">
        <f>""</f>
        <v/>
      </c>
      <c r="V371" t="str">
        <f t="shared" si="78"/>
        <v>Нет</v>
      </c>
      <c r="W371">
        <v>51.719111529999999</v>
      </c>
      <c r="X371">
        <v>36.126591990000001</v>
      </c>
      <c r="Y371" t="str">
        <f>"20000004573647"</f>
        <v>20000004573647</v>
      </c>
    </row>
    <row r="372" spans="1:25" x14ac:dyDescent="0.25">
      <c r="A372">
        <v>907</v>
      </c>
      <c r="B372" t="str">
        <f t="shared" si="75"/>
        <v>Курск</v>
      </c>
      <c r="C372">
        <v>631167</v>
      </c>
      <c r="D372" t="str">
        <f>"МОК 2.7.1 Курск, Дружбы Пр-Кт, 4 б п. "</f>
        <v xml:space="preserve">МОК 2.7.1 Курск, Дружбы Пр-Кт, 4 б п. </v>
      </c>
      <c r="E372" t="str">
        <f>"КРС-64-SC"</f>
        <v>КРС-64-SC</v>
      </c>
      <c r="F372" t="str">
        <f>"12.11.2019"</f>
        <v>12.11.2019</v>
      </c>
      <c r="G372" t="str">
        <f>""</f>
        <v/>
      </c>
      <c r="H372" t="str">
        <f>"МОК 2.7.1"</f>
        <v>МОК 2.7.1</v>
      </c>
      <c r="I372" t="str">
        <f>"Стойка 2 спереди"</f>
        <v>Стойка 2 спереди</v>
      </c>
      <c r="J372" t="str">
        <f>"Курск, Дружбы Пр-Кт, 4 б"</f>
        <v>Курск, Дружбы Пр-Кт, 4 б</v>
      </c>
      <c r="K372" t="str">
        <f>"Аппаратная"</f>
        <v>Аппаратная</v>
      </c>
      <c r="L372" t="str">
        <f>"08-AUG-19"</f>
        <v>08-AUG-19</v>
      </c>
      <c r="N372" t="str">
        <f>""</f>
        <v/>
      </c>
      <c r="O372" t="str">
        <f>"KURSK007086"</f>
        <v>KURSK007086</v>
      </c>
      <c r="P372" t="str">
        <f t="shared" si="76"/>
        <v>Нет</v>
      </c>
      <c r="Q372" t="str">
        <f>"КСК00000000000000532"</f>
        <v>КСК00000000000000532</v>
      </c>
      <c r="R372" t="str">
        <f>""</f>
        <v/>
      </c>
      <c r="S372" t="str">
        <f>"Основной"</f>
        <v>Основной</v>
      </c>
      <c r="T372" t="str">
        <f t="shared" si="77"/>
        <v>ГУТС</v>
      </c>
      <c r="U372" t="str">
        <f>""</f>
        <v/>
      </c>
      <c r="V372" t="str">
        <f t="shared" si="78"/>
        <v>Нет</v>
      </c>
      <c r="W372">
        <v>51.742471850000001</v>
      </c>
      <c r="X372">
        <v>36.139477249999999</v>
      </c>
      <c r="Y372" t="str">
        <f>"20000004573653"</f>
        <v>20000004573653</v>
      </c>
    </row>
    <row r="373" spans="1:25" x14ac:dyDescent="0.25">
      <c r="A373">
        <v>907</v>
      </c>
      <c r="B373" t="str">
        <f t="shared" si="75"/>
        <v>Курск</v>
      </c>
      <c r="C373">
        <v>633129</v>
      </c>
      <c r="D373" t="str">
        <f>"ТОК1.6 Курск, Добролюбова, 22 а п. "</f>
        <v xml:space="preserve">ТОК1.6 Курск, Добролюбова, 22 а п. </v>
      </c>
      <c r="E373" t="str">
        <f>"КРС-64-SC"</f>
        <v>КРС-64-SC</v>
      </c>
      <c r="F373" t="str">
        <f>"13.12.2019"</f>
        <v>13.12.2019</v>
      </c>
      <c r="G373" t="str">
        <f>""</f>
        <v/>
      </c>
      <c r="H373" t="str">
        <f>"ТОК1.6"</f>
        <v>ТОК1.6</v>
      </c>
      <c r="I373" t="str">
        <f>"Стойка 08 сзади"</f>
        <v>Стойка 08 сзади</v>
      </c>
      <c r="J373" t="str">
        <f>"Курск, Добролюбова, 22 а"</f>
        <v>Курск, Добролюбова, 22 а</v>
      </c>
      <c r="K373" t="str">
        <f>"Аппаратная"</f>
        <v>Аппаратная</v>
      </c>
      <c r="L373" t="str">
        <f>"13-DEC-19"</f>
        <v>13-DEC-19</v>
      </c>
      <c r="N373" t="str">
        <f>""</f>
        <v/>
      </c>
      <c r="O373" t="str">
        <f>"KURSK007270"</f>
        <v>KURSK007270</v>
      </c>
      <c r="P373" t="str">
        <f t="shared" si="76"/>
        <v>Нет</v>
      </c>
      <c r="Q373" t="str">
        <f>"КСК00000000000000150"</f>
        <v>КСК00000000000000150</v>
      </c>
      <c r="R373" t="str">
        <f>""</f>
        <v/>
      </c>
      <c r="S373" t="str">
        <f>"Основной"</f>
        <v>Основной</v>
      </c>
      <c r="T373" t="str">
        <f t="shared" si="77"/>
        <v>ГУТС</v>
      </c>
      <c r="U373" t="str">
        <f>""</f>
        <v/>
      </c>
      <c r="V373" t="str">
        <f t="shared" si="78"/>
        <v>Нет</v>
      </c>
      <c r="W373">
        <v>51.723272569999999</v>
      </c>
      <c r="X373">
        <v>36.188379159999997</v>
      </c>
      <c r="Y373" t="str">
        <f>"20000004574250"</f>
        <v>20000004574250</v>
      </c>
    </row>
    <row r="374" spans="1:25" x14ac:dyDescent="0.25">
      <c r="A374">
        <v>907</v>
      </c>
      <c r="B374" t="str">
        <f t="shared" si="75"/>
        <v>Курск</v>
      </c>
      <c r="C374">
        <v>635161</v>
      </c>
      <c r="D374" t="str">
        <f>"ГОК4.2.10.1 Курск, Весенний 2-Й Проезд, 22  п. 1"</f>
        <v>ГОК4.2.10.1 Курск, Весенний 2-Й Проезд, 22  п. 1</v>
      </c>
      <c r="E374" t="str">
        <f>"КРС-8/16-SC"</f>
        <v>КРС-8/16-SC</v>
      </c>
      <c r="F374" t="str">
        <f>"24.01.2020"</f>
        <v>24.01.2020</v>
      </c>
      <c r="G374" t="str">
        <f>""</f>
        <v/>
      </c>
      <c r="H374" t="str">
        <f>"ГОК4.2.10.1"</f>
        <v>ГОК4.2.10.1</v>
      </c>
      <c r="I374" t="str">
        <f>"ДШ (под. 1, ОУ№ 1)"</f>
        <v>ДШ (под. 1, ОУ№ 1)</v>
      </c>
      <c r="J374" t="str">
        <f>"Курск, Весенний 2-Й Проезд, 22"</f>
        <v>Курск, Весенний 2-Й Проезд, 22</v>
      </c>
      <c r="K374" t="str">
        <f>"ДШ-1"</f>
        <v>ДШ-1</v>
      </c>
      <c r="L374" t="str">
        <f>"26-AUG-19"</f>
        <v>26-AUG-19</v>
      </c>
      <c r="M374">
        <v>219274</v>
      </c>
      <c r="N374" t="str">
        <f>""</f>
        <v/>
      </c>
      <c r="O374" t="str">
        <f>"KURSK007487"</f>
        <v>KURSK007487</v>
      </c>
      <c r="P374" t="str">
        <f t="shared" si="76"/>
        <v>Нет</v>
      </c>
      <c r="Q374" t="str">
        <f>"КСК00000000000002450"</f>
        <v>КСК00000000000002450</v>
      </c>
      <c r="R374" t="str">
        <f>""</f>
        <v/>
      </c>
      <c r="S374" t="str">
        <f>"Достройка МЕ"</f>
        <v>Достройка МЕ</v>
      </c>
      <c r="T374" t="str">
        <f t="shared" si="77"/>
        <v>ГУТС</v>
      </c>
      <c r="U374" t="str">
        <f>""</f>
        <v/>
      </c>
      <c r="V374" t="str">
        <f t="shared" si="78"/>
        <v>Нет</v>
      </c>
      <c r="W374">
        <v>51.733956079999999</v>
      </c>
      <c r="X374">
        <v>36.267166410000002</v>
      </c>
      <c r="Y374" t="str">
        <f>"20000004575106"</f>
        <v>20000004575106</v>
      </c>
    </row>
    <row r="375" spans="1:25" x14ac:dyDescent="0.25">
      <c r="A375">
        <v>907</v>
      </c>
      <c r="B375" t="str">
        <f t="shared" si="75"/>
        <v>Курск</v>
      </c>
      <c r="C375">
        <v>636545</v>
      </c>
      <c r="D375" t="str">
        <f>"ГОК4.2.11.1 Курск, Агрегатная 1-Я, 38 б п. 2"</f>
        <v>ГОК4.2.11.1 Курск, Агрегатная 1-Я, 38 б п. 2</v>
      </c>
      <c r="E375" t="str">
        <f>"КРС-8/16-SC"</f>
        <v>КРС-8/16-SC</v>
      </c>
      <c r="F375" t="str">
        <f>"13.02.2020"</f>
        <v>13.02.2020</v>
      </c>
      <c r="G375" t="str">
        <f>""</f>
        <v/>
      </c>
      <c r="H375" t="str">
        <f>"ГОК4.2.11.1"</f>
        <v>ГОК4.2.11.1</v>
      </c>
      <c r="I375" t="str">
        <f>"ДШ (под. 2, ОУ№ 1)"</f>
        <v>ДШ (под. 2, ОУ№ 1)</v>
      </c>
      <c r="J375" t="str">
        <f>"Курск, Агрегатная 1-Я, 38 б"</f>
        <v>Курск, Агрегатная 1-Я, 38 б</v>
      </c>
      <c r="K375" t="str">
        <f>"ДШ-1"</f>
        <v>ДШ-1</v>
      </c>
      <c r="L375" t="str">
        <f>"13-AUG-19"</f>
        <v>13-AUG-19</v>
      </c>
      <c r="M375">
        <v>219712</v>
      </c>
      <c r="N375" t="str">
        <f>""</f>
        <v/>
      </c>
      <c r="O375" t="str">
        <f>"KURSK008002"</f>
        <v>KURSK008002</v>
      </c>
      <c r="P375" t="str">
        <f t="shared" si="76"/>
        <v>Нет</v>
      </c>
      <c r="Q375" t="str">
        <f>"КСК00000000000002451"</f>
        <v>КСК00000000000002451</v>
      </c>
      <c r="R375" t="str">
        <f>""</f>
        <v/>
      </c>
      <c r="S375" t="str">
        <f>"Достройка МЕ"</f>
        <v>Достройка МЕ</v>
      </c>
      <c r="T375" t="str">
        <f t="shared" si="77"/>
        <v>ГУТС</v>
      </c>
      <c r="U375" t="str">
        <f>""</f>
        <v/>
      </c>
      <c r="V375" t="str">
        <f t="shared" si="78"/>
        <v>Нет</v>
      </c>
      <c r="W375">
        <v>51.737623990000003</v>
      </c>
      <c r="X375">
        <v>36.277283310000001</v>
      </c>
      <c r="Y375" t="str">
        <f>"20000004575964"</f>
        <v>20000004575964</v>
      </c>
    </row>
    <row r="376" spans="1:25" x14ac:dyDescent="0.25">
      <c r="A376">
        <v>907</v>
      </c>
      <c r="B376" t="str">
        <f t="shared" si="75"/>
        <v>Курск</v>
      </c>
      <c r="C376">
        <v>662372</v>
      </c>
      <c r="D376" t="str">
        <f>"ОК 5.1.1-10.2 ППК 5.1.1  Курск, Энгельса, 154  п. 1"</f>
        <v>ОК 5.1.1-10.2 ППК 5.1.1  Курск, Энгельса, 154  п. 1</v>
      </c>
      <c r="E376" t="str">
        <f>"КРС-8/16-SC"</f>
        <v>КРС-8/16-SC</v>
      </c>
      <c r="F376" t="str">
        <f>"24.08.2021"</f>
        <v>24.08.2021</v>
      </c>
      <c r="G376" t="str">
        <f>""</f>
        <v/>
      </c>
      <c r="H376" t="str">
        <f>"ОК 5.1.1-10.2 ППК 5.1.1 "</f>
        <v xml:space="preserve">ОК 5.1.1-10.2 ППК 5.1.1 </v>
      </c>
      <c r="I376" t="str">
        <f>"ДШ (под. 1, ОУ№ 5.1.1-10)"</f>
        <v>ДШ (под. 1, ОУ№ 5.1.1-10)</v>
      </c>
      <c r="J376" t="str">
        <f>"Курск, Энгельса, 154"</f>
        <v>Курск, Энгельса, 154</v>
      </c>
      <c r="K376" t="str">
        <f>""</f>
        <v/>
      </c>
      <c r="L376" t="str">
        <f>""</f>
        <v/>
      </c>
      <c r="N376" t="str">
        <f>""</f>
        <v/>
      </c>
      <c r="O376" t="str">
        <f>"106272S907"</f>
        <v>106272S907</v>
      </c>
      <c r="P376" t="str">
        <f t="shared" si="76"/>
        <v>Нет</v>
      </c>
      <c r="Q376" t="str">
        <f>""</f>
        <v/>
      </c>
      <c r="R376" t="str">
        <f>""</f>
        <v/>
      </c>
      <c r="S376" t="str">
        <f>""</f>
        <v/>
      </c>
      <c r="T376" t="str">
        <f t="shared" si="77"/>
        <v>ГУТС</v>
      </c>
      <c r="U376" t="str">
        <f>""</f>
        <v/>
      </c>
      <c r="V376" t="str">
        <f t="shared" si="78"/>
        <v>Нет</v>
      </c>
      <c r="W376">
        <v>51.690540759999998</v>
      </c>
      <c r="X376">
        <v>36.156203720000001</v>
      </c>
      <c r="Y376" t="str">
        <f>"20000006660250"</f>
        <v>20000006660250</v>
      </c>
    </row>
    <row r="377" spans="1:25" x14ac:dyDescent="0.25">
      <c r="A377">
        <v>907</v>
      </c>
      <c r="B377" t="str">
        <f t="shared" si="75"/>
        <v>Курск</v>
      </c>
      <c r="C377">
        <v>662398</v>
      </c>
      <c r="D377" t="str">
        <f>"ОК 44-КК.2 ППК 3.1.1  Курск, Карла Маркса, 15  п. 1"</f>
        <v>ОК 44-КК.2 ППК 3.1.1  Курск, Карла Маркса, 15  п. 1</v>
      </c>
      <c r="E377" t="str">
        <f>"КРС-8/16-SC"</f>
        <v>КРС-8/16-SC</v>
      </c>
      <c r="F377" t="str">
        <f>"24.08.2021"</f>
        <v>24.08.2021</v>
      </c>
      <c r="G377" t="str">
        <f>""</f>
        <v/>
      </c>
      <c r="H377" t="str">
        <f>"ОК 44-КК.2 ППК 3.1.1 "</f>
        <v xml:space="preserve">ОК 44-КК.2 ППК 3.1.1 </v>
      </c>
      <c r="I377" t="str">
        <f>"ДШ (под. 1, ОУ№ 44-КК)"</f>
        <v>ДШ (под. 1, ОУ№ 44-КК)</v>
      </c>
      <c r="J377" t="str">
        <f>"Курск, Карла Маркса, 15"</f>
        <v>Курск, Карла Маркса, 15</v>
      </c>
      <c r="K377" t="str">
        <f>""</f>
        <v/>
      </c>
      <c r="L377" t="str">
        <f>""</f>
        <v/>
      </c>
      <c r="N377" t="str">
        <f>""</f>
        <v/>
      </c>
      <c r="O377" t="str">
        <f>"106274S907"</f>
        <v>106274S907</v>
      </c>
      <c r="P377" t="str">
        <f t="shared" si="76"/>
        <v>Нет</v>
      </c>
      <c r="Q377" t="str">
        <f>""</f>
        <v/>
      </c>
      <c r="R377" t="str">
        <f>""</f>
        <v/>
      </c>
      <c r="S377" t="str">
        <f>""</f>
        <v/>
      </c>
      <c r="T377" t="str">
        <f t="shared" si="77"/>
        <v>ГУТС</v>
      </c>
      <c r="U377" t="str">
        <f>""</f>
        <v/>
      </c>
      <c r="V377" t="str">
        <f t="shared" si="78"/>
        <v>Нет</v>
      </c>
      <c r="W377">
        <v>51.751501779999998</v>
      </c>
      <c r="X377">
        <v>36.193572060000001</v>
      </c>
      <c r="Y377" t="str">
        <f>"20000006660261"</f>
        <v>20000006660261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SQLT0700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Хомяков Андрей Владимирович</dc:creator>
  <cp:lastModifiedBy>Дудкинская Наталья Дмитриевна</cp:lastModifiedBy>
  <dcterms:created xsi:type="dcterms:W3CDTF">2024-09-26T09:23:46Z</dcterms:created>
  <dcterms:modified xsi:type="dcterms:W3CDTF">2024-10-02T11:03:47Z</dcterms:modified>
</cp:coreProperties>
</file>