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dkinskaia.nd\Desktop\Для парсинга нарядов\"/>
    </mc:Choice>
  </mc:AlternateContent>
  <bookViews>
    <workbookView xWindow="0" yWindow="0" windowWidth="28800" windowHeight="12300"/>
  </bookViews>
  <sheets>
    <sheet name="SQLT0701" sheetId="1" r:id="rId1"/>
  </sheets>
  <calcPr calcId="162913"/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X2" i="1"/>
  <c r="B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X3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X4" i="1"/>
  <c r="B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X5" i="1"/>
  <c r="B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X6" i="1"/>
  <c r="B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X7" i="1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X8" i="1"/>
  <c r="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X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X10" i="1"/>
  <c r="B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X11" i="1"/>
  <c r="B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X12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X13" i="1"/>
  <c r="B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X14" i="1"/>
  <c r="B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X15" i="1"/>
  <c r="B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X16" i="1"/>
  <c r="B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X17" i="1"/>
  <c r="B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X18" i="1"/>
  <c r="B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X19" i="1"/>
  <c r="B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X20" i="1"/>
  <c r="B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X21" i="1"/>
  <c r="B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X22" i="1"/>
  <c r="B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X23" i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X24" i="1"/>
  <c r="B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X25" i="1"/>
  <c r="B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X26" i="1"/>
  <c r="B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X27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X28" i="1"/>
  <c r="B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X29" i="1"/>
  <c r="B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X30" i="1"/>
  <c r="B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X31" i="1"/>
  <c r="B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X32" i="1"/>
  <c r="B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X33" i="1"/>
  <c r="B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X34" i="1"/>
  <c r="B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X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X36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X37" i="1"/>
  <c r="B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X38" i="1"/>
  <c r="B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X39" i="1"/>
  <c r="B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X40" i="1"/>
  <c r="B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X41" i="1"/>
  <c r="B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X42" i="1"/>
  <c r="B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X43" i="1"/>
  <c r="B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X44" i="1"/>
  <c r="B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X45" i="1"/>
  <c r="B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X46" i="1"/>
  <c r="B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X47" i="1"/>
  <c r="B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X48" i="1"/>
  <c r="B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X49" i="1"/>
  <c r="B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X50" i="1"/>
  <c r="B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X51" i="1"/>
  <c r="B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X52" i="1"/>
  <c r="B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X53" i="1"/>
  <c r="B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X54" i="1"/>
  <c r="B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X55" i="1"/>
  <c r="B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X56" i="1"/>
  <c r="B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X57" i="1"/>
  <c r="B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X58" i="1"/>
  <c r="B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X59" i="1"/>
  <c r="B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X60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X61" i="1"/>
  <c r="B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X62" i="1"/>
  <c r="B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X63" i="1"/>
  <c r="B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X64" i="1"/>
  <c r="B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X65" i="1"/>
  <c r="B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X66" i="1"/>
  <c r="B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X67" i="1"/>
  <c r="B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X68" i="1"/>
  <c r="B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X69" i="1"/>
  <c r="B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X70" i="1"/>
  <c r="B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X71" i="1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X72" i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X73" i="1"/>
  <c r="B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X74" i="1"/>
  <c r="B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X75" i="1"/>
  <c r="B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X76" i="1"/>
  <c r="B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X77" i="1"/>
  <c r="B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X78" i="1"/>
  <c r="B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X79" i="1"/>
  <c r="B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X80" i="1"/>
  <c r="B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X81" i="1"/>
  <c r="B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X82" i="1"/>
  <c r="B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X83" i="1"/>
  <c r="B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X84" i="1"/>
  <c r="B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X85" i="1"/>
  <c r="B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X86" i="1"/>
  <c r="B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X87" i="1"/>
  <c r="B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X88" i="1"/>
  <c r="B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X89" i="1"/>
  <c r="B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X90" i="1"/>
  <c r="B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X91" i="1"/>
  <c r="B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X92" i="1"/>
  <c r="B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X93" i="1"/>
  <c r="B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X94" i="1"/>
  <c r="B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X95" i="1"/>
  <c r="B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X96" i="1"/>
  <c r="B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X97" i="1"/>
  <c r="B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X98" i="1"/>
  <c r="B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X99" i="1"/>
  <c r="B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X100" i="1"/>
  <c r="B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X101" i="1"/>
  <c r="B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X102" i="1"/>
  <c r="B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X103" i="1"/>
  <c r="B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X104" i="1"/>
  <c r="B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X105" i="1"/>
  <c r="B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X106" i="1"/>
  <c r="B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X107" i="1"/>
  <c r="B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X108" i="1"/>
  <c r="B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X109" i="1"/>
  <c r="B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X110" i="1"/>
  <c r="B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X111" i="1"/>
  <c r="B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X112" i="1"/>
  <c r="B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X113" i="1"/>
  <c r="B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X114" i="1"/>
  <c r="B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X115" i="1"/>
  <c r="B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X116" i="1"/>
  <c r="B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X117" i="1"/>
  <c r="B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X118" i="1"/>
  <c r="B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X119" i="1"/>
  <c r="B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X120" i="1"/>
  <c r="B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X121" i="1"/>
  <c r="B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X122" i="1"/>
  <c r="B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X123" i="1"/>
  <c r="B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X124" i="1"/>
  <c r="B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X125" i="1"/>
  <c r="B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X126" i="1"/>
  <c r="B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X127" i="1"/>
  <c r="B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X128" i="1"/>
  <c r="B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X129" i="1"/>
  <c r="B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X130" i="1"/>
  <c r="B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X131" i="1"/>
  <c r="B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X132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X133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X134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X135" i="1"/>
  <c r="B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X136" i="1"/>
  <c r="B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X137" i="1"/>
  <c r="B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X138" i="1"/>
  <c r="B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X139" i="1"/>
  <c r="B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X140" i="1"/>
  <c r="B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X141" i="1"/>
  <c r="B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X142" i="1"/>
  <c r="B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X143" i="1"/>
  <c r="B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X144" i="1"/>
  <c r="B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X145" i="1"/>
  <c r="B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X146" i="1"/>
  <c r="B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X147" i="1"/>
  <c r="B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X148" i="1"/>
  <c r="B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X149" i="1"/>
  <c r="B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X150" i="1"/>
  <c r="B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X151" i="1"/>
  <c r="B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X152" i="1"/>
  <c r="B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X153" i="1"/>
  <c r="B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X154" i="1"/>
  <c r="B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X155" i="1"/>
  <c r="B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X156" i="1"/>
  <c r="B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X157" i="1"/>
  <c r="B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X158" i="1"/>
  <c r="B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X159" i="1"/>
  <c r="B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X160" i="1"/>
  <c r="B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X161" i="1"/>
  <c r="B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X162" i="1"/>
  <c r="B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X163" i="1"/>
  <c r="B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X164" i="1"/>
  <c r="B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X165" i="1"/>
  <c r="B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X166" i="1"/>
  <c r="B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X167" i="1"/>
  <c r="B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X168" i="1"/>
  <c r="B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X169" i="1"/>
  <c r="B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X170" i="1"/>
  <c r="B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X171" i="1"/>
  <c r="B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X172" i="1"/>
  <c r="B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X173" i="1"/>
  <c r="B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X174" i="1"/>
  <c r="B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X175" i="1"/>
  <c r="B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X176" i="1"/>
  <c r="B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X177" i="1"/>
  <c r="B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X178" i="1"/>
  <c r="B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X179" i="1"/>
  <c r="B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X180" i="1"/>
  <c r="B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X181" i="1"/>
  <c r="B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X182" i="1"/>
  <c r="B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X183" i="1"/>
  <c r="B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X184" i="1"/>
  <c r="B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X185" i="1"/>
  <c r="B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X186" i="1"/>
  <c r="B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X187" i="1"/>
  <c r="B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X188" i="1"/>
  <c r="B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X189" i="1"/>
  <c r="B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X190" i="1"/>
  <c r="B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X191" i="1"/>
  <c r="B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X192" i="1"/>
  <c r="B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X193" i="1"/>
  <c r="B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X194" i="1"/>
  <c r="B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X195" i="1"/>
  <c r="B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X196" i="1"/>
  <c r="B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X197" i="1"/>
  <c r="B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X198" i="1"/>
  <c r="B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X199" i="1"/>
  <c r="B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X200" i="1"/>
  <c r="B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X201" i="1"/>
  <c r="B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X202" i="1"/>
  <c r="B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X203" i="1"/>
  <c r="B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X204" i="1"/>
  <c r="B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X205" i="1"/>
  <c r="B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X206" i="1"/>
  <c r="B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X207" i="1"/>
  <c r="B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X208" i="1"/>
  <c r="B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X209" i="1"/>
  <c r="B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X210" i="1"/>
  <c r="B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X211" i="1"/>
  <c r="B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X212" i="1"/>
  <c r="B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X213" i="1"/>
  <c r="B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X214" i="1"/>
  <c r="B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X215" i="1"/>
  <c r="B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X216" i="1"/>
  <c r="B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X217" i="1"/>
  <c r="B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X218" i="1"/>
  <c r="B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X219" i="1"/>
  <c r="B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X220" i="1"/>
  <c r="B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X221" i="1"/>
  <c r="B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X222" i="1"/>
  <c r="B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X223" i="1"/>
  <c r="B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X224" i="1"/>
  <c r="B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X225" i="1"/>
  <c r="B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X226" i="1"/>
  <c r="B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X227" i="1"/>
  <c r="B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X228" i="1"/>
  <c r="B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X229" i="1"/>
  <c r="B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X230" i="1"/>
  <c r="B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X231" i="1"/>
  <c r="B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X232" i="1"/>
  <c r="B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X233" i="1"/>
  <c r="B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X234" i="1"/>
  <c r="B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X235" i="1"/>
  <c r="B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X236" i="1"/>
  <c r="B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X237" i="1"/>
  <c r="B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X238" i="1"/>
  <c r="B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X239" i="1"/>
  <c r="B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X240" i="1"/>
  <c r="B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X241" i="1"/>
  <c r="B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X242" i="1"/>
  <c r="B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X243" i="1"/>
  <c r="B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X244" i="1"/>
  <c r="B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X245" i="1"/>
  <c r="B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X246" i="1"/>
  <c r="B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X247" i="1"/>
  <c r="B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X248" i="1"/>
  <c r="B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X249" i="1"/>
  <c r="B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X250" i="1"/>
  <c r="B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X251" i="1"/>
  <c r="B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X252" i="1"/>
  <c r="B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X253" i="1"/>
  <c r="B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X254" i="1"/>
  <c r="B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X255" i="1"/>
  <c r="B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X256" i="1"/>
  <c r="B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X257" i="1"/>
  <c r="B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X258" i="1"/>
  <c r="B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X259" i="1"/>
  <c r="B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X260" i="1"/>
  <c r="B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X261" i="1"/>
  <c r="B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X262" i="1"/>
  <c r="B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X263" i="1"/>
  <c r="B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X264" i="1"/>
  <c r="B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X265" i="1"/>
  <c r="B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X266" i="1"/>
  <c r="B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X267" i="1"/>
  <c r="B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X268" i="1"/>
  <c r="B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X269" i="1"/>
  <c r="B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X270" i="1"/>
  <c r="B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X271" i="1"/>
  <c r="B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X272" i="1"/>
  <c r="B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X273" i="1"/>
  <c r="B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X274" i="1"/>
  <c r="B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X275" i="1"/>
  <c r="B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X276" i="1"/>
  <c r="B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X277" i="1"/>
  <c r="B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X278" i="1"/>
  <c r="B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X279" i="1"/>
  <c r="B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X280" i="1"/>
  <c r="B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X281" i="1"/>
  <c r="B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X282" i="1"/>
  <c r="B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X283" i="1"/>
  <c r="B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X284" i="1"/>
  <c r="B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X285" i="1"/>
  <c r="B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X286" i="1"/>
  <c r="B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X287" i="1"/>
  <c r="B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X288" i="1"/>
  <c r="B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X289" i="1"/>
  <c r="B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X290" i="1"/>
  <c r="B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X291" i="1"/>
  <c r="B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X292" i="1"/>
  <c r="B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X293" i="1"/>
  <c r="B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X294" i="1"/>
  <c r="B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X295" i="1"/>
  <c r="B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X296" i="1"/>
  <c r="B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X297" i="1"/>
  <c r="B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X298" i="1"/>
  <c r="B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X299" i="1"/>
  <c r="B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X300" i="1"/>
  <c r="B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X301" i="1"/>
  <c r="B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X302" i="1"/>
  <c r="B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X303" i="1"/>
  <c r="B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X304" i="1"/>
  <c r="B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X305" i="1"/>
  <c r="B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X306" i="1"/>
  <c r="B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X307" i="1"/>
  <c r="B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X308" i="1"/>
  <c r="B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X309" i="1"/>
  <c r="B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X310" i="1"/>
  <c r="B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X311" i="1"/>
  <c r="B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X312" i="1"/>
  <c r="B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X313" i="1"/>
  <c r="B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X314" i="1"/>
  <c r="B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X315" i="1"/>
  <c r="B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X316" i="1"/>
  <c r="B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X317" i="1"/>
  <c r="B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X318" i="1"/>
  <c r="B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X319" i="1"/>
  <c r="B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X320" i="1"/>
  <c r="B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X321" i="1"/>
  <c r="B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X322" i="1"/>
  <c r="B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X323" i="1"/>
  <c r="B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X324" i="1"/>
  <c r="B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X325" i="1"/>
  <c r="B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X326" i="1"/>
  <c r="B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X327" i="1"/>
  <c r="B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X328" i="1"/>
  <c r="B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X329" i="1"/>
  <c r="B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X330" i="1"/>
  <c r="B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X331" i="1"/>
  <c r="B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X332" i="1"/>
  <c r="B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X333" i="1"/>
  <c r="B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X334" i="1"/>
  <c r="B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X335" i="1"/>
  <c r="B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X336" i="1"/>
  <c r="B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X337" i="1"/>
  <c r="B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X338" i="1"/>
  <c r="B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X339" i="1"/>
  <c r="B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X340" i="1"/>
  <c r="B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X341" i="1"/>
  <c r="B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X342" i="1"/>
  <c r="B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X343" i="1"/>
  <c r="B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X344" i="1"/>
  <c r="B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X345" i="1"/>
  <c r="B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X346" i="1"/>
  <c r="B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X347" i="1"/>
  <c r="B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X348" i="1"/>
  <c r="B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X349" i="1"/>
  <c r="B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X350" i="1"/>
  <c r="B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X351" i="1"/>
  <c r="B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X352" i="1"/>
  <c r="B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X353" i="1"/>
  <c r="B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X354" i="1"/>
  <c r="B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X355" i="1"/>
  <c r="B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X356" i="1"/>
  <c r="B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X357" i="1"/>
  <c r="B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X358" i="1"/>
  <c r="B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X359" i="1"/>
  <c r="B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X360" i="1"/>
  <c r="B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X361" i="1"/>
  <c r="B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X362" i="1"/>
  <c r="B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X363" i="1"/>
  <c r="B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X364" i="1"/>
  <c r="B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X3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U1" sqref="U1"/>
    </sheetView>
  </sheetViews>
  <sheetFormatPr defaultRowHeight="15" x14ac:dyDescent="0.25"/>
  <sheetData>
    <row r="1" spans="1:24" x14ac:dyDescent="0.25">
      <c r="A1" s="1" t="str">
        <f>"city_id"</f>
        <v>city_id</v>
      </c>
      <c r="B1" s="2" t="str">
        <f>"city_name"</f>
        <v>city_name</v>
      </c>
      <c r="C1" s="1" t="str">
        <f>"eqm_id"</f>
        <v>eqm_id</v>
      </c>
      <c r="D1" t="str">
        <f>"cross_name"</f>
        <v>cross_name</v>
      </c>
      <c r="E1" s="2" t="str">
        <f>"crs_type_name"</f>
        <v>crs_type_name</v>
      </c>
      <c r="F1" t="str">
        <f>"create_date"</f>
        <v>create_date</v>
      </c>
      <c r="G1" t="str">
        <f>"remark"</f>
        <v>remark</v>
      </c>
      <c r="H1" s="2" t="str">
        <f>"name_new"</f>
        <v>name_new</v>
      </c>
      <c r="I1" s="2" t="str">
        <f>"group_name"</f>
        <v>group_name</v>
      </c>
      <c r="J1" t="str">
        <f>"address"</f>
        <v>address</v>
      </c>
      <c r="K1" t="str">
        <f>"tip_mufty"</f>
        <v>tip_mufty</v>
      </c>
      <c r="L1" s="2" t="str">
        <f>"mesto_ustanovki"</f>
        <v>mesto_ustanovki</v>
      </c>
      <c r="M1" t="str">
        <f>"data_ustanovki"</f>
        <v>data_ustanovki</v>
      </c>
      <c r="N1" t="str">
        <f>"serijnyj_nomer"</f>
        <v>serijnyj_nomer</v>
      </c>
      <c r="O1" t="str">
        <f>"rent"</f>
        <v>rent</v>
      </c>
      <c r="P1" t="str">
        <f>"old_name"</f>
        <v>old_name</v>
      </c>
      <c r="Q1" s="2" t="str">
        <f>"mufta_remontnaya_"</f>
        <v>mufta_remontnaya_</v>
      </c>
      <c r="R1" t="str">
        <f>"project"</f>
        <v>project</v>
      </c>
      <c r="S1" t="str">
        <f>"company_name"</f>
        <v>company_name</v>
      </c>
      <c r="T1" t="str">
        <f>"old_serial"</f>
        <v>old_serial</v>
      </c>
      <c r="U1" t="str">
        <f>"influence_214"</f>
        <v>influence_214</v>
      </c>
      <c r="V1" s="1" t="str">
        <f>"latitude"</f>
        <v>latitude</v>
      </c>
      <c r="W1" s="1" t="str">
        <f>"longitude"</f>
        <v>longitude</v>
      </c>
      <c r="X1" s="1" t="str">
        <f>"eo_sap_code"</f>
        <v>eo_sap_code</v>
      </c>
    </row>
    <row r="2" spans="1:24" x14ac:dyDescent="0.25">
      <c r="A2">
        <v>907</v>
      </c>
      <c r="B2" t="str">
        <f t="shared" ref="B2:B65" si="0">"Курск"</f>
        <v>Курск</v>
      </c>
      <c r="C2">
        <v>266665</v>
      </c>
      <c r="D2" t="str">
        <f>"М 1.1.9"</f>
        <v>М 1.1.9</v>
      </c>
      <c r="E2" t="str">
        <f t="shared" ref="E2:E65" si="1">"Муфта оптическая"</f>
        <v>Муфта оптическая</v>
      </c>
      <c r="F2" t="str">
        <f t="shared" ref="F2:F13" si="2">"06.02.2012"</f>
        <v>06.02.2012</v>
      </c>
      <c r="G2" t="str">
        <f>""</f>
        <v/>
      </c>
      <c r="H2" t="str">
        <f>"М 1.1.9"</f>
        <v>М 1.1.9</v>
      </c>
      <c r="I2" t="str">
        <f>"МС 1.1"</f>
        <v>МС 1.1</v>
      </c>
      <c r="J2" t="str">
        <f>""</f>
        <v/>
      </c>
      <c r="K2" t="str">
        <f t="shared" ref="K2:K65" si="3">"МТОК 96"</f>
        <v>МТОК 96</v>
      </c>
      <c r="L2" t="str">
        <f>"Опора"</f>
        <v>Опора</v>
      </c>
      <c r="M2" t="str">
        <f>"05.11.2011"</f>
        <v>05.11.2011</v>
      </c>
      <c r="N2" t="str">
        <f>"EmptySerial&lt;24950&gt;"</f>
        <v>EmptySerial&lt;24950&gt;</v>
      </c>
      <c r="O2" t="str">
        <f t="shared" ref="O2:O65" si="4">"Нет"</f>
        <v>Нет</v>
      </c>
      <c r="P2" t="str">
        <f>"М 1.1.9"</f>
        <v>М 1.1.9</v>
      </c>
      <c r="Q2" t="str">
        <f t="shared" ref="Q2:Q65" si="5">"Нет"</f>
        <v>Нет</v>
      </c>
      <c r="R2" t="str">
        <f t="shared" ref="R2:R65" si="6">"Основной"</f>
        <v>Основной</v>
      </c>
      <c r="S2" t="str">
        <f t="shared" ref="S2:S65" si="7">"ГУТС"</f>
        <v>ГУТС</v>
      </c>
      <c r="T2" t="str">
        <f>""</f>
        <v/>
      </c>
      <c r="U2" t="str">
        <f t="shared" ref="U2:U65" si="8">"Нет"</f>
        <v>Нет</v>
      </c>
      <c r="V2">
        <v>51.720535003046599</v>
      </c>
      <c r="W2">
        <v>36.184938848018597</v>
      </c>
      <c r="X2" t="str">
        <f>"20000004546428"</f>
        <v>20000004546428</v>
      </c>
    </row>
    <row r="3" spans="1:24" x14ac:dyDescent="0.25">
      <c r="A3">
        <v>907</v>
      </c>
      <c r="B3" t="str">
        <f t="shared" si="0"/>
        <v>Курск</v>
      </c>
      <c r="C3">
        <v>266668</v>
      </c>
      <c r="D3" t="str">
        <f>"М 1.1.8"</f>
        <v>М 1.1.8</v>
      </c>
      <c r="E3" t="str">
        <f t="shared" si="1"/>
        <v>Муфта оптическая</v>
      </c>
      <c r="F3" t="str">
        <f t="shared" si="2"/>
        <v>06.02.2012</v>
      </c>
      <c r="G3" t="str">
        <f>""</f>
        <v/>
      </c>
      <c r="H3" t="str">
        <f>"М 1.1.8"</f>
        <v>М 1.1.8</v>
      </c>
      <c r="I3" t="str">
        <f>"МС 1.1"</f>
        <v>МС 1.1</v>
      </c>
      <c r="J3" t="str">
        <f>""</f>
        <v/>
      </c>
      <c r="K3" t="str">
        <f t="shared" si="3"/>
        <v>МТОК 96</v>
      </c>
      <c r="L3" t="str">
        <f>"Опора"</f>
        <v>Опора</v>
      </c>
      <c r="M3" t="str">
        <f>"04.11.2011"</f>
        <v>04.11.2011</v>
      </c>
      <c r="N3" t="str">
        <f>"EmptySerial&lt;24951&gt;"</f>
        <v>EmptySerial&lt;24951&gt;</v>
      </c>
      <c r="O3" t="str">
        <f t="shared" si="4"/>
        <v>Нет</v>
      </c>
      <c r="P3" t="str">
        <f>"М 1.1.8"</f>
        <v>М 1.1.8</v>
      </c>
      <c r="Q3" t="str">
        <f t="shared" si="5"/>
        <v>Нет</v>
      </c>
      <c r="R3" t="str">
        <f t="shared" si="6"/>
        <v>Основной</v>
      </c>
      <c r="S3" t="str">
        <f t="shared" si="7"/>
        <v>ГУТС</v>
      </c>
      <c r="T3" t="str">
        <f>""</f>
        <v/>
      </c>
      <c r="U3" t="str">
        <f t="shared" si="8"/>
        <v>Нет</v>
      </c>
      <c r="V3">
        <v>51.714586420000003</v>
      </c>
      <c r="W3">
        <v>36.166757490000002</v>
      </c>
      <c r="X3" t="str">
        <f>"20000004546429"</f>
        <v>20000004546429</v>
      </c>
    </row>
    <row r="4" spans="1:24" x14ac:dyDescent="0.25">
      <c r="A4">
        <v>907</v>
      </c>
      <c r="B4" t="str">
        <f t="shared" si="0"/>
        <v>Курск</v>
      </c>
      <c r="C4">
        <v>266671</v>
      </c>
      <c r="D4" t="str">
        <f>"М 1.1.1"</f>
        <v>М 1.1.1</v>
      </c>
      <c r="E4" t="str">
        <f t="shared" si="1"/>
        <v>Муфта оптическая</v>
      </c>
      <c r="F4" t="str">
        <f t="shared" si="2"/>
        <v>06.02.2012</v>
      </c>
      <c r="G4" t="str">
        <f>""</f>
        <v/>
      </c>
      <c r="H4" t="str">
        <f>"М 1.1.1"</f>
        <v>М 1.1.1</v>
      </c>
      <c r="I4" t="str">
        <f>"МС 1.1"</f>
        <v>МС 1.1</v>
      </c>
      <c r="J4" t="str">
        <f>""</f>
        <v/>
      </c>
      <c r="K4" t="str">
        <f t="shared" si="3"/>
        <v>МТОК 96</v>
      </c>
      <c r="L4" t="str">
        <f>"Опора"</f>
        <v>Опора</v>
      </c>
      <c r="M4" t="str">
        <f>"11.10.2011"</f>
        <v>11.10.2011</v>
      </c>
      <c r="N4" t="str">
        <f>"EmptySerial&lt;24952&gt;"</f>
        <v>EmptySerial&lt;24952&gt;</v>
      </c>
      <c r="O4" t="str">
        <f t="shared" si="4"/>
        <v>Нет</v>
      </c>
      <c r="P4" t="str">
        <f>"М 1.1.1"</f>
        <v>М 1.1.1</v>
      </c>
      <c r="Q4" t="str">
        <f t="shared" si="5"/>
        <v>Нет</v>
      </c>
      <c r="R4" t="str">
        <f t="shared" si="6"/>
        <v>Основной</v>
      </c>
      <c r="S4" t="str">
        <f t="shared" si="7"/>
        <v>ГУТС</v>
      </c>
      <c r="T4" t="str">
        <f>""</f>
        <v/>
      </c>
      <c r="U4" t="str">
        <f t="shared" si="8"/>
        <v>Нет</v>
      </c>
      <c r="V4">
        <v>51.723472655987599</v>
      </c>
      <c r="W4">
        <v>36.175253391265898</v>
      </c>
      <c r="X4" t="str">
        <f>"20000004546430"</f>
        <v>20000004546430</v>
      </c>
    </row>
    <row r="5" spans="1:24" x14ac:dyDescent="0.25">
      <c r="A5">
        <v>907</v>
      </c>
      <c r="B5" t="str">
        <f t="shared" si="0"/>
        <v>Курск</v>
      </c>
      <c r="C5">
        <v>266674</v>
      </c>
      <c r="D5" t="str">
        <f>"М 1.1.5"</f>
        <v>М 1.1.5</v>
      </c>
      <c r="E5" t="str">
        <f t="shared" si="1"/>
        <v>Муфта оптическая</v>
      </c>
      <c r="F5" t="str">
        <f t="shared" si="2"/>
        <v>06.02.2012</v>
      </c>
      <c r="G5" t="str">
        <f>""</f>
        <v/>
      </c>
      <c r="H5" t="str">
        <f>"М 1.1.5"</f>
        <v>М 1.1.5</v>
      </c>
      <c r="I5" t="str">
        <f>"МС 1.1"</f>
        <v>МС 1.1</v>
      </c>
      <c r="J5" t="str">
        <f>""</f>
        <v/>
      </c>
      <c r="K5" t="str">
        <f t="shared" si="3"/>
        <v>МТОК 96</v>
      </c>
      <c r="L5" t="str">
        <f>"Чердак"</f>
        <v>Чердак</v>
      </c>
      <c r="M5" t="str">
        <f>"02.11.2011"</f>
        <v>02.11.2011</v>
      </c>
      <c r="N5" t="str">
        <f>"EmptySerial&lt;24953&gt;"</f>
        <v>EmptySerial&lt;24953&gt;</v>
      </c>
      <c r="O5" t="str">
        <f t="shared" si="4"/>
        <v>Нет</v>
      </c>
      <c r="P5" t="str">
        <f>"М 1.1.5"</f>
        <v>М 1.1.5</v>
      </c>
      <c r="Q5" t="str">
        <f t="shared" si="5"/>
        <v>Нет</v>
      </c>
      <c r="R5" t="str">
        <f t="shared" si="6"/>
        <v>Основной</v>
      </c>
      <c r="S5" t="str">
        <f t="shared" si="7"/>
        <v>ГУТС</v>
      </c>
      <c r="T5" t="str">
        <f>""</f>
        <v/>
      </c>
      <c r="U5" t="str">
        <f t="shared" si="8"/>
        <v>Нет</v>
      </c>
      <c r="V5">
        <v>51.723888032686403</v>
      </c>
      <c r="W5">
        <v>36.1741590499878</v>
      </c>
      <c r="X5" t="str">
        <f>"20000004546431"</f>
        <v>20000004546431</v>
      </c>
    </row>
    <row r="6" spans="1:24" x14ac:dyDescent="0.25">
      <c r="A6">
        <v>907</v>
      </c>
      <c r="B6" t="str">
        <f t="shared" si="0"/>
        <v>Курск</v>
      </c>
      <c r="C6">
        <v>266689</v>
      </c>
      <c r="D6" t="str">
        <f>"М 1.1.6"</f>
        <v>М 1.1.6</v>
      </c>
      <c r="E6" t="str">
        <f t="shared" si="1"/>
        <v>Муфта оптическая</v>
      </c>
      <c r="F6" t="str">
        <f t="shared" si="2"/>
        <v>06.02.2012</v>
      </c>
      <c r="G6" t="str">
        <f>""</f>
        <v/>
      </c>
      <c r="H6" t="str">
        <f>"М 1.1.6"</f>
        <v>М 1.1.6</v>
      </c>
      <c r="I6" t="str">
        <f>"МС 1.1"</f>
        <v>МС 1.1</v>
      </c>
      <c r="J6" t="str">
        <f>""</f>
        <v/>
      </c>
      <c r="K6" t="str">
        <f t="shared" si="3"/>
        <v>МТОК 96</v>
      </c>
      <c r="L6" t="str">
        <f>"Чердак"</f>
        <v>Чердак</v>
      </c>
      <c r="M6" t="str">
        <f>"02.11.2011"</f>
        <v>02.11.2011</v>
      </c>
      <c r="N6" t="str">
        <f>"EmptySerial&lt;24958&gt;"</f>
        <v>EmptySerial&lt;24958&gt;</v>
      </c>
      <c r="O6" t="str">
        <f t="shared" si="4"/>
        <v>Нет</v>
      </c>
      <c r="P6" t="str">
        <f>"М 1.1.6"</f>
        <v>М 1.1.6</v>
      </c>
      <c r="Q6" t="str">
        <f t="shared" si="5"/>
        <v>Нет</v>
      </c>
      <c r="R6" t="str">
        <f t="shared" si="6"/>
        <v>Основной</v>
      </c>
      <c r="S6" t="str">
        <f t="shared" si="7"/>
        <v>ГУТС</v>
      </c>
      <c r="T6" t="str">
        <f>""</f>
        <v/>
      </c>
      <c r="U6" t="str">
        <f t="shared" si="8"/>
        <v>Нет</v>
      </c>
      <c r="V6">
        <v>51.723213458993897</v>
      </c>
      <c r="W6">
        <v>36.1720749735832</v>
      </c>
      <c r="X6" t="str">
        <f>"20000004546438"</f>
        <v>20000004546438</v>
      </c>
    </row>
    <row r="7" spans="1:24" x14ac:dyDescent="0.25">
      <c r="A7">
        <v>907</v>
      </c>
      <c r="B7" t="str">
        <f t="shared" si="0"/>
        <v>Курск</v>
      </c>
      <c r="C7">
        <v>266728</v>
      </c>
      <c r="D7" t="str">
        <f>"М 1.2.3"</f>
        <v>М 1.2.3</v>
      </c>
      <c r="E7" t="str">
        <f t="shared" si="1"/>
        <v>Муфта оптическая</v>
      </c>
      <c r="F7" t="str">
        <f t="shared" si="2"/>
        <v>06.02.2012</v>
      </c>
      <c r="G7" t="str">
        <f>""</f>
        <v/>
      </c>
      <c r="H7" t="str">
        <f>"М 1.2.3"</f>
        <v>М 1.2.3</v>
      </c>
      <c r="I7" t="str">
        <f t="shared" ref="I7:I13" si="9">"МС 1.2"</f>
        <v>МС 1.2</v>
      </c>
      <c r="J7" t="str">
        <f>""</f>
        <v/>
      </c>
      <c r="K7" t="str">
        <f t="shared" si="3"/>
        <v>МТОК 96</v>
      </c>
      <c r="L7" t="str">
        <f>"Опора"</f>
        <v>Опора</v>
      </c>
      <c r="M7" t="str">
        <f>"12.11.2011"</f>
        <v>12.11.2011</v>
      </c>
      <c r="N7" t="str">
        <f>"EmptySerial&lt;24982&gt;"</f>
        <v>EmptySerial&lt;24982&gt;</v>
      </c>
      <c r="O7" t="str">
        <f t="shared" si="4"/>
        <v>Нет</v>
      </c>
      <c r="P7" t="str">
        <f>"М 1.2.3"</f>
        <v>М 1.2.3</v>
      </c>
      <c r="Q7" t="str">
        <f t="shared" si="5"/>
        <v>Нет</v>
      </c>
      <c r="R7" t="str">
        <f t="shared" si="6"/>
        <v>Основной</v>
      </c>
      <c r="S7" t="str">
        <f t="shared" si="7"/>
        <v>ГУТС</v>
      </c>
      <c r="T7" t="str">
        <f>""</f>
        <v/>
      </c>
      <c r="U7" t="str">
        <f t="shared" si="8"/>
        <v>Нет</v>
      </c>
      <c r="V7">
        <v>51.705052679083103</v>
      </c>
      <c r="W7">
        <v>36.168488860130303</v>
      </c>
      <c r="X7" t="str">
        <f>"20000004546461"</f>
        <v>20000004546461</v>
      </c>
    </row>
    <row r="8" spans="1:24" x14ac:dyDescent="0.25">
      <c r="A8">
        <v>907</v>
      </c>
      <c r="B8" t="str">
        <f t="shared" si="0"/>
        <v>Курск</v>
      </c>
      <c r="C8">
        <v>266731</v>
      </c>
      <c r="D8" t="str">
        <f>"М 1.2.8"</f>
        <v>М 1.2.8</v>
      </c>
      <c r="E8" t="str">
        <f t="shared" si="1"/>
        <v>Муфта оптическая</v>
      </c>
      <c r="F8" t="str">
        <f t="shared" si="2"/>
        <v>06.02.2012</v>
      </c>
      <c r="G8" t="str">
        <f>""</f>
        <v/>
      </c>
      <c r="H8" t="str">
        <f>"М 1.2.8"</f>
        <v>М 1.2.8</v>
      </c>
      <c r="I8" t="str">
        <f t="shared" si="9"/>
        <v>МС 1.2</v>
      </c>
      <c r="J8" t="str">
        <f>""</f>
        <v/>
      </c>
      <c r="K8" t="str">
        <f t="shared" si="3"/>
        <v>МТОК 96</v>
      </c>
      <c r="L8" t="str">
        <f>"Опора"</f>
        <v>Опора</v>
      </c>
      <c r="M8" t="str">
        <f>"12.11.2011"</f>
        <v>12.11.2011</v>
      </c>
      <c r="N8" t="str">
        <f>"EmptySerial&lt;24983&gt;"</f>
        <v>EmptySerial&lt;24983&gt;</v>
      </c>
      <c r="O8" t="str">
        <f t="shared" si="4"/>
        <v>Нет</v>
      </c>
      <c r="P8" t="str">
        <f>"М 1.2.8"</f>
        <v>М 1.2.8</v>
      </c>
      <c r="Q8" t="str">
        <f t="shared" si="5"/>
        <v>Нет</v>
      </c>
      <c r="R8" t="str">
        <f t="shared" si="6"/>
        <v>Основной</v>
      </c>
      <c r="S8" t="str">
        <f t="shared" si="7"/>
        <v>ГУТС</v>
      </c>
      <c r="T8" t="str">
        <f>""</f>
        <v/>
      </c>
      <c r="U8" t="str">
        <f t="shared" si="8"/>
        <v>Нет</v>
      </c>
      <c r="V8">
        <v>51.7031244961168</v>
      </c>
      <c r="W8">
        <v>36.158634424209602</v>
      </c>
      <c r="X8" t="str">
        <f>"20000004546462"</f>
        <v>20000004546462</v>
      </c>
    </row>
    <row r="9" spans="1:24" x14ac:dyDescent="0.25">
      <c r="A9">
        <v>907</v>
      </c>
      <c r="B9" t="str">
        <f t="shared" si="0"/>
        <v>Курск</v>
      </c>
      <c r="C9">
        <v>266734</v>
      </c>
      <c r="D9" t="str">
        <f>"М 1.2.7"</f>
        <v>М 1.2.7</v>
      </c>
      <c r="E9" t="str">
        <f t="shared" si="1"/>
        <v>Муфта оптическая</v>
      </c>
      <c r="F9" t="str">
        <f t="shared" si="2"/>
        <v>06.02.2012</v>
      </c>
      <c r="G9" t="str">
        <f>""</f>
        <v/>
      </c>
      <c r="H9" t="str">
        <f>"М 1.2.7"</f>
        <v>М 1.2.7</v>
      </c>
      <c r="I9" t="str">
        <f t="shared" si="9"/>
        <v>МС 1.2</v>
      </c>
      <c r="J9" t="str">
        <f>""</f>
        <v/>
      </c>
      <c r="K9" t="str">
        <f t="shared" si="3"/>
        <v>МТОК 96</v>
      </c>
      <c r="L9" t="str">
        <f>"Чердак"</f>
        <v>Чердак</v>
      </c>
      <c r="M9" t="str">
        <f>"11.11.2011"</f>
        <v>11.11.2011</v>
      </c>
      <c r="N9" t="str">
        <f>"EmptySerial&lt;24984&gt;"</f>
        <v>EmptySerial&lt;24984&gt;</v>
      </c>
      <c r="O9" t="str">
        <f t="shared" si="4"/>
        <v>Нет</v>
      </c>
      <c r="P9" t="str">
        <f>"М 1.2.7"</f>
        <v>М 1.2.7</v>
      </c>
      <c r="Q9" t="str">
        <f t="shared" si="5"/>
        <v>Нет</v>
      </c>
      <c r="R9" t="str">
        <f t="shared" si="6"/>
        <v>Основной</v>
      </c>
      <c r="S9" t="str">
        <f t="shared" si="7"/>
        <v>ГУТС</v>
      </c>
      <c r="T9" t="str">
        <f>""</f>
        <v/>
      </c>
      <c r="U9" t="str">
        <f t="shared" si="8"/>
        <v>Нет</v>
      </c>
      <c r="V9">
        <v>51.704567316627497</v>
      </c>
      <c r="W9">
        <v>36.152540445327801</v>
      </c>
      <c r="X9" t="str">
        <f>"20000004546463"</f>
        <v>20000004546463</v>
      </c>
    </row>
    <row r="10" spans="1:24" x14ac:dyDescent="0.25">
      <c r="A10">
        <v>907</v>
      </c>
      <c r="B10" t="str">
        <f t="shared" si="0"/>
        <v>Курск</v>
      </c>
      <c r="C10">
        <v>266737</v>
      </c>
      <c r="D10" t="str">
        <f>"М 1.2.6"</f>
        <v>М 1.2.6</v>
      </c>
      <c r="E10" t="str">
        <f t="shared" si="1"/>
        <v>Муфта оптическая</v>
      </c>
      <c r="F10" t="str">
        <f t="shared" si="2"/>
        <v>06.02.2012</v>
      </c>
      <c r="G10" t="str">
        <f>""</f>
        <v/>
      </c>
      <c r="H10" t="str">
        <f>"М 1.2.6"</f>
        <v>М 1.2.6</v>
      </c>
      <c r="I10" t="str">
        <f t="shared" si="9"/>
        <v>МС 1.2</v>
      </c>
      <c r="J10" t="str">
        <f>""</f>
        <v/>
      </c>
      <c r="K10" t="str">
        <f t="shared" si="3"/>
        <v>МТОК 96</v>
      </c>
      <c r="L10" t="str">
        <f>"Чердак"</f>
        <v>Чердак</v>
      </c>
      <c r="M10" t="str">
        <f>"10.11.2011"</f>
        <v>10.11.2011</v>
      </c>
      <c r="N10" t="str">
        <f>"EmptySerial&lt;24985&gt;"</f>
        <v>EmptySerial&lt;24985&gt;</v>
      </c>
      <c r="O10" t="str">
        <f t="shared" si="4"/>
        <v>Нет</v>
      </c>
      <c r="P10" t="str">
        <f>"М 1.2.6"</f>
        <v>М 1.2.6</v>
      </c>
      <c r="Q10" t="str">
        <f t="shared" si="5"/>
        <v>Нет</v>
      </c>
      <c r="R10" t="str">
        <f t="shared" si="6"/>
        <v>Основной</v>
      </c>
      <c r="S10" t="str">
        <f t="shared" si="7"/>
        <v>ГУТС</v>
      </c>
      <c r="T10" t="str">
        <f>""</f>
        <v/>
      </c>
      <c r="U10" t="str">
        <f t="shared" si="8"/>
        <v>Нет</v>
      </c>
      <c r="V10">
        <v>51.705178590000003</v>
      </c>
      <c r="W10">
        <v>36.15007181</v>
      </c>
      <c r="X10" t="str">
        <f>"20000004546464"</f>
        <v>20000004546464</v>
      </c>
    </row>
    <row r="11" spans="1:24" x14ac:dyDescent="0.25">
      <c r="A11">
        <v>907</v>
      </c>
      <c r="B11" t="str">
        <f t="shared" si="0"/>
        <v>Курск</v>
      </c>
      <c r="C11">
        <v>266743</v>
      </c>
      <c r="D11" t="str">
        <f>"М 1.2.4"</f>
        <v>М 1.2.4</v>
      </c>
      <c r="E11" t="str">
        <f t="shared" si="1"/>
        <v>Муфта оптическая</v>
      </c>
      <c r="F11" t="str">
        <f t="shared" si="2"/>
        <v>06.02.2012</v>
      </c>
      <c r="G11" t="str">
        <f>""</f>
        <v/>
      </c>
      <c r="H11" t="str">
        <f>"М 1.2.4"</f>
        <v>М 1.2.4</v>
      </c>
      <c r="I11" t="str">
        <f t="shared" si="9"/>
        <v>МС 1.2</v>
      </c>
      <c r="J11" t="str">
        <f>""</f>
        <v/>
      </c>
      <c r="K11" t="str">
        <f t="shared" si="3"/>
        <v>МТОК 96</v>
      </c>
      <c r="L11" t="str">
        <f>"Чердак"</f>
        <v>Чердак</v>
      </c>
      <c r="M11" t="str">
        <f>"09.11.2011"</f>
        <v>09.11.2011</v>
      </c>
      <c r="N11" t="str">
        <f>"EmptySerial&lt;24987&gt;"</f>
        <v>EmptySerial&lt;24987&gt;</v>
      </c>
      <c r="O11" t="str">
        <f t="shared" si="4"/>
        <v>Нет</v>
      </c>
      <c r="P11" t="str">
        <f>"М 1.2.4"</f>
        <v>М 1.2.4</v>
      </c>
      <c r="Q11" t="str">
        <f t="shared" si="5"/>
        <v>Нет</v>
      </c>
      <c r="R11" t="str">
        <f t="shared" si="6"/>
        <v>Основной</v>
      </c>
      <c r="S11" t="str">
        <f t="shared" si="7"/>
        <v>ГУТС</v>
      </c>
      <c r="T11" t="str">
        <f>""</f>
        <v/>
      </c>
      <c r="U11" t="str">
        <f t="shared" si="8"/>
        <v>Нет</v>
      </c>
      <c r="V11">
        <v>51.706432276805401</v>
      </c>
      <c r="W11">
        <v>36.1458402872086</v>
      </c>
      <c r="X11" t="str">
        <f>"20000004546466"</f>
        <v>20000004546466</v>
      </c>
    </row>
    <row r="12" spans="1:24" x14ac:dyDescent="0.25">
      <c r="A12">
        <v>907</v>
      </c>
      <c r="B12" t="str">
        <f t="shared" si="0"/>
        <v>Курск</v>
      </c>
      <c r="C12">
        <v>266746</v>
      </c>
      <c r="D12" t="str">
        <f>"М 1.2.2"</f>
        <v>М 1.2.2</v>
      </c>
      <c r="E12" t="str">
        <f t="shared" si="1"/>
        <v>Муфта оптическая</v>
      </c>
      <c r="F12" t="str">
        <f t="shared" si="2"/>
        <v>06.02.2012</v>
      </c>
      <c r="G12" t="str">
        <f>""</f>
        <v/>
      </c>
      <c r="H12" t="str">
        <f>"М 1.2.2"</f>
        <v>М 1.2.2</v>
      </c>
      <c r="I12" t="str">
        <f t="shared" si="9"/>
        <v>МС 1.2</v>
      </c>
      <c r="J12" t="str">
        <f>""</f>
        <v/>
      </c>
      <c r="K12" t="str">
        <f t="shared" si="3"/>
        <v>МТОК 96</v>
      </c>
      <c r="L12" t="str">
        <f>"Чердак"</f>
        <v>Чердак</v>
      </c>
      <c r="M12" t="str">
        <f>"09.11.2011"</f>
        <v>09.11.2011</v>
      </c>
      <c r="N12" t="str">
        <f>"EmptySerial&lt;24988&gt;"</f>
        <v>EmptySerial&lt;24988&gt;</v>
      </c>
      <c r="O12" t="str">
        <f t="shared" si="4"/>
        <v>Нет</v>
      </c>
      <c r="P12" t="str">
        <f>"М 1.2.2"</f>
        <v>М 1.2.2</v>
      </c>
      <c r="Q12" t="str">
        <f t="shared" si="5"/>
        <v>Нет</v>
      </c>
      <c r="R12" t="str">
        <f t="shared" si="6"/>
        <v>Основной</v>
      </c>
      <c r="S12" t="str">
        <f t="shared" si="7"/>
        <v>ГУТС</v>
      </c>
      <c r="T12" t="str">
        <f>""</f>
        <v/>
      </c>
      <c r="U12" t="str">
        <f t="shared" si="8"/>
        <v>Нет</v>
      </c>
      <c r="V12">
        <v>51.707043940406201</v>
      </c>
      <c r="W12">
        <v>36.164492368698099</v>
      </c>
      <c r="X12" t="str">
        <f>"20000004546467"</f>
        <v>20000004546467</v>
      </c>
    </row>
    <row r="13" spans="1:24" x14ac:dyDescent="0.25">
      <c r="A13">
        <v>907</v>
      </c>
      <c r="B13" t="str">
        <f t="shared" si="0"/>
        <v>Курск</v>
      </c>
      <c r="C13">
        <v>266749</v>
      </c>
      <c r="D13" t="str">
        <f>"М 1.2.1"</f>
        <v>М 1.2.1</v>
      </c>
      <c r="E13" t="str">
        <f t="shared" si="1"/>
        <v>Муфта оптическая</v>
      </c>
      <c r="F13" t="str">
        <f t="shared" si="2"/>
        <v>06.02.2012</v>
      </c>
      <c r="G13" t="str">
        <f>""</f>
        <v/>
      </c>
      <c r="H13" t="str">
        <f>"М 1.2.1"</f>
        <v>М 1.2.1</v>
      </c>
      <c r="I13" t="str">
        <f t="shared" si="9"/>
        <v>МС 1.2</v>
      </c>
      <c r="J13" t="str">
        <f>""</f>
        <v/>
      </c>
      <c r="K13" t="str">
        <f t="shared" si="3"/>
        <v>МТОК 96</v>
      </c>
      <c r="L13" t="str">
        <f>"Опора"</f>
        <v>Опора</v>
      </c>
      <c r="M13" t="str">
        <f>"08.11.2011"</f>
        <v>08.11.2011</v>
      </c>
      <c r="N13" t="str">
        <f>"EmptySerial&lt;24989&gt;"</f>
        <v>EmptySerial&lt;24989&gt;</v>
      </c>
      <c r="O13" t="str">
        <f t="shared" si="4"/>
        <v>Нет</v>
      </c>
      <c r="P13" t="str">
        <f>"М 1.2.1"</f>
        <v>М 1.2.1</v>
      </c>
      <c r="Q13" t="str">
        <f t="shared" si="5"/>
        <v>Нет</v>
      </c>
      <c r="R13" t="str">
        <f t="shared" si="6"/>
        <v>Основной</v>
      </c>
      <c r="S13" t="str">
        <f t="shared" si="7"/>
        <v>ГУТС</v>
      </c>
      <c r="T13" t="str">
        <f>""</f>
        <v/>
      </c>
      <c r="U13" t="str">
        <f t="shared" si="8"/>
        <v>Нет</v>
      </c>
      <c r="V13">
        <v>51.713561674767</v>
      </c>
      <c r="W13">
        <v>36.166407465934803</v>
      </c>
      <c r="X13" t="str">
        <f>"20000004546468"</f>
        <v>20000004546468</v>
      </c>
    </row>
    <row r="14" spans="1:24" x14ac:dyDescent="0.25">
      <c r="A14">
        <v>907</v>
      </c>
      <c r="B14" t="str">
        <f t="shared" si="0"/>
        <v>Курск</v>
      </c>
      <c r="C14">
        <v>268665</v>
      </c>
      <c r="D14" t="str">
        <f>"М 2.1.7"</f>
        <v>М 2.1.7</v>
      </c>
      <c r="E14" t="str">
        <f t="shared" si="1"/>
        <v>Муфта оптическая</v>
      </c>
      <c r="F14" t="str">
        <f t="shared" ref="F14:F20" si="10">"08.02.2012"</f>
        <v>08.02.2012</v>
      </c>
      <c r="G14" t="str">
        <f>""</f>
        <v/>
      </c>
      <c r="H14" t="str">
        <f>"М 2.1.7"</f>
        <v>М 2.1.7</v>
      </c>
      <c r="I14" t="str">
        <f t="shared" ref="I14:I20" si="11">"МС 2.1"</f>
        <v>МС 2.1</v>
      </c>
      <c r="J14" t="str">
        <f>""</f>
        <v/>
      </c>
      <c r="K14" t="str">
        <f t="shared" si="3"/>
        <v>МТОК 96</v>
      </c>
      <c r="L14" t="str">
        <f t="shared" ref="L14:L20" si="12">"Чердак"</f>
        <v>Чердак</v>
      </c>
      <c r="M14" t="str">
        <f>"26.12.2011"</f>
        <v>26.12.2011</v>
      </c>
      <c r="N14" t="str">
        <f>"EmptySerial&lt;25158&gt;"</f>
        <v>EmptySerial&lt;25158&gt;</v>
      </c>
      <c r="O14" t="str">
        <f t="shared" si="4"/>
        <v>Нет</v>
      </c>
      <c r="P14" t="str">
        <f>"М 2.1.7"</f>
        <v>М 2.1.7</v>
      </c>
      <c r="Q14" t="str">
        <f t="shared" si="5"/>
        <v>Нет</v>
      </c>
      <c r="R14" t="str">
        <f t="shared" si="6"/>
        <v>Основной</v>
      </c>
      <c r="S14" t="str">
        <f t="shared" si="7"/>
        <v>ГУТС</v>
      </c>
      <c r="T14" t="str">
        <f>""</f>
        <v/>
      </c>
      <c r="U14" t="str">
        <f t="shared" si="8"/>
        <v>Нет</v>
      </c>
      <c r="V14">
        <v>51.745983892775698</v>
      </c>
      <c r="W14">
        <v>36.132820844650297</v>
      </c>
      <c r="X14" t="str">
        <f>"20000004546586"</f>
        <v>20000004546586</v>
      </c>
    </row>
    <row r="15" spans="1:24" x14ac:dyDescent="0.25">
      <c r="A15">
        <v>907</v>
      </c>
      <c r="B15" t="str">
        <f t="shared" si="0"/>
        <v>Курск</v>
      </c>
      <c r="C15">
        <v>268668</v>
      </c>
      <c r="D15" t="str">
        <f>"М 2.1.6"</f>
        <v>М 2.1.6</v>
      </c>
      <c r="E15" t="str">
        <f t="shared" si="1"/>
        <v>Муфта оптическая</v>
      </c>
      <c r="F15" t="str">
        <f t="shared" si="10"/>
        <v>08.02.2012</v>
      </c>
      <c r="G15" t="str">
        <f>""</f>
        <v/>
      </c>
      <c r="H15" t="str">
        <f>"М 2.1.6"</f>
        <v>М 2.1.6</v>
      </c>
      <c r="I15" t="str">
        <f t="shared" si="11"/>
        <v>МС 2.1</v>
      </c>
      <c r="J15" t="str">
        <f>""</f>
        <v/>
      </c>
      <c r="K15" t="str">
        <f t="shared" si="3"/>
        <v>МТОК 96</v>
      </c>
      <c r="L15" t="str">
        <f t="shared" si="12"/>
        <v>Чердак</v>
      </c>
      <c r="M15" t="str">
        <f>"26.12.2011"</f>
        <v>26.12.2011</v>
      </c>
      <c r="N15" t="str">
        <f>"EmptySerial&lt;25157&gt;"</f>
        <v>EmptySerial&lt;25157&gt;</v>
      </c>
      <c r="O15" t="str">
        <f t="shared" si="4"/>
        <v>Нет</v>
      </c>
      <c r="P15" t="str">
        <f>"М 2.1.6"</f>
        <v>М 2.1.6</v>
      </c>
      <c r="Q15" t="str">
        <f t="shared" si="5"/>
        <v>Нет</v>
      </c>
      <c r="R15" t="str">
        <f t="shared" si="6"/>
        <v>Основной</v>
      </c>
      <c r="S15" t="str">
        <f t="shared" si="7"/>
        <v>ГУТС</v>
      </c>
      <c r="T15" t="str">
        <f>""</f>
        <v/>
      </c>
      <c r="U15" t="str">
        <f t="shared" si="8"/>
        <v>Нет</v>
      </c>
      <c r="V15">
        <v>51.743944523092601</v>
      </c>
      <c r="W15">
        <v>36.124286055564902</v>
      </c>
      <c r="X15" t="str">
        <f>"20000004546585"</f>
        <v>20000004546585</v>
      </c>
    </row>
    <row r="16" spans="1:24" x14ac:dyDescent="0.25">
      <c r="A16">
        <v>907</v>
      </c>
      <c r="B16" t="str">
        <f t="shared" si="0"/>
        <v>Курск</v>
      </c>
      <c r="C16">
        <v>268671</v>
      </c>
      <c r="D16" t="str">
        <f>"М 2.1.5"</f>
        <v>М 2.1.5</v>
      </c>
      <c r="E16" t="str">
        <f t="shared" si="1"/>
        <v>Муфта оптическая</v>
      </c>
      <c r="F16" t="str">
        <f t="shared" si="10"/>
        <v>08.02.2012</v>
      </c>
      <c r="G16" t="str">
        <f>""</f>
        <v/>
      </c>
      <c r="H16" t="str">
        <f>"М 2.1.5"</f>
        <v>М 2.1.5</v>
      </c>
      <c r="I16" t="str">
        <f t="shared" si="11"/>
        <v>МС 2.1</v>
      </c>
      <c r="J16" t="str">
        <f>""</f>
        <v/>
      </c>
      <c r="K16" t="str">
        <f t="shared" si="3"/>
        <v>МТОК 96</v>
      </c>
      <c r="L16" t="str">
        <f t="shared" si="12"/>
        <v>Чердак</v>
      </c>
      <c r="M16" t="str">
        <f>"25.12.2011"</f>
        <v>25.12.2011</v>
      </c>
      <c r="N16" t="str">
        <f>"EmptySerial&lt;25156&gt;"</f>
        <v>EmptySerial&lt;25156&gt;</v>
      </c>
      <c r="O16" t="str">
        <f t="shared" si="4"/>
        <v>Нет</v>
      </c>
      <c r="P16" t="str">
        <f>"М 2.1.5"</f>
        <v>М 2.1.5</v>
      </c>
      <c r="Q16" t="str">
        <f t="shared" si="5"/>
        <v>Нет</v>
      </c>
      <c r="R16" t="str">
        <f t="shared" si="6"/>
        <v>Основной</v>
      </c>
      <c r="S16" t="str">
        <f t="shared" si="7"/>
        <v>ГУТС</v>
      </c>
      <c r="T16" t="str">
        <f>""</f>
        <v/>
      </c>
      <c r="U16" t="str">
        <f t="shared" si="8"/>
        <v>Нет</v>
      </c>
      <c r="V16">
        <v>51.742981270874303</v>
      </c>
      <c r="W16">
        <v>36.123213171958902</v>
      </c>
      <c r="X16" t="str">
        <f>"20000004546584"</f>
        <v>20000004546584</v>
      </c>
    </row>
    <row r="17" spans="1:24" x14ac:dyDescent="0.25">
      <c r="A17">
        <v>907</v>
      </c>
      <c r="B17" t="str">
        <f t="shared" si="0"/>
        <v>Курск</v>
      </c>
      <c r="C17">
        <v>268677</v>
      </c>
      <c r="D17" t="str">
        <f>"М 2.1.4"</f>
        <v>М 2.1.4</v>
      </c>
      <c r="E17" t="str">
        <f t="shared" si="1"/>
        <v>Муфта оптическая</v>
      </c>
      <c r="F17" t="str">
        <f t="shared" si="10"/>
        <v>08.02.2012</v>
      </c>
      <c r="G17" t="str">
        <f>""</f>
        <v/>
      </c>
      <c r="H17" t="str">
        <f>"М 2.1.4"</f>
        <v>М 2.1.4</v>
      </c>
      <c r="I17" t="str">
        <f t="shared" si="11"/>
        <v>МС 2.1</v>
      </c>
      <c r="J17" t="str">
        <f>""</f>
        <v/>
      </c>
      <c r="K17" t="str">
        <f t="shared" si="3"/>
        <v>МТОК 96</v>
      </c>
      <c r="L17" t="str">
        <f t="shared" si="12"/>
        <v>Чердак</v>
      </c>
      <c r="M17" t="str">
        <f>"24.12.2011"</f>
        <v>24.12.2011</v>
      </c>
      <c r="N17" t="str">
        <f>"EmptySerial&lt;25154&gt;"</f>
        <v>EmptySerial&lt;25154&gt;</v>
      </c>
      <c r="O17" t="str">
        <f t="shared" si="4"/>
        <v>Нет</v>
      </c>
      <c r="P17" t="str">
        <f>"М 2.1.4"</f>
        <v>М 2.1.4</v>
      </c>
      <c r="Q17" t="str">
        <f t="shared" si="5"/>
        <v>Нет</v>
      </c>
      <c r="R17" t="str">
        <f t="shared" si="6"/>
        <v>Основной</v>
      </c>
      <c r="S17" t="str">
        <f t="shared" si="7"/>
        <v>ГУТС</v>
      </c>
      <c r="T17" t="str">
        <f>""</f>
        <v/>
      </c>
      <c r="U17" t="str">
        <f t="shared" si="8"/>
        <v>Нет</v>
      </c>
      <c r="V17">
        <v>51.739845576589701</v>
      </c>
      <c r="W17">
        <v>36.1265820264816</v>
      </c>
      <c r="X17" t="str">
        <f>"20000004546582"</f>
        <v>20000004546582</v>
      </c>
    </row>
    <row r="18" spans="1:24" x14ac:dyDescent="0.25">
      <c r="A18">
        <v>907</v>
      </c>
      <c r="B18" t="str">
        <f t="shared" si="0"/>
        <v>Курск</v>
      </c>
      <c r="C18">
        <v>268680</v>
      </c>
      <c r="D18" t="str">
        <f>"М 2.1.3"</f>
        <v>М 2.1.3</v>
      </c>
      <c r="E18" t="str">
        <f t="shared" si="1"/>
        <v>Муфта оптическая</v>
      </c>
      <c r="F18" t="str">
        <f t="shared" si="10"/>
        <v>08.02.2012</v>
      </c>
      <c r="G18" t="str">
        <f>""</f>
        <v/>
      </c>
      <c r="H18" t="str">
        <f>"М 2.1.3"</f>
        <v>М 2.1.3</v>
      </c>
      <c r="I18" t="str">
        <f t="shared" si="11"/>
        <v>МС 2.1</v>
      </c>
      <c r="J18" t="str">
        <f>""</f>
        <v/>
      </c>
      <c r="K18" t="str">
        <f t="shared" si="3"/>
        <v>МТОК 96</v>
      </c>
      <c r="L18" t="str">
        <f t="shared" si="12"/>
        <v>Чердак</v>
      </c>
      <c r="M18" t="str">
        <f>"24.12.2011"</f>
        <v>24.12.2011</v>
      </c>
      <c r="N18" t="str">
        <f>"EmptySerial&lt;25153&gt;"</f>
        <v>EmptySerial&lt;25153&gt;</v>
      </c>
      <c r="O18" t="str">
        <f t="shared" si="4"/>
        <v>Нет</v>
      </c>
      <c r="P18" t="str">
        <f>"М 2.1.3"</f>
        <v>М 2.1.3</v>
      </c>
      <c r="Q18" t="str">
        <f t="shared" si="5"/>
        <v>Нет</v>
      </c>
      <c r="R18" t="str">
        <f t="shared" si="6"/>
        <v>Основной</v>
      </c>
      <c r="S18" t="str">
        <f t="shared" si="7"/>
        <v>ГУТС</v>
      </c>
      <c r="T18" t="str">
        <f>""</f>
        <v/>
      </c>
      <c r="U18" t="str">
        <f t="shared" si="8"/>
        <v>Нет</v>
      </c>
      <c r="V18">
        <v>51.740005023923402</v>
      </c>
      <c r="W18">
        <v>36.129446625709498</v>
      </c>
      <c r="X18" t="str">
        <f>"20000004546581"</f>
        <v>20000004546581</v>
      </c>
    </row>
    <row r="19" spans="1:24" x14ac:dyDescent="0.25">
      <c r="A19">
        <v>907</v>
      </c>
      <c r="B19" t="str">
        <f t="shared" si="0"/>
        <v>Курск</v>
      </c>
      <c r="C19">
        <v>268683</v>
      </c>
      <c r="D19" t="str">
        <f>"М 2.1.2"</f>
        <v>М 2.1.2</v>
      </c>
      <c r="E19" t="str">
        <f t="shared" si="1"/>
        <v>Муфта оптическая</v>
      </c>
      <c r="F19" t="str">
        <f t="shared" si="10"/>
        <v>08.02.2012</v>
      </c>
      <c r="G19" t="str">
        <f>""</f>
        <v/>
      </c>
      <c r="H19" t="str">
        <f>"М 2.1.2"</f>
        <v>М 2.1.2</v>
      </c>
      <c r="I19" t="str">
        <f t="shared" si="11"/>
        <v>МС 2.1</v>
      </c>
      <c r="J19" t="str">
        <f>""</f>
        <v/>
      </c>
      <c r="K19" t="str">
        <f t="shared" si="3"/>
        <v>МТОК 96</v>
      </c>
      <c r="L19" t="str">
        <f t="shared" si="12"/>
        <v>Чердак</v>
      </c>
      <c r="M19" t="str">
        <f>"23.12.2011"</f>
        <v>23.12.2011</v>
      </c>
      <c r="N19" t="str">
        <f>"EmptySerial&lt;25152&gt;"</f>
        <v>EmptySerial&lt;25152&gt;</v>
      </c>
      <c r="O19" t="str">
        <f t="shared" si="4"/>
        <v>Нет</v>
      </c>
      <c r="P19" t="str">
        <f>"М 2.1.2"</f>
        <v>М 2.1.2</v>
      </c>
      <c r="Q19" t="str">
        <f t="shared" si="5"/>
        <v>Нет</v>
      </c>
      <c r="R19" t="str">
        <f t="shared" si="6"/>
        <v>Основной</v>
      </c>
      <c r="S19" t="str">
        <f t="shared" si="7"/>
        <v>ГУТС</v>
      </c>
      <c r="T19" t="str">
        <f>""</f>
        <v/>
      </c>
      <c r="U19" t="str">
        <f t="shared" si="8"/>
        <v>Нет</v>
      </c>
      <c r="V19">
        <v>51.742277087292599</v>
      </c>
      <c r="W19">
        <v>36.136361360549898</v>
      </c>
      <c r="X19" t="str">
        <f>"20000004546580"</f>
        <v>20000004546580</v>
      </c>
    </row>
    <row r="20" spans="1:24" x14ac:dyDescent="0.25">
      <c r="A20">
        <v>907</v>
      </c>
      <c r="B20" t="str">
        <f t="shared" si="0"/>
        <v>Курск</v>
      </c>
      <c r="C20">
        <v>268692</v>
      </c>
      <c r="D20" t="str">
        <f>"М 2.1.10"</f>
        <v>М 2.1.10</v>
      </c>
      <c r="E20" t="str">
        <f t="shared" si="1"/>
        <v>Муфта оптическая</v>
      </c>
      <c r="F20" t="str">
        <f t="shared" si="10"/>
        <v>08.02.2012</v>
      </c>
      <c r="G20" t="str">
        <f>""</f>
        <v/>
      </c>
      <c r="H20" t="str">
        <f>"М 2.1.10"</f>
        <v>М 2.1.10</v>
      </c>
      <c r="I20" t="str">
        <f t="shared" si="11"/>
        <v>МС 2.1</v>
      </c>
      <c r="J20" t="str">
        <f>""</f>
        <v/>
      </c>
      <c r="K20" t="str">
        <f t="shared" si="3"/>
        <v>МТОК 96</v>
      </c>
      <c r="L20" t="str">
        <f t="shared" si="12"/>
        <v>Чердак</v>
      </c>
      <c r="M20" t="str">
        <f>"22.12.2011"</f>
        <v>22.12.2011</v>
      </c>
      <c r="N20" t="str">
        <f>"EmptySerial&lt;25149&gt;"</f>
        <v>EmptySerial&lt;25149&gt;</v>
      </c>
      <c r="O20" t="str">
        <f t="shared" si="4"/>
        <v>Нет</v>
      </c>
      <c r="P20" t="str">
        <f>"М 2.1.10"</f>
        <v>М 2.1.10</v>
      </c>
      <c r="Q20" t="str">
        <f t="shared" si="5"/>
        <v>Нет</v>
      </c>
      <c r="R20" t="str">
        <f t="shared" si="6"/>
        <v>Основной</v>
      </c>
      <c r="S20" t="str">
        <f t="shared" si="7"/>
        <v>ГУТС</v>
      </c>
      <c r="T20" t="str">
        <f>""</f>
        <v/>
      </c>
      <c r="U20" t="str">
        <f t="shared" si="8"/>
        <v>Нет</v>
      </c>
      <c r="V20">
        <v>51.74538106</v>
      </c>
      <c r="W20">
        <v>36.14039004</v>
      </c>
      <c r="X20" t="str">
        <f>"20000004546577"</f>
        <v>20000004546577</v>
      </c>
    </row>
    <row r="21" spans="1:24" x14ac:dyDescent="0.25">
      <c r="A21">
        <v>907</v>
      </c>
      <c r="B21" t="str">
        <f t="shared" si="0"/>
        <v>Курск</v>
      </c>
      <c r="C21">
        <v>299845</v>
      </c>
      <c r="D21" t="str">
        <f>"Т 1.1"</f>
        <v>Т 1.1</v>
      </c>
      <c r="E21" t="str">
        <f t="shared" si="1"/>
        <v>Муфта оптическая</v>
      </c>
      <c r="F21" t="str">
        <f>"03.04.2012"</f>
        <v>03.04.2012</v>
      </c>
      <c r="G21" t="str">
        <f>""</f>
        <v/>
      </c>
      <c r="H21" t="str">
        <f>"Т 1.1"</f>
        <v>Т 1.1</v>
      </c>
      <c r="I21" t="str">
        <f>"ТС"</f>
        <v>ТС</v>
      </c>
      <c r="J21" t="str">
        <f>""</f>
        <v/>
      </c>
      <c r="K21" t="str">
        <f t="shared" si="3"/>
        <v>МТОК 96</v>
      </c>
      <c r="L21" t="str">
        <f>"Опора"</f>
        <v>Опора</v>
      </c>
      <c r="M21" t="str">
        <f>"07.12.2011"</f>
        <v>07.12.2011</v>
      </c>
      <c r="N21" t="str">
        <f>"EmptySerial&lt;28537&gt;"</f>
        <v>EmptySerial&lt;28537&gt;</v>
      </c>
      <c r="O21" t="str">
        <f t="shared" si="4"/>
        <v>Нет</v>
      </c>
      <c r="P21" t="str">
        <f>"Т 1.1"</f>
        <v>Т 1.1</v>
      </c>
      <c r="Q21" t="str">
        <f t="shared" si="5"/>
        <v>Нет</v>
      </c>
      <c r="R21" t="str">
        <f t="shared" si="6"/>
        <v>Основной</v>
      </c>
      <c r="S21" t="str">
        <f t="shared" si="7"/>
        <v>ГУТС</v>
      </c>
      <c r="T21" t="str">
        <f>""</f>
        <v/>
      </c>
      <c r="U21" t="str">
        <f t="shared" si="8"/>
        <v>Нет</v>
      </c>
      <c r="V21">
        <v>51.725245659999999</v>
      </c>
      <c r="W21">
        <v>36.180080029999999</v>
      </c>
      <c r="X21" t="str">
        <f>"20000004548999"</f>
        <v>20000004548999</v>
      </c>
    </row>
    <row r="22" spans="1:24" x14ac:dyDescent="0.25">
      <c r="A22">
        <v>907</v>
      </c>
      <c r="B22" t="str">
        <f t="shared" si="0"/>
        <v>Курск</v>
      </c>
      <c r="C22">
        <v>311633</v>
      </c>
      <c r="D22" t="str">
        <f>"Т 1.3"</f>
        <v>Т 1.3</v>
      </c>
      <c r="E22" t="str">
        <f t="shared" si="1"/>
        <v>Муфта оптическая</v>
      </c>
      <c r="F22" t="str">
        <f>"06.04.2012"</f>
        <v>06.04.2012</v>
      </c>
      <c r="G22" t="str">
        <f>""</f>
        <v/>
      </c>
      <c r="H22" t="str">
        <f>"Т 1.3"</f>
        <v>Т 1.3</v>
      </c>
      <c r="I22" t="str">
        <f>"ТС"</f>
        <v>ТС</v>
      </c>
      <c r="J22" t="str">
        <f>""</f>
        <v/>
      </c>
      <c r="K22" t="str">
        <f t="shared" si="3"/>
        <v>МТОК 96</v>
      </c>
      <c r="L22" t="str">
        <f>"Опора"</f>
        <v>Опора</v>
      </c>
      <c r="M22" t="str">
        <f>"17.01.2012"</f>
        <v>17.01.2012</v>
      </c>
      <c r="N22" t="str">
        <f>"EmptySerial&lt;29263&gt;"</f>
        <v>EmptySerial&lt;29263&gt;</v>
      </c>
      <c r="O22" t="str">
        <f t="shared" si="4"/>
        <v>Нет</v>
      </c>
      <c r="P22" t="str">
        <f>"Т 1.3"</f>
        <v>Т 1.3</v>
      </c>
      <c r="Q22" t="str">
        <f t="shared" si="5"/>
        <v>Нет</v>
      </c>
      <c r="R22" t="str">
        <f t="shared" si="6"/>
        <v>Основной</v>
      </c>
      <c r="S22" t="str">
        <f t="shared" si="7"/>
        <v>ГУТС</v>
      </c>
      <c r="T22" t="str">
        <f>""</f>
        <v/>
      </c>
      <c r="U22" t="str">
        <f t="shared" si="8"/>
        <v>Нет</v>
      </c>
      <c r="V22">
        <v>51.720535419999997</v>
      </c>
      <c r="W22">
        <v>36.166988830000001</v>
      </c>
      <c r="X22" t="str">
        <f>"20000004549474"</f>
        <v>20000004549474</v>
      </c>
    </row>
    <row r="23" spans="1:24" x14ac:dyDescent="0.25">
      <c r="A23">
        <v>907</v>
      </c>
      <c r="B23" t="str">
        <f t="shared" si="0"/>
        <v>Курск</v>
      </c>
      <c r="C23">
        <v>311637</v>
      </c>
      <c r="D23" t="str">
        <f>"Т 1.2"</f>
        <v>Т 1.2</v>
      </c>
      <c r="E23" t="str">
        <f t="shared" si="1"/>
        <v>Муфта оптическая</v>
      </c>
      <c r="F23" t="str">
        <f>"06.04.2012"</f>
        <v>06.04.2012</v>
      </c>
      <c r="G23" t="str">
        <f>""</f>
        <v/>
      </c>
      <c r="H23" t="str">
        <f>"Т 1.2"</f>
        <v>Т 1.2</v>
      </c>
      <c r="I23" t="str">
        <f>"ТС"</f>
        <v>ТС</v>
      </c>
      <c r="J23" t="str">
        <f>""</f>
        <v/>
      </c>
      <c r="K23" t="str">
        <f t="shared" si="3"/>
        <v>МТОК 96</v>
      </c>
      <c r="L23" t="str">
        <f>"Опора"</f>
        <v>Опора</v>
      </c>
      <c r="M23" t="str">
        <f>"23.12.2011"</f>
        <v>23.12.2011</v>
      </c>
      <c r="N23" t="str">
        <f>"EmptySerial&lt;29262&gt;"</f>
        <v>EmptySerial&lt;29262&gt;</v>
      </c>
      <c r="O23" t="str">
        <f t="shared" si="4"/>
        <v>Нет</v>
      </c>
      <c r="P23" t="str">
        <f>"Т 1.2"</f>
        <v>Т 1.2</v>
      </c>
      <c r="Q23" t="str">
        <f t="shared" si="5"/>
        <v>Нет</v>
      </c>
      <c r="R23" t="str">
        <f t="shared" si="6"/>
        <v>Основной</v>
      </c>
      <c r="S23" t="str">
        <f t="shared" si="7"/>
        <v>ГУТС</v>
      </c>
      <c r="T23" t="str">
        <f>""</f>
        <v/>
      </c>
      <c r="U23" t="str">
        <f t="shared" si="8"/>
        <v>Нет</v>
      </c>
      <c r="V23">
        <v>51.724610570000003</v>
      </c>
      <c r="W23">
        <v>36.178291659999999</v>
      </c>
      <c r="X23" t="str">
        <f>"20000004549473"</f>
        <v>20000004549473</v>
      </c>
    </row>
    <row r="24" spans="1:24" x14ac:dyDescent="0.25">
      <c r="A24">
        <v>907</v>
      </c>
      <c r="B24" t="str">
        <f t="shared" si="0"/>
        <v>Курск</v>
      </c>
      <c r="C24">
        <v>311641</v>
      </c>
      <c r="D24" t="str">
        <f>"Т 1.5"</f>
        <v>Т 1.5</v>
      </c>
      <c r="E24" t="str">
        <f t="shared" si="1"/>
        <v>Муфта оптическая</v>
      </c>
      <c r="F24" t="str">
        <f>"06.04.2012"</f>
        <v>06.04.2012</v>
      </c>
      <c r="G24" t="str">
        <f>""</f>
        <v/>
      </c>
      <c r="H24" t="str">
        <f>"Т 1.5"</f>
        <v>Т 1.5</v>
      </c>
      <c r="I24" t="str">
        <f>"ТС"</f>
        <v>ТС</v>
      </c>
      <c r="J24" t="str">
        <f>""</f>
        <v/>
      </c>
      <c r="K24" t="str">
        <f t="shared" si="3"/>
        <v>МТОК 96</v>
      </c>
      <c r="L24" t="str">
        <f>"Опора"</f>
        <v>Опора</v>
      </c>
      <c r="M24" t="str">
        <f>"02.02.2012"</f>
        <v>02.02.2012</v>
      </c>
      <c r="N24" t="str">
        <f>"EmptySerial&lt;29261&gt;"</f>
        <v>EmptySerial&lt;29261&gt;</v>
      </c>
      <c r="O24" t="str">
        <f t="shared" si="4"/>
        <v>Нет</v>
      </c>
      <c r="P24" t="str">
        <f>"Т 1.5"</f>
        <v>Т 1.5</v>
      </c>
      <c r="Q24" t="str">
        <f t="shared" si="5"/>
        <v>Нет</v>
      </c>
      <c r="R24" t="str">
        <f t="shared" si="6"/>
        <v>Основной</v>
      </c>
      <c r="S24" t="str">
        <f t="shared" si="7"/>
        <v>ГУТС</v>
      </c>
      <c r="T24" t="str">
        <f>""</f>
        <v/>
      </c>
      <c r="U24" t="str">
        <f t="shared" si="8"/>
        <v>Нет</v>
      </c>
      <c r="V24">
        <v>51.722566290782403</v>
      </c>
      <c r="W24">
        <v>36.155752055347001</v>
      </c>
      <c r="X24" t="str">
        <f>"20000004549472"</f>
        <v>20000004549472</v>
      </c>
    </row>
    <row r="25" spans="1:24" x14ac:dyDescent="0.25">
      <c r="A25">
        <v>907</v>
      </c>
      <c r="B25" t="str">
        <f t="shared" si="0"/>
        <v>Курск</v>
      </c>
      <c r="C25">
        <v>317035</v>
      </c>
      <c r="D25" t="str">
        <f>"М 2.1.8"</f>
        <v>М 2.1.8</v>
      </c>
      <c r="E25" t="str">
        <f t="shared" si="1"/>
        <v>Муфта оптическая</v>
      </c>
      <c r="F25" t="str">
        <f>"10.04.2012"</f>
        <v>10.04.2012</v>
      </c>
      <c r="G25" t="str">
        <f>""</f>
        <v/>
      </c>
      <c r="H25" t="str">
        <f>"М 2.1.8"</f>
        <v>М 2.1.8</v>
      </c>
      <c r="I25" t="str">
        <f>"МС 2.1"</f>
        <v>МС 2.1</v>
      </c>
      <c r="J25" t="str">
        <f>""</f>
        <v/>
      </c>
      <c r="K25" t="str">
        <f t="shared" si="3"/>
        <v>МТОК 96</v>
      </c>
      <c r="L25" t="str">
        <f>"Чердак"</f>
        <v>Чердак</v>
      </c>
      <c r="M25" t="str">
        <f>"26.01.2012"</f>
        <v>26.01.2012</v>
      </c>
      <c r="N25" t="str">
        <f>"EmptySerial&lt;29667&gt;"</f>
        <v>EmptySerial&lt;29667&gt;</v>
      </c>
      <c r="O25" t="str">
        <f t="shared" si="4"/>
        <v>Нет</v>
      </c>
      <c r="P25" t="str">
        <f>"М 2.1.8"</f>
        <v>М 2.1.8</v>
      </c>
      <c r="Q25" t="str">
        <f t="shared" si="5"/>
        <v>Нет</v>
      </c>
      <c r="R25" t="str">
        <f t="shared" si="6"/>
        <v>Основной</v>
      </c>
      <c r="S25" t="str">
        <f t="shared" si="7"/>
        <v>ГУТС</v>
      </c>
      <c r="T25" t="str">
        <f>""</f>
        <v/>
      </c>
      <c r="U25" t="str">
        <f t="shared" si="8"/>
        <v>Нет</v>
      </c>
      <c r="V25">
        <v>51.747040077369199</v>
      </c>
      <c r="W25">
        <v>36.136908531189</v>
      </c>
      <c r="X25" t="str">
        <f>"20000004549723"</f>
        <v>20000004549723</v>
      </c>
    </row>
    <row r="26" spans="1:24" x14ac:dyDescent="0.25">
      <c r="A26">
        <v>907</v>
      </c>
      <c r="B26" t="str">
        <f t="shared" si="0"/>
        <v>Курск</v>
      </c>
      <c r="C26">
        <v>321205</v>
      </c>
      <c r="D26" t="str">
        <f>"М 2.3.13"</f>
        <v>М 2.3.13</v>
      </c>
      <c r="E26" t="str">
        <f t="shared" si="1"/>
        <v>Муфта оптическая</v>
      </c>
      <c r="F26" t="str">
        <f t="shared" ref="F26:F35" si="13">"13.04.2012"</f>
        <v>13.04.2012</v>
      </c>
      <c r="G26" t="str">
        <f>""</f>
        <v/>
      </c>
      <c r="H26" t="str">
        <f>"М 2.3.13"</f>
        <v>М 2.3.13</v>
      </c>
      <c r="I26" t="str">
        <f t="shared" ref="I26:I35" si="14">"МС 2.3"</f>
        <v>МС 2.3</v>
      </c>
      <c r="J26" t="str">
        <f>""</f>
        <v/>
      </c>
      <c r="K26" t="str">
        <f t="shared" si="3"/>
        <v>МТОК 96</v>
      </c>
      <c r="L26" t="str">
        <f>"Опора"</f>
        <v>Опора</v>
      </c>
      <c r="M26" t="str">
        <f>"24.02.2012"</f>
        <v>24.02.2012</v>
      </c>
      <c r="N26" t="str">
        <f>"EmptySerial&lt;30393&gt;"</f>
        <v>EmptySerial&lt;30393&gt;</v>
      </c>
      <c r="O26" t="str">
        <f t="shared" si="4"/>
        <v>Нет</v>
      </c>
      <c r="P26" t="str">
        <f>"М 2.3.13"</f>
        <v>М 2.3.13</v>
      </c>
      <c r="Q26" t="str">
        <f t="shared" si="5"/>
        <v>Нет</v>
      </c>
      <c r="R26" t="str">
        <f t="shared" si="6"/>
        <v>Основной</v>
      </c>
      <c r="S26" t="str">
        <f t="shared" si="7"/>
        <v>ГУТС</v>
      </c>
      <c r="T26" t="str">
        <f>""</f>
        <v/>
      </c>
      <c r="U26" t="str">
        <f t="shared" si="8"/>
        <v>Нет</v>
      </c>
      <c r="V26">
        <v>51.7410248091876</v>
      </c>
      <c r="W26">
        <v>36.133512854576097</v>
      </c>
      <c r="X26" t="str">
        <f>"20000004550248"</f>
        <v>20000004550248</v>
      </c>
    </row>
    <row r="27" spans="1:24" x14ac:dyDescent="0.25">
      <c r="A27">
        <v>907</v>
      </c>
      <c r="B27" t="str">
        <f t="shared" si="0"/>
        <v>Курск</v>
      </c>
      <c r="C27">
        <v>321209</v>
      </c>
      <c r="D27" t="str">
        <f>"М 2.3.12"</f>
        <v>М 2.3.12</v>
      </c>
      <c r="E27" t="str">
        <f t="shared" si="1"/>
        <v>Муфта оптическая</v>
      </c>
      <c r="F27" t="str">
        <f t="shared" si="13"/>
        <v>13.04.2012</v>
      </c>
      <c r="G27" t="str">
        <f>""</f>
        <v/>
      </c>
      <c r="H27" t="str">
        <f>"М 2.3.12"</f>
        <v>М 2.3.12</v>
      </c>
      <c r="I27" t="str">
        <f t="shared" si="14"/>
        <v>МС 2.3</v>
      </c>
      <c r="J27" t="str">
        <f>""</f>
        <v/>
      </c>
      <c r="K27" t="str">
        <f t="shared" si="3"/>
        <v>МТОК 96</v>
      </c>
      <c r="L27" t="str">
        <f>"Опора"</f>
        <v>Опора</v>
      </c>
      <c r="M27" t="str">
        <f>"21.02.2012"</f>
        <v>21.02.2012</v>
      </c>
      <c r="N27" t="str">
        <f>"EmptySerial&lt;30394&gt;"</f>
        <v>EmptySerial&lt;30394&gt;</v>
      </c>
      <c r="O27" t="str">
        <f t="shared" si="4"/>
        <v>Нет</v>
      </c>
      <c r="P27" t="str">
        <f>"М 2.3.12"</f>
        <v>М 2.3.12</v>
      </c>
      <c r="Q27" t="str">
        <f t="shared" si="5"/>
        <v>Нет</v>
      </c>
      <c r="R27" t="str">
        <f t="shared" si="6"/>
        <v>Основной</v>
      </c>
      <c r="S27" t="str">
        <f t="shared" si="7"/>
        <v>ГУТС</v>
      </c>
      <c r="T27" t="str">
        <f>""</f>
        <v/>
      </c>
      <c r="U27" t="str">
        <f t="shared" si="8"/>
        <v>Нет</v>
      </c>
      <c r="V27">
        <v>51.734548609999997</v>
      </c>
      <c r="W27">
        <v>36.139089159999997</v>
      </c>
      <c r="X27" t="str">
        <f>"20000004550249"</f>
        <v>20000004550249</v>
      </c>
    </row>
    <row r="28" spans="1:24" x14ac:dyDescent="0.25">
      <c r="A28">
        <v>907</v>
      </c>
      <c r="B28" t="str">
        <f t="shared" si="0"/>
        <v>Курск</v>
      </c>
      <c r="C28">
        <v>321213</v>
      </c>
      <c r="D28" t="str">
        <f>"М 2.3.11"</f>
        <v>М 2.3.11</v>
      </c>
      <c r="E28" t="str">
        <f t="shared" si="1"/>
        <v>Муфта оптическая</v>
      </c>
      <c r="F28" t="str">
        <f t="shared" si="13"/>
        <v>13.04.2012</v>
      </c>
      <c r="G28" t="str">
        <f>""</f>
        <v/>
      </c>
      <c r="H28" t="str">
        <f>"М 2.3.11"</f>
        <v>М 2.3.11</v>
      </c>
      <c r="I28" t="str">
        <f t="shared" si="14"/>
        <v>МС 2.3</v>
      </c>
      <c r="J28" t="str">
        <f>""</f>
        <v/>
      </c>
      <c r="K28" t="str">
        <f t="shared" si="3"/>
        <v>МТОК 96</v>
      </c>
      <c r="L28" t="str">
        <f>"Опора"</f>
        <v>Опора</v>
      </c>
      <c r="M28" t="str">
        <f>"19.02.2012"</f>
        <v>19.02.2012</v>
      </c>
      <c r="N28" t="str">
        <f>"EmptySerial&lt;30395&gt;"</f>
        <v>EmptySerial&lt;30395&gt;</v>
      </c>
      <c r="O28" t="str">
        <f t="shared" si="4"/>
        <v>Нет</v>
      </c>
      <c r="P28" t="str">
        <f>"М 2.3.11"</f>
        <v>М 2.3.11</v>
      </c>
      <c r="Q28" t="str">
        <f t="shared" si="5"/>
        <v>Нет</v>
      </c>
      <c r="R28" t="str">
        <f t="shared" si="6"/>
        <v>Основной</v>
      </c>
      <c r="S28" t="str">
        <f t="shared" si="7"/>
        <v>ГУТС</v>
      </c>
      <c r="T28" t="str">
        <f>""</f>
        <v/>
      </c>
      <c r="U28" t="str">
        <f t="shared" si="8"/>
        <v>Нет</v>
      </c>
      <c r="V28">
        <v>51.729695849999999</v>
      </c>
      <c r="W28">
        <v>36.146728090000003</v>
      </c>
      <c r="X28" t="str">
        <f>"20000004550250"</f>
        <v>20000004550250</v>
      </c>
    </row>
    <row r="29" spans="1:24" x14ac:dyDescent="0.25">
      <c r="A29">
        <v>907</v>
      </c>
      <c r="B29" t="str">
        <f t="shared" si="0"/>
        <v>Курск</v>
      </c>
      <c r="C29">
        <v>321217</v>
      </c>
      <c r="D29" t="str">
        <f>"М 2.3.10"</f>
        <v>М 2.3.10</v>
      </c>
      <c r="E29" t="str">
        <f t="shared" si="1"/>
        <v>Муфта оптическая</v>
      </c>
      <c r="F29" t="str">
        <f t="shared" si="13"/>
        <v>13.04.2012</v>
      </c>
      <c r="G29" t="str">
        <f>""</f>
        <v/>
      </c>
      <c r="H29" t="str">
        <f>"М 2.3.10"</f>
        <v>М 2.3.10</v>
      </c>
      <c r="I29" t="str">
        <f t="shared" si="14"/>
        <v>МС 2.3</v>
      </c>
      <c r="J29" t="str">
        <f>""</f>
        <v/>
      </c>
      <c r="K29" t="str">
        <f t="shared" si="3"/>
        <v>МТОК 96</v>
      </c>
      <c r="L29" t="str">
        <f>"Чердак"</f>
        <v>Чердак</v>
      </c>
      <c r="M29" t="str">
        <f>"19.02.2012"</f>
        <v>19.02.2012</v>
      </c>
      <c r="N29" t="str">
        <f>"EmptySerial&lt;30396&gt;"</f>
        <v>EmptySerial&lt;30396&gt;</v>
      </c>
      <c r="O29" t="str">
        <f t="shared" si="4"/>
        <v>Нет</v>
      </c>
      <c r="P29" t="str">
        <f>"М 2.3.10"</f>
        <v>М 2.3.10</v>
      </c>
      <c r="Q29" t="str">
        <f t="shared" si="5"/>
        <v>Нет</v>
      </c>
      <c r="R29" t="str">
        <f t="shared" si="6"/>
        <v>Основной</v>
      </c>
      <c r="S29" t="str">
        <f t="shared" si="7"/>
        <v>ГУТС</v>
      </c>
      <c r="T29" t="str">
        <f>""</f>
        <v/>
      </c>
      <c r="U29" t="str">
        <f t="shared" si="8"/>
        <v>Нет</v>
      </c>
      <c r="V29">
        <v>51.724123964951801</v>
      </c>
      <c r="W29">
        <v>36.145888566970797</v>
      </c>
      <c r="X29" t="str">
        <f>"20000004550251"</f>
        <v>20000004550251</v>
      </c>
    </row>
    <row r="30" spans="1:24" x14ac:dyDescent="0.25">
      <c r="A30">
        <v>907</v>
      </c>
      <c r="B30" t="str">
        <f t="shared" si="0"/>
        <v>Курск</v>
      </c>
      <c r="C30">
        <v>321221</v>
      </c>
      <c r="D30" t="str">
        <f>"М 2.3.9"</f>
        <v>М 2.3.9</v>
      </c>
      <c r="E30" t="str">
        <f t="shared" si="1"/>
        <v>Муфта оптическая</v>
      </c>
      <c r="F30" t="str">
        <f t="shared" si="13"/>
        <v>13.04.2012</v>
      </c>
      <c r="G30" t="str">
        <f>""</f>
        <v/>
      </c>
      <c r="H30" t="str">
        <f>"М 2.3.9"</f>
        <v>М 2.3.9</v>
      </c>
      <c r="I30" t="str">
        <f t="shared" si="14"/>
        <v>МС 2.3</v>
      </c>
      <c r="J30" t="str">
        <f>""</f>
        <v/>
      </c>
      <c r="K30" t="str">
        <f t="shared" si="3"/>
        <v>МТОК 96</v>
      </c>
      <c r="L30" t="str">
        <f>"Чердак"</f>
        <v>Чердак</v>
      </c>
      <c r="M30" t="str">
        <f>"18.02.2012"</f>
        <v>18.02.2012</v>
      </c>
      <c r="N30" t="str">
        <f>"EmptySerial&lt;30397&gt;"</f>
        <v>EmptySerial&lt;30397&gt;</v>
      </c>
      <c r="O30" t="str">
        <f t="shared" si="4"/>
        <v>Нет</v>
      </c>
      <c r="P30" t="str">
        <f>"М 2.3.9"</f>
        <v>М 2.3.9</v>
      </c>
      <c r="Q30" t="str">
        <f t="shared" si="5"/>
        <v>Нет</v>
      </c>
      <c r="R30" t="str">
        <f t="shared" si="6"/>
        <v>Основной</v>
      </c>
      <c r="S30" t="str">
        <f t="shared" si="7"/>
        <v>ГУТС</v>
      </c>
      <c r="T30" t="str">
        <f>""</f>
        <v/>
      </c>
      <c r="U30" t="str">
        <f t="shared" si="8"/>
        <v>Нет</v>
      </c>
      <c r="V30">
        <v>51.727370400806798</v>
      </c>
      <c r="W30">
        <v>36.147932410240202</v>
      </c>
      <c r="X30" t="str">
        <f>"20000004550252"</f>
        <v>20000004550252</v>
      </c>
    </row>
    <row r="31" spans="1:24" x14ac:dyDescent="0.25">
      <c r="A31">
        <v>907</v>
      </c>
      <c r="B31" t="str">
        <f t="shared" si="0"/>
        <v>Курск</v>
      </c>
      <c r="C31">
        <v>321225</v>
      </c>
      <c r="D31" t="str">
        <f>"М 2.3.8"</f>
        <v>М 2.3.8</v>
      </c>
      <c r="E31" t="str">
        <f t="shared" si="1"/>
        <v>Муфта оптическая</v>
      </c>
      <c r="F31" t="str">
        <f t="shared" si="13"/>
        <v>13.04.2012</v>
      </c>
      <c r="G31" t="str">
        <f>""</f>
        <v/>
      </c>
      <c r="H31" t="str">
        <f>"М 2.3.8"</f>
        <v>М 2.3.8</v>
      </c>
      <c r="I31" t="str">
        <f t="shared" si="14"/>
        <v>МС 2.3</v>
      </c>
      <c r="J31" t="str">
        <f>""</f>
        <v/>
      </c>
      <c r="K31" t="str">
        <f t="shared" si="3"/>
        <v>МТОК 96</v>
      </c>
      <c r="L31" t="str">
        <f>"Чердак"</f>
        <v>Чердак</v>
      </c>
      <c r="M31" t="str">
        <f>"18.02.2012"</f>
        <v>18.02.2012</v>
      </c>
      <c r="N31" t="str">
        <f>"EmptySerial&lt;30398&gt;"</f>
        <v>EmptySerial&lt;30398&gt;</v>
      </c>
      <c r="O31" t="str">
        <f t="shared" si="4"/>
        <v>Нет</v>
      </c>
      <c r="P31" t="str">
        <f>"М 2.3.8"</f>
        <v>М 2.3.8</v>
      </c>
      <c r="Q31" t="str">
        <f t="shared" si="5"/>
        <v>Нет</v>
      </c>
      <c r="R31" t="str">
        <f t="shared" si="6"/>
        <v>Основной</v>
      </c>
      <c r="S31" t="str">
        <f t="shared" si="7"/>
        <v>ГУТС</v>
      </c>
      <c r="T31" t="str">
        <f>""</f>
        <v/>
      </c>
      <c r="U31" t="str">
        <f t="shared" si="8"/>
        <v>Нет</v>
      </c>
      <c r="V31">
        <v>51.730540185882298</v>
      </c>
      <c r="W31">
        <v>36.151800155639599</v>
      </c>
      <c r="X31" t="str">
        <f>"20000004550253"</f>
        <v>20000004550253</v>
      </c>
    </row>
    <row r="32" spans="1:24" x14ac:dyDescent="0.25">
      <c r="A32">
        <v>907</v>
      </c>
      <c r="B32" t="str">
        <f t="shared" si="0"/>
        <v>Курск</v>
      </c>
      <c r="C32">
        <v>321237</v>
      </c>
      <c r="D32" t="str">
        <f>"М 2.3.5"</f>
        <v>М 2.3.5</v>
      </c>
      <c r="E32" t="str">
        <f t="shared" si="1"/>
        <v>Муфта оптическая</v>
      </c>
      <c r="F32" t="str">
        <f t="shared" si="13"/>
        <v>13.04.2012</v>
      </c>
      <c r="G32" t="str">
        <f>""</f>
        <v/>
      </c>
      <c r="H32" t="str">
        <f>"М 2.3.5"</f>
        <v>М 2.3.5</v>
      </c>
      <c r="I32" t="str">
        <f t="shared" si="14"/>
        <v>МС 2.3</v>
      </c>
      <c r="J32" t="str">
        <f>""</f>
        <v/>
      </c>
      <c r="K32" t="str">
        <f t="shared" si="3"/>
        <v>МТОК 96</v>
      </c>
      <c r="L32" t="str">
        <f>"Чердак"</f>
        <v>Чердак</v>
      </c>
      <c r="M32" t="str">
        <f>"17.02.2012"</f>
        <v>17.02.2012</v>
      </c>
      <c r="N32" t="str">
        <f>"EmptySerial&lt;30401&gt;"</f>
        <v>EmptySerial&lt;30401&gt;</v>
      </c>
      <c r="O32" t="str">
        <f t="shared" si="4"/>
        <v>Нет</v>
      </c>
      <c r="P32" t="str">
        <f>"М 2.3.5"</f>
        <v>М 2.3.5</v>
      </c>
      <c r="Q32" t="str">
        <f t="shared" si="5"/>
        <v>Нет</v>
      </c>
      <c r="R32" t="str">
        <f t="shared" si="6"/>
        <v>Основной</v>
      </c>
      <c r="S32" t="str">
        <f t="shared" si="7"/>
        <v>ГУТС</v>
      </c>
      <c r="T32" t="str">
        <f>""</f>
        <v/>
      </c>
      <c r="U32" t="str">
        <f t="shared" si="8"/>
        <v>Нет</v>
      </c>
      <c r="V32">
        <v>51.733845961808498</v>
      </c>
      <c r="W32">
        <v>36.145384311675997</v>
      </c>
      <c r="X32" t="str">
        <f>"20000004550256"</f>
        <v>20000004550256</v>
      </c>
    </row>
    <row r="33" spans="1:24" x14ac:dyDescent="0.25">
      <c r="A33">
        <v>907</v>
      </c>
      <c r="B33" t="str">
        <f t="shared" si="0"/>
        <v>Курск</v>
      </c>
      <c r="C33">
        <v>321241</v>
      </c>
      <c r="D33" t="str">
        <f>"М 2.3.4"</f>
        <v>М 2.3.4</v>
      </c>
      <c r="E33" t="str">
        <f t="shared" si="1"/>
        <v>Муфта оптическая</v>
      </c>
      <c r="F33" t="str">
        <f t="shared" si="13"/>
        <v>13.04.2012</v>
      </c>
      <c r="G33" t="str">
        <f>""</f>
        <v/>
      </c>
      <c r="H33" t="str">
        <f>"М 2.3.4"</f>
        <v>М 2.3.4</v>
      </c>
      <c r="I33" t="str">
        <f t="shared" si="14"/>
        <v>МС 2.3</v>
      </c>
      <c r="J33" t="str">
        <f>""</f>
        <v/>
      </c>
      <c r="K33" t="str">
        <f t="shared" si="3"/>
        <v>МТОК 96</v>
      </c>
      <c r="L33" t="str">
        <f>"Опора"</f>
        <v>Опора</v>
      </c>
      <c r="M33" t="str">
        <f>"17.02.2012"</f>
        <v>17.02.2012</v>
      </c>
      <c r="N33" t="str">
        <f>"EmptySerial&lt;30402&gt;"</f>
        <v>EmptySerial&lt;30402&gt;</v>
      </c>
      <c r="O33" t="str">
        <f t="shared" si="4"/>
        <v>Нет</v>
      </c>
      <c r="P33" t="str">
        <f>"М 2.3.4"</f>
        <v>М 2.3.4</v>
      </c>
      <c r="Q33" t="str">
        <f t="shared" si="5"/>
        <v>Нет</v>
      </c>
      <c r="R33" t="str">
        <f t="shared" si="6"/>
        <v>Основной</v>
      </c>
      <c r="S33" t="str">
        <f t="shared" si="7"/>
        <v>ГУТС</v>
      </c>
      <c r="T33" t="str">
        <f>""</f>
        <v/>
      </c>
      <c r="U33" t="str">
        <f t="shared" si="8"/>
        <v>Нет</v>
      </c>
      <c r="V33">
        <v>51.738397237541797</v>
      </c>
      <c r="W33">
        <v>36.143624782562298</v>
      </c>
      <c r="X33" t="str">
        <f>"20000004550257"</f>
        <v>20000004550257</v>
      </c>
    </row>
    <row r="34" spans="1:24" x14ac:dyDescent="0.25">
      <c r="A34">
        <v>907</v>
      </c>
      <c r="B34" t="str">
        <f t="shared" si="0"/>
        <v>Курск</v>
      </c>
      <c r="C34">
        <v>321245</v>
      </c>
      <c r="D34" t="str">
        <f>"М 2.3.3"</f>
        <v>М 2.3.3</v>
      </c>
      <c r="E34" t="str">
        <f t="shared" si="1"/>
        <v>Муфта оптическая</v>
      </c>
      <c r="F34" t="str">
        <f t="shared" si="13"/>
        <v>13.04.2012</v>
      </c>
      <c r="G34" t="str">
        <f>""</f>
        <v/>
      </c>
      <c r="H34" t="str">
        <f>"М 2.3.3"</f>
        <v>М 2.3.3</v>
      </c>
      <c r="I34" t="str">
        <f t="shared" si="14"/>
        <v>МС 2.3</v>
      </c>
      <c r="J34" t="str">
        <f>""</f>
        <v/>
      </c>
      <c r="K34" t="str">
        <f t="shared" si="3"/>
        <v>МТОК 96</v>
      </c>
      <c r="L34" t="str">
        <f>"Опора"</f>
        <v>Опора</v>
      </c>
      <c r="M34" t="str">
        <f>"17.02.2012"</f>
        <v>17.02.2012</v>
      </c>
      <c r="N34" t="str">
        <f>"EmptySerial&lt;30403&gt;"</f>
        <v>EmptySerial&lt;30403&gt;</v>
      </c>
      <c r="O34" t="str">
        <f t="shared" si="4"/>
        <v>Нет</v>
      </c>
      <c r="P34" t="str">
        <f>"М 2.3.3"</f>
        <v>М 2.3.3</v>
      </c>
      <c r="Q34" t="str">
        <f t="shared" si="5"/>
        <v>Нет</v>
      </c>
      <c r="R34" t="str">
        <f t="shared" si="6"/>
        <v>Основной</v>
      </c>
      <c r="S34" t="str">
        <f t="shared" si="7"/>
        <v>ГУТС</v>
      </c>
      <c r="T34" t="str">
        <f>""</f>
        <v/>
      </c>
      <c r="U34" t="str">
        <f t="shared" si="8"/>
        <v>Нет</v>
      </c>
      <c r="V34">
        <v>51.739832289286497</v>
      </c>
      <c r="W34">
        <v>36.144145131111102</v>
      </c>
      <c r="X34" t="str">
        <f>"20000004550258"</f>
        <v>20000004550258</v>
      </c>
    </row>
    <row r="35" spans="1:24" x14ac:dyDescent="0.25">
      <c r="A35">
        <v>907</v>
      </c>
      <c r="B35" t="str">
        <f t="shared" si="0"/>
        <v>Курск</v>
      </c>
      <c r="C35">
        <v>321249</v>
      </c>
      <c r="D35" t="str">
        <f>"М 2.3.2"</f>
        <v>М 2.3.2</v>
      </c>
      <c r="E35" t="str">
        <f t="shared" si="1"/>
        <v>Муфта оптическая</v>
      </c>
      <c r="F35" t="str">
        <f t="shared" si="13"/>
        <v>13.04.2012</v>
      </c>
      <c r="G35" t="str">
        <f>""</f>
        <v/>
      </c>
      <c r="H35" t="str">
        <f>"М 2.3.2"</f>
        <v>М 2.3.2</v>
      </c>
      <c r="I35" t="str">
        <f t="shared" si="14"/>
        <v>МС 2.3</v>
      </c>
      <c r="J35" t="str">
        <f>""</f>
        <v/>
      </c>
      <c r="K35" t="str">
        <f t="shared" si="3"/>
        <v>МТОК 96</v>
      </c>
      <c r="L35" t="str">
        <f t="shared" ref="L35:L41" si="15">"Чердак"</f>
        <v>Чердак</v>
      </c>
      <c r="M35" t="str">
        <f>"12.02.2012"</f>
        <v>12.02.2012</v>
      </c>
      <c r="N35" t="str">
        <f>"EmptySerial&lt;30404&gt;"</f>
        <v>EmptySerial&lt;30404&gt;</v>
      </c>
      <c r="O35" t="str">
        <f t="shared" si="4"/>
        <v>Нет</v>
      </c>
      <c r="P35" t="str">
        <f>"М 2.3.2"</f>
        <v>М 2.3.2</v>
      </c>
      <c r="Q35" t="str">
        <f t="shared" si="5"/>
        <v>Нет</v>
      </c>
      <c r="R35" t="str">
        <f t="shared" si="6"/>
        <v>Основной</v>
      </c>
      <c r="S35" t="str">
        <f t="shared" si="7"/>
        <v>ГУТС</v>
      </c>
      <c r="T35" t="str">
        <f>""</f>
        <v/>
      </c>
      <c r="U35" t="str">
        <f t="shared" si="8"/>
        <v>Нет</v>
      </c>
      <c r="V35">
        <v>51.743120777639803</v>
      </c>
      <c r="W35">
        <v>36.141645312309301</v>
      </c>
      <c r="X35" t="str">
        <f>"20000004550259"</f>
        <v>20000004550259</v>
      </c>
    </row>
    <row r="36" spans="1:24" x14ac:dyDescent="0.25">
      <c r="A36">
        <v>907</v>
      </c>
      <c r="B36" t="str">
        <f t="shared" si="0"/>
        <v>Курск</v>
      </c>
      <c r="C36">
        <v>329137</v>
      </c>
      <c r="D36" t="str">
        <f>"М 2.2.1"</f>
        <v>М 2.2.1</v>
      </c>
      <c r="E36" t="str">
        <f t="shared" si="1"/>
        <v>Муфта оптическая</v>
      </c>
      <c r="F36" t="str">
        <f t="shared" ref="F36:F43" si="16">"20.04.2012"</f>
        <v>20.04.2012</v>
      </c>
      <c r="G36" t="str">
        <f>""</f>
        <v/>
      </c>
      <c r="H36" t="str">
        <f>"М 2.2.1"</f>
        <v>М 2.2.1</v>
      </c>
      <c r="I36" t="str">
        <f t="shared" ref="I36:I43" si="17">"МС 2.2"</f>
        <v>МС 2.2</v>
      </c>
      <c r="J36" t="str">
        <f>""</f>
        <v/>
      </c>
      <c r="K36" t="str">
        <f t="shared" si="3"/>
        <v>МТОК 96</v>
      </c>
      <c r="L36" t="str">
        <f t="shared" si="15"/>
        <v>Чердак</v>
      </c>
      <c r="M36" t="str">
        <f>"23.02.2012"</f>
        <v>23.02.2012</v>
      </c>
      <c r="N36" t="str">
        <f>"EmptySerial&lt;31377&gt;"</f>
        <v>EmptySerial&lt;31377&gt;</v>
      </c>
      <c r="O36" t="str">
        <f t="shared" si="4"/>
        <v>Нет</v>
      </c>
      <c r="P36" t="str">
        <f>"М 2.2.1"</f>
        <v>М 2.2.1</v>
      </c>
      <c r="Q36" t="str">
        <f t="shared" si="5"/>
        <v>Нет</v>
      </c>
      <c r="R36" t="str">
        <f t="shared" si="6"/>
        <v>Основной</v>
      </c>
      <c r="S36" t="str">
        <f t="shared" si="7"/>
        <v>ГУТС</v>
      </c>
      <c r="T36" t="str">
        <f>""</f>
        <v/>
      </c>
      <c r="U36" t="str">
        <f t="shared" si="8"/>
        <v>Нет</v>
      </c>
      <c r="V36">
        <v>51.7402242630885</v>
      </c>
      <c r="W36">
        <v>36.135368943214402</v>
      </c>
      <c r="X36" t="str">
        <f>"20000004550996"</f>
        <v>20000004550996</v>
      </c>
    </row>
    <row r="37" spans="1:24" x14ac:dyDescent="0.25">
      <c r="A37">
        <v>907</v>
      </c>
      <c r="B37" t="str">
        <f t="shared" si="0"/>
        <v>Курск</v>
      </c>
      <c r="C37">
        <v>329141</v>
      </c>
      <c r="D37" t="str">
        <f>"М 2.2.2"</f>
        <v>М 2.2.2</v>
      </c>
      <c r="E37" t="str">
        <f t="shared" si="1"/>
        <v>Муфта оптическая</v>
      </c>
      <c r="F37" t="str">
        <f t="shared" si="16"/>
        <v>20.04.2012</v>
      </c>
      <c r="G37" t="str">
        <f>""</f>
        <v/>
      </c>
      <c r="H37" t="str">
        <f>"М 2.2.2"</f>
        <v>М 2.2.2</v>
      </c>
      <c r="I37" t="str">
        <f t="shared" si="17"/>
        <v>МС 2.2</v>
      </c>
      <c r="J37" t="str">
        <f>""</f>
        <v/>
      </c>
      <c r="K37" t="str">
        <f t="shared" si="3"/>
        <v>МТОК 96</v>
      </c>
      <c r="L37" t="str">
        <f t="shared" si="15"/>
        <v>Чердак</v>
      </c>
      <c r="M37" t="str">
        <f>"21.02.2012"</f>
        <v>21.02.2012</v>
      </c>
      <c r="N37" t="str">
        <f>"EmptySerial&lt;31376&gt;"</f>
        <v>EmptySerial&lt;31376&gt;</v>
      </c>
      <c r="O37" t="str">
        <f t="shared" si="4"/>
        <v>Нет</v>
      </c>
      <c r="P37" t="str">
        <f>"М 2.2.2"</f>
        <v>М 2.2.2</v>
      </c>
      <c r="Q37" t="str">
        <f t="shared" si="5"/>
        <v>Нет</v>
      </c>
      <c r="R37" t="str">
        <f t="shared" si="6"/>
        <v>Основной</v>
      </c>
      <c r="S37" t="str">
        <f t="shared" si="7"/>
        <v>ГУТС</v>
      </c>
      <c r="T37" t="str">
        <f>""</f>
        <v/>
      </c>
      <c r="U37" t="str">
        <f t="shared" si="8"/>
        <v>Нет</v>
      </c>
      <c r="V37">
        <v>51.739154631642002</v>
      </c>
      <c r="W37">
        <v>36.136018040000003</v>
      </c>
      <c r="X37" t="str">
        <f>"20000004550995"</f>
        <v>20000004550995</v>
      </c>
    </row>
    <row r="38" spans="1:24" x14ac:dyDescent="0.25">
      <c r="A38">
        <v>907</v>
      </c>
      <c r="B38" t="str">
        <f t="shared" si="0"/>
        <v>Курск</v>
      </c>
      <c r="C38">
        <v>329145</v>
      </c>
      <c r="D38" t="str">
        <f>"М 2.2.3"</f>
        <v>М 2.2.3</v>
      </c>
      <c r="E38" t="str">
        <f t="shared" si="1"/>
        <v>Муфта оптическая</v>
      </c>
      <c r="F38" t="str">
        <f t="shared" si="16"/>
        <v>20.04.2012</v>
      </c>
      <c r="G38" t="str">
        <f>""</f>
        <v/>
      </c>
      <c r="H38" t="str">
        <f>"М 2.2.3"</f>
        <v>М 2.2.3</v>
      </c>
      <c r="I38" t="str">
        <f t="shared" si="17"/>
        <v>МС 2.2</v>
      </c>
      <c r="J38" t="str">
        <f>""</f>
        <v/>
      </c>
      <c r="K38" t="str">
        <f t="shared" si="3"/>
        <v>МТОК 96</v>
      </c>
      <c r="L38" t="str">
        <f t="shared" si="15"/>
        <v>Чердак</v>
      </c>
      <c r="M38" t="str">
        <f>"15.02.2012"</f>
        <v>15.02.2012</v>
      </c>
      <c r="N38" t="str">
        <f>"EmptySerial&lt;31375&gt;"</f>
        <v>EmptySerial&lt;31375&gt;</v>
      </c>
      <c r="O38" t="str">
        <f t="shared" si="4"/>
        <v>Нет</v>
      </c>
      <c r="P38" t="str">
        <f>"М 2.2.3"</f>
        <v>М 2.2.3</v>
      </c>
      <c r="Q38" t="str">
        <f t="shared" si="5"/>
        <v>Нет</v>
      </c>
      <c r="R38" t="str">
        <f t="shared" si="6"/>
        <v>Основной</v>
      </c>
      <c r="S38" t="str">
        <f t="shared" si="7"/>
        <v>ГУТС</v>
      </c>
      <c r="T38" t="str">
        <f>""</f>
        <v/>
      </c>
      <c r="U38" t="str">
        <f t="shared" si="8"/>
        <v>Нет</v>
      </c>
      <c r="V38">
        <v>51.7385998749265</v>
      </c>
      <c r="W38">
        <v>36.135100722312899</v>
      </c>
      <c r="X38" t="str">
        <f>"20000004550994"</f>
        <v>20000004550994</v>
      </c>
    </row>
    <row r="39" spans="1:24" x14ac:dyDescent="0.25">
      <c r="A39">
        <v>907</v>
      </c>
      <c r="B39" t="str">
        <f t="shared" si="0"/>
        <v>Курск</v>
      </c>
      <c r="C39">
        <v>329149</v>
      </c>
      <c r="D39" t="str">
        <f>"М 2.2.4"</f>
        <v>М 2.2.4</v>
      </c>
      <c r="E39" t="str">
        <f t="shared" si="1"/>
        <v>Муфта оптическая</v>
      </c>
      <c r="F39" t="str">
        <f t="shared" si="16"/>
        <v>20.04.2012</v>
      </c>
      <c r="G39" t="str">
        <f>""</f>
        <v/>
      </c>
      <c r="H39" t="str">
        <f>"М 2.2.4"</f>
        <v>М 2.2.4</v>
      </c>
      <c r="I39" t="str">
        <f t="shared" si="17"/>
        <v>МС 2.2</v>
      </c>
      <c r="J39" t="str">
        <f>""</f>
        <v/>
      </c>
      <c r="K39" t="str">
        <f t="shared" si="3"/>
        <v>МТОК 96</v>
      </c>
      <c r="L39" t="str">
        <f t="shared" si="15"/>
        <v>Чердак</v>
      </c>
      <c r="M39" t="str">
        <f>"18.02.2012"</f>
        <v>18.02.2012</v>
      </c>
      <c r="N39" t="str">
        <f>"EmptySerial&lt;31374&gt;"</f>
        <v>EmptySerial&lt;31374&gt;</v>
      </c>
      <c r="O39" t="str">
        <f t="shared" si="4"/>
        <v>Нет</v>
      </c>
      <c r="P39" t="str">
        <f>"М 2.2.4"</f>
        <v>М 2.2.4</v>
      </c>
      <c r="Q39" t="str">
        <f t="shared" si="5"/>
        <v>Нет</v>
      </c>
      <c r="R39" t="str">
        <f t="shared" si="6"/>
        <v>Основной</v>
      </c>
      <c r="S39" t="str">
        <f t="shared" si="7"/>
        <v>ГУТС</v>
      </c>
      <c r="T39" t="str">
        <f>""</f>
        <v/>
      </c>
      <c r="U39" t="str">
        <f t="shared" si="8"/>
        <v>Нет</v>
      </c>
      <c r="V39">
        <v>51.7367528513875</v>
      </c>
      <c r="W39">
        <v>36.133292913436897</v>
      </c>
      <c r="X39" t="str">
        <f>"20000004550993"</f>
        <v>20000004550993</v>
      </c>
    </row>
    <row r="40" spans="1:24" x14ac:dyDescent="0.25">
      <c r="A40">
        <v>907</v>
      </c>
      <c r="B40" t="str">
        <f t="shared" si="0"/>
        <v>Курск</v>
      </c>
      <c r="C40">
        <v>329153</v>
      </c>
      <c r="D40" t="str">
        <f>"М 2.2.5"</f>
        <v>М 2.2.5</v>
      </c>
      <c r="E40" t="str">
        <f t="shared" si="1"/>
        <v>Муфта оптическая</v>
      </c>
      <c r="F40" t="str">
        <f t="shared" si="16"/>
        <v>20.04.2012</v>
      </c>
      <c r="G40" t="str">
        <f>""</f>
        <v/>
      </c>
      <c r="H40" t="str">
        <f>"М 2.2.5"</f>
        <v>М 2.2.5</v>
      </c>
      <c r="I40" t="str">
        <f t="shared" si="17"/>
        <v>МС 2.2</v>
      </c>
      <c r="J40" t="str">
        <f>""</f>
        <v/>
      </c>
      <c r="K40" t="str">
        <f t="shared" si="3"/>
        <v>МТОК 96</v>
      </c>
      <c r="L40" t="str">
        <f t="shared" si="15"/>
        <v>Чердак</v>
      </c>
      <c r="M40" t="str">
        <f>"18.02.2012"</f>
        <v>18.02.2012</v>
      </c>
      <c r="N40" t="str">
        <f>"EmptySerial&lt;31373&gt;"</f>
        <v>EmptySerial&lt;31373&gt;</v>
      </c>
      <c r="O40" t="str">
        <f t="shared" si="4"/>
        <v>Нет</v>
      </c>
      <c r="P40" t="str">
        <f>"М 2.2.5"</f>
        <v>М 2.2.5</v>
      </c>
      <c r="Q40" t="str">
        <f t="shared" si="5"/>
        <v>Нет</v>
      </c>
      <c r="R40" t="str">
        <f t="shared" si="6"/>
        <v>Основной</v>
      </c>
      <c r="S40" t="str">
        <f t="shared" si="7"/>
        <v>ГУТС</v>
      </c>
      <c r="T40" t="str">
        <f>""</f>
        <v/>
      </c>
      <c r="U40" t="str">
        <f t="shared" si="8"/>
        <v>Нет</v>
      </c>
      <c r="V40">
        <v>51.732875849999999</v>
      </c>
      <c r="W40">
        <v>36.128464940000001</v>
      </c>
      <c r="X40" t="str">
        <f>"20000004550992"</f>
        <v>20000004550992</v>
      </c>
    </row>
    <row r="41" spans="1:24" x14ac:dyDescent="0.25">
      <c r="A41">
        <v>907</v>
      </c>
      <c r="B41" t="str">
        <f t="shared" si="0"/>
        <v>Курск</v>
      </c>
      <c r="C41">
        <v>329157</v>
      </c>
      <c r="D41" t="str">
        <f>"М 2.2.6"</f>
        <v>М 2.2.6</v>
      </c>
      <c r="E41" t="str">
        <f t="shared" si="1"/>
        <v>Муфта оптическая</v>
      </c>
      <c r="F41" t="str">
        <f t="shared" si="16"/>
        <v>20.04.2012</v>
      </c>
      <c r="G41" t="str">
        <f>""</f>
        <v/>
      </c>
      <c r="H41" t="str">
        <f>"М 2.2.6"</f>
        <v>М 2.2.6</v>
      </c>
      <c r="I41" t="str">
        <f t="shared" si="17"/>
        <v>МС 2.2</v>
      </c>
      <c r="J41" t="str">
        <f>""</f>
        <v/>
      </c>
      <c r="K41" t="str">
        <f t="shared" si="3"/>
        <v>МТОК 96</v>
      </c>
      <c r="L41" t="str">
        <f t="shared" si="15"/>
        <v>Чердак</v>
      </c>
      <c r="M41" t="str">
        <f>"18.02.2012"</f>
        <v>18.02.2012</v>
      </c>
      <c r="N41" t="str">
        <f>"EmptySerial&lt;31372&gt;"</f>
        <v>EmptySerial&lt;31372&gt;</v>
      </c>
      <c r="O41" t="str">
        <f t="shared" si="4"/>
        <v>Нет</v>
      </c>
      <c r="P41" t="str">
        <f>"М 2.2.6"</f>
        <v>М 2.2.6</v>
      </c>
      <c r="Q41" t="str">
        <f t="shared" si="5"/>
        <v>Нет</v>
      </c>
      <c r="R41" t="str">
        <f t="shared" si="6"/>
        <v>Основной</v>
      </c>
      <c r="S41" t="str">
        <f t="shared" si="7"/>
        <v>ГУТС</v>
      </c>
      <c r="T41" t="str">
        <f>""</f>
        <v/>
      </c>
      <c r="U41" t="str">
        <f t="shared" si="8"/>
        <v>Нет</v>
      </c>
      <c r="V41">
        <v>51.732746278263299</v>
      </c>
      <c r="W41">
        <v>36.126871705055201</v>
      </c>
      <c r="X41" t="str">
        <f>"20000004550991"</f>
        <v>20000004550991</v>
      </c>
    </row>
    <row r="42" spans="1:24" x14ac:dyDescent="0.25">
      <c r="A42">
        <v>907</v>
      </c>
      <c r="B42" t="str">
        <f t="shared" si="0"/>
        <v>Курск</v>
      </c>
      <c r="C42">
        <v>329161</v>
      </c>
      <c r="D42" t="str">
        <f>"М 2.2.7"</f>
        <v>М 2.2.7</v>
      </c>
      <c r="E42" t="str">
        <f t="shared" si="1"/>
        <v>Муфта оптическая</v>
      </c>
      <c r="F42" t="str">
        <f t="shared" si="16"/>
        <v>20.04.2012</v>
      </c>
      <c r="G42" t="str">
        <f>""</f>
        <v/>
      </c>
      <c r="H42" t="str">
        <f>"М 2.2.7"</f>
        <v>М 2.2.7</v>
      </c>
      <c r="I42" t="str">
        <f t="shared" si="17"/>
        <v>МС 2.2</v>
      </c>
      <c r="J42" t="str">
        <f>""</f>
        <v/>
      </c>
      <c r="K42" t="str">
        <f t="shared" si="3"/>
        <v>МТОК 96</v>
      </c>
      <c r="L42" t="str">
        <f>"Опора"</f>
        <v>Опора</v>
      </c>
      <c r="M42" t="str">
        <f>"16.02.2012"</f>
        <v>16.02.2012</v>
      </c>
      <c r="N42" t="str">
        <f>"EmptySerial&lt;31371&gt;"</f>
        <v>EmptySerial&lt;31371&gt;</v>
      </c>
      <c r="O42" t="str">
        <f t="shared" si="4"/>
        <v>Нет</v>
      </c>
      <c r="P42" t="str">
        <f>"М 2.2.7"</f>
        <v>М 2.2.7</v>
      </c>
      <c r="Q42" t="str">
        <f t="shared" si="5"/>
        <v>Нет</v>
      </c>
      <c r="R42" t="str">
        <f t="shared" si="6"/>
        <v>Основной</v>
      </c>
      <c r="S42" t="str">
        <f t="shared" si="7"/>
        <v>ГУТС</v>
      </c>
      <c r="T42" t="str">
        <f>""</f>
        <v/>
      </c>
      <c r="U42" t="str">
        <f t="shared" si="8"/>
        <v>Нет</v>
      </c>
      <c r="V42">
        <v>51.73338416</v>
      </c>
      <c r="W42">
        <v>36.13140464</v>
      </c>
      <c r="X42" t="str">
        <f>"20000004550990"</f>
        <v>20000004550990</v>
      </c>
    </row>
    <row r="43" spans="1:24" x14ac:dyDescent="0.25">
      <c r="A43">
        <v>907</v>
      </c>
      <c r="B43" t="str">
        <f t="shared" si="0"/>
        <v>Курск</v>
      </c>
      <c r="C43">
        <v>329165</v>
      </c>
      <c r="D43" t="str">
        <f>"М 2.2.8"</f>
        <v>М 2.2.8</v>
      </c>
      <c r="E43" t="str">
        <f t="shared" si="1"/>
        <v>Муфта оптическая</v>
      </c>
      <c r="F43" t="str">
        <f t="shared" si="16"/>
        <v>20.04.2012</v>
      </c>
      <c r="G43" t="str">
        <f>""</f>
        <v/>
      </c>
      <c r="H43" t="str">
        <f>"М 2.2.8"</f>
        <v>М 2.2.8</v>
      </c>
      <c r="I43" t="str">
        <f t="shared" si="17"/>
        <v>МС 2.2</v>
      </c>
      <c r="J43" t="str">
        <f>""</f>
        <v/>
      </c>
      <c r="K43" t="str">
        <f t="shared" si="3"/>
        <v>МТОК 96</v>
      </c>
      <c r="L43" t="str">
        <f>"Опора"</f>
        <v>Опора</v>
      </c>
      <c r="M43" t="str">
        <f>"17.02.2012"</f>
        <v>17.02.2012</v>
      </c>
      <c r="N43" t="str">
        <f>"EmptySerial&lt;31370&gt;"</f>
        <v>EmptySerial&lt;31370&gt;</v>
      </c>
      <c r="O43" t="str">
        <f t="shared" si="4"/>
        <v>Нет</v>
      </c>
      <c r="P43" t="str">
        <f>"М 2.2.8"</f>
        <v>М 2.2.8</v>
      </c>
      <c r="Q43" t="str">
        <f t="shared" si="5"/>
        <v>Нет</v>
      </c>
      <c r="R43" t="str">
        <f t="shared" si="6"/>
        <v>Основной</v>
      </c>
      <c r="S43" t="str">
        <f t="shared" si="7"/>
        <v>ГУТС</v>
      </c>
      <c r="T43" t="str">
        <f>""</f>
        <v/>
      </c>
      <c r="U43" t="str">
        <f t="shared" si="8"/>
        <v>Нет</v>
      </c>
      <c r="V43">
        <v>51.740245850000001</v>
      </c>
      <c r="W43">
        <v>36.144458950000001</v>
      </c>
      <c r="X43" t="str">
        <f>"20000004550989"</f>
        <v>20000004550989</v>
      </c>
    </row>
    <row r="44" spans="1:24" x14ac:dyDescent="0.25">
      <c r="A44">
        <v>907</v>
      </c>
      <c r="B44" t="str">
        <f t="shared" si="0"/>
        <v>Курск</v>
      </c>
      <c r="C44">
        <v>337948</v>
      </c>
      <c r="D44" t="str">
        <f>"М 2.4.7"</f>
        <v>М 2.4.7</v>
      </c>
      <c r="E44" t="str">
        <f t="shared" si="1"/>
        <v>Муфта оптическая</v>
      </c>
      <c r="F44" t="str">
        <f t="shared" ref="F44:F49" si="18">"27.04.2012"</f>
        <v>27.04.2012</v>
      </c>
      <c r="G44" t="str">
        <f>""</f>
        <v/>
      </c>
      <c r="H44" t="str">
        <f>"М 2.4.7"</f>
        <v>М 2.4.7</v>
      </c>
      <c r="I44" t="str">
        <f t="shared" ref="I44:I49" si="19">"МС 2.4"</f>
        <v>МС 2.4</v>
      </c>
      <c r="J44" t="str">
        <f>""</f>
        <v/>
      </c>
      <c r="K44" t="str">
        <f t="shared" si="3"/>
        <v>МТОК 96</v>
      </c>
      <c r="L44" t="str">
        <f>"Чердак"</f>
        <v>Чердак</v>
      </c>
      <c r="M44" t="str">
        <f>"19.02.2012"</f>
        <v>19.02.2012</v>
      </c>
      <c r="N44" t="str">
        <f>"EmptySerial&lt;32334&gt;"</f>
        <v>EmptySerial&lt;32334&gt;</v>
      </c>
      <c r="O44" t="str">
        <f t="shared" si="4"/>
        <v>Нет</v>
      </c>
      <c r="P44" t="str">
        <f>"М 2.4.7"</f>
        <v>М 2.4.7</v>
      </c>
      <c r="Q44" t="str">
        <f t="shared" si="5"/>
        <v>Нет</v>
      </c>
      <c r="R44" t="str">
        <f t="shared" si="6"/>
        <v>Основной</v>
      </c>
      <c r="S44" t="str">
        <f t="shared" si="7"/>
        <v>ГУТС</v>
      </c>
      <c r="T44" t="str">
        <f>""</f>
        <v/>
      </c>
      <c r="U44" t="str">
        <f t="shared" si="8"/>
        <v>Нет</v>
      </c>
      <c r="V44">
        <v>51.732566871158298</v>
      </c>
      <c r="W44">
        <v>36.131989359855702</v>
      </c>
      <c r="X44" t="str">
        <f>"20000004551742"</f>
        <v>20000004551742</v>
      </c>
    </row>
    <row r="45" spans="1:24" x14ac:dyDescent="0.25">
      <c r="A45">
        <v>907</v>
      </c>
      <c r="B45" t="str">
        <f t="shared" si="0"/>
        <v>Курск</v>
      </c>
      <c r="C45">
        <v>337952</v>
      </c>
      <c r="D45" t="str">
        <f>"М 2.4.6"</f>
        <v>М 2.4.6</v>
      </c>
      <c r="E45" t="str">
        <f t="shared" si="1"/>
        <v>Муфта оптическая</v>
      </c>
      <c r="F45" t="str">
        <f t="shared" si="18"/>
        <v>27.04.2012</v>
      </c>
      <c r="G45" t="str">
        <f>""</f>
        <v/>
      </c>
      <c r="H45" t="str">
        <f>"М 2.4.6"</f>
        <v>М 2.4.6</v>
      </c>
      <c r="I45" t="str">
        <f t="shared" si="19"/>
        <v>МС 2.4</v>
      </c>
      <c r="J45" t="str">
        <f>""</f>
        <v/>
      </c>
      <c r="K45" t="str">
        <f t="shared" si="3"/>
        <v>МТОК 96</v>
      </c>
      <c r="L45" t="str">
        <f>"Опора"</f>
        <v>Опора</v>
      </c>
      <c r="M45" t="str">
        <f>"18.02.2012"</f>
        <v>18.02.2012</v>
      </c>
      <c r="N45" t="str">
        <f>"EmptySerial&lt;32333&gt;"</f>
        <v>EmptySerial&lt;32333&gt;</v>
      </c>
      <c r="O45" t="str">
        <f t="shared" si="4"/>
        <v>Нет</v>
      </c>
      <c r="P45" t="str">
        <f>"М 2.4.6"</f>
        <v>М 2.4.6</v>
      </c>
      <c r="Q45" t="str">
        <f t="shared" si="5"/>
        <v>Нет</v>
      </c>
      <c r="R45" t="str">
        <f t="shared" si="6"/>
        <v>Основной</v>
      </c>
      <c r="S45" t="str">
        <f t="shared" si="7"/>
        <v>ГУТС</v>
      </c>
      <c r="T45" t="str">
        <f>""</f>
        <v/>
      </c>
      <c r="U45" t="str">
        <f t="shared" si="8"/>
        <v>Нет</v>
      </c>
      <c r="V45">
        <v>51.729749421735697</v>
      </c>
      <c r="W45">
        <v>36.134526729583698</v>
      </c>
      <c r="X45" t="str">
        <f>"20000004551741"</f>
        <v>20000004551741</v>
      </c>
    </row>
    <row r="46" spans="1:24" x14ac:dyDescent="0.25">
      <c r="A46">
        <v>907</v>
      </c>
      <c r="B46" t="str">
        <f t="shared" si="0"/>
        <v>Курск</v>
      </c>
      <c r="C46">
        <v>337956</v>
      </c>
      <c r="D46" t="str">
        <f>"М 2.4.5"</f>
        <v>М 2.4.5</v>
      </c>
      <c r="E46" t="str">
        <f t="shared" si="1"/>
        <v>Муфта оптическая</v>
      </c>
      <c r="F46" t="str">
        <f t="shared" si="18"/>
        <v>27.04.2012</v>
      </c>
      <c r="G46" t="str">
        <f>""</f>
        <v/>
      </c>
      <c r="H46" t="str">
        <f>"М 2.4.5"</f>
        <v>М 2.4.5</v>
      </c>
      <c r="I46" t="str">
        <f t="shared" si="19"/>
        <v>МС 2.4</v>
      </c>
      <c r="J46" t="str">
        <f>""</f>
        <v/>
      </c>
      <c r="K46" t="str">
        <f t="shared" si="3"/>
        <v>МТОК 96</v>
      </c>
      <c r="L46" t="str">
        <f>"Опора"</f>
        <v>Опора</v>
      </c>
      <c r="M46" t="str">
        <f>"17.02.2012"</f>
        <v>17.02.2012</v>
      </c>
      <c r="N46" t="str">
        <f>"EmptySerial&lt;32332&gt;"</f>
        <v>EmptySerial&lt;32332&gt;</v>
      </c>
      <c r="O46" t="str">
        <f t="shared" si="4"/>
        <v>Нет</v>
      </c>
      <c r="P46" t="str">
        <f>"М 2.4.5"</f>
        <v>М 2.4.5</v>
      </c>
      <c r="Q46" t="str">
        <f t="shared" si="5"/>
        <v>Нет</v>
      </c>
      <c r="R46" t="str">
        <f t="shared" si="6"/>
        <v>Основной</v>
      </c>
      <c r="S46" t="str">
        <f t="shared" si="7"/>
        <v>ГУТС</v>
      </c>
      <c r="T46" t="str">
        <f>""</f>
        <v/>
      </c>
      <c r="U46" t="str">
        <f t="shared" si="8"/>
        <v>Нет</v>
      </c>
      <c r="V46">
        <v>51.731327613743403</v>
      </c>
      <c r="W46">
        <v>36.141918897628798</v>
      </c>
      <c r="X46" t="str">
        <f>"20000004551740"</f>
        <v>20000004551740</v>
      </c>
    </row>
    <row r="47" spans="1:24" x14ac:dyDescent="0.25">
      <c r="A47">
        <v>907</v>
      </c>
      <c r="B47" t="str">
        <f t="shared" si="0"/>
        <v>Курск</v>
      </c>
      <c r="C47">
        <v>337960</v>
      </c>
      <c r="D47" t="str">
        <f>"М 2.4.4"</f>
        <v>М 2.4.4</v>
      </c>
      <c r="E47" t="str">
        <f t="shared" si="1"/>
        <v>Муфта оптическая</v>
      </c>
      <c r="F47" t="str">
        <f t="shared" si="18"/>
        <v>27.04.2012</v>
      </c>
      <c r="G47" t="str">
        <f>""</f>
        <v/>
      </c>
      <c r="H47" t="str">
        <f>"М 2.4.4"</f>
        <v>М 2.4.4</v>
      </c>
      <c r="I47" t="str">
        <f t="shared" si="19"/>
        <v>МС 2.4</v>
      </c>
      <c r="J47" t="str">
        <f>""</f>
        <v/>
      </c>
      <c r="K47" t="str">
        <f t="shared" si="3"/>
        <v>МТОК 96</v>
      </c>
      <c r="L47" t="str">
        <f>"Опора"</f>
        <v>Опора</v>
      </c>
      <c r="M47" t="str">
        <f>"18.02.2012"</f>
        <v>18.02.2012</v>
      </c>
      <c r="N47" t="str">
        <f>"EmptySerial&lt;32331&gt;"</f>
        <v>EmptySerial&lt;32331&gt;</v>
      </c>
      <c r="O47" t="str">
        <f t="shared" si="4"/>
        <v>Нет</v>
      </c>
      <c r="P47" t="str">
        <f>"М 2.4.4"</f>
        <v>М 2.4.4</v>
      </c>
      <c r="Q47" t="str">
        <f t="shared" si="5"/>
        <v>Нет</v>
      </c>
      <c r="R47" t="str">
        <f t="shared" si="6"/>
        <v>Основной</v>
      </c>
      <c r="S47" t="str">
        <f t="shared" si="7"/>
        <v>ГУТС</v>
      </c>
      <c r="T47" t="str">
        <f>""</f>
        <v/>
      </c>
      <c r="U47" t="str">
        <f t="shared" si="8"/>
        <v>Нет</v>
      </c>
      <c r="V47">
        <v>51.732344272463997</v>
      </c>
      <c r="W47">
        <v>36.141039133071899</v>
      </c>
      <c r="X47" t="str">
        <f>"20000004551739"</f>
        <v>20000004551739</v>
      </c>
    </row>
    <row r="48" spans="1:24" x14ac:dyDescent="0.25">
      <c r="A48">
        <v>907</v>
      </c>
      <c r="B48" t="str">
        <f t="shared" si="0"/>
        <v>Курск</v>
      </c>
      <c r="C48">
        <v>337964</v>
      </c>
      <c r="D48" t="str">
        <f>"М 2.4.3"</f>
        <v>М 2.4.3</v>
      </c>
      <c r="E48" t="str">
        <f t="shared" si="1"/>
        <v>Муфта оптическая</v>
      </c>
      <c r="F48" t="str">
        <f t="shared" si="18"/>
        <v>27.04.2012</v>
      </c>
      <c r="G48" t="str">
        <f>""</f>
        <v/>
      </c>
      <c r="H48" t="str">
        <f>"М 2.4.3"</f>
        <v>М 2.4.3</v>
      </c>
      <c r="I48" t="str">
        <f t="shared" si="19"/>
        <v>МС 2.4</v>
      </c>
      <c r="J48" t="str">
        <f>""</f>
        <v/>
      </c>
      <c r="K48" t="str">
        <f t="shared" si="3"/>
        <v>МТОК 96</v>
      </c>
      <c r="L48" t="str">
        <f>"Опора"</f>
        <v>Опора</v>
      </c>
      <c r="M48" t="str">
        <f>"11.02.2012"</f>
        <v>11.02.2012</v>
      </c>
      <c r="N48" t="str">
        <f>"EmptySerial&lt;32330&gt;"</f>
        <v>EmptySerial&lt;32330&gt;</v>
      </c>
      <c r="O48" t="str">
        <f t="shared" si="4"/>
        <v>Нет</v>
      </c>
      <c r="P48" t="str">
        <f>"М 2.4.3"</f>
        <v>М 2.4.3</v>
      </c>
      <c r="Q48" t="str">
        <f t="shared" si="5"/>
        <v>Нет</v>
      </c>
      <c r="R48" t="str">
        <f t="shared" si="6"/>
        <v>Основной</v>
      </c>
      <c r="S48" t="str">
        <f t="shared" si="7"/>
        <v>ГУТС</v>
      </c>
      <c r="T48" t="str">
        <f>""</f>
        <v/>
      </c>
      <c r="U48" t="str">
        <f t="shared" si="8"/>
        <v>Нет</v>
      </c>
      <c r="V48">
        <v>51.735636627903602</v>
      </c>
      <c r="W48">
        <v>36.138163805007899</v>
      </c>
      <c r="X48" t="str">
        <f>"20000004551738"</f>
        <v>20000004551738</v>
      </c>
    </row>
    <row r="49" spans="1:24" x14ac:dyDescent="0.25">
      <c r="A49">
        <v>907</v>
      </c>
      <c r="B49" t="str">
        <f t="shared" si="0"/>
        <v>Курск</v>
      </c>
      <c r="C49">
        <v>337968</v>
      </c>
      <c r="D49" t="str">
        <f>"М 2.4.2"</f>
        <v>М 2.4.2</v>
      </c>
      <c r="E49" t="str">
        <f t="shared" si="1"/>
        <v>Муфта оптическая</v>
      </c>
      <c r="F49" t="str">
        <f t="shared" si="18"/>
        <v>27.04.2012</v>
      </c>
      <c r="G49" t="str">
        <f>""</f>
        <v/>
      </c>
      <c r="H49" t="str">
        <f>"М 2.4.2"</f>
        <v>М 2.4.2</v>
      </c>
      <c r="I49" t="str">
        <f t="shared" si="19"/>
        <v>МС 2.4</v>
      </c>
      <c r="J49" t="str">
        <f>""</f>
        <v/>
      </c>
      <c r="K49" t="str">
        <f t="shared" si="3"/>
        <v>МТОК 96</v>
      </c>
      <c r="L49" t="str">
        <f>"Чердак"</f>
        <v>Чердак</v>
      </c>
      <c r="M49" t="str">
        <f>"03.02.2012"</f>
        <v>03.02.2012</v>
      </c>
      <c r="N49" t="str">
        <f>"EmptySerial&lt;32329&gt;"</f>
        <v>EmptySerial&lt;32329&gt;</v>
      </c>
      <c r="O49" t="str">
        <f t="shared" si="4"/>
        <v>Нет</v>
      </c>
      <c r="P49" t="str">
        <f>"М 2.4.2"</f>
        <v>М 2.4.2</v>
      </c>
      <c r="Q49" t="str">
        <f t="shared" si="5"/>
        <v>Нет</v>
      </c>
      <c r="R49" t="str">
        <f t="shared" si="6"/>
        <v>Основной</v>
      </c>
      <c r="S49" t="str">
        <f t="shared" si="7"/>
        <v>ГУТС</v>
      </c>
      <c r="T49" t="str">
        <f>""</f>
        <v/>
      </c>
      <c r="U49" t="str">
        <f t="shared" si="8"/>
        <v>Нет</v>
      </c>
      <c r="V49">
        <v>51.741154356808003</v>
      </c>
      <c r="W49">
        <v>36.141173243522601</v>
      </c>
      <c r="X49" t="str">
        <f>"20000004551737"</f>
        <v>20000004551737</v>
      </c>
    </row>
    <row r="50" spans="1:24" x14ac:dyDescent="0.25">
      <c r="A50">
        <v>907</v>
      </c>
      <c r="B50" t="str">
        <f t="shared" si="0"/>
        <v>Курск</v>
      </c>
      <c r="C50">
        <v>340472</v>
      </c>
      <c r="D50" t="str">
        <f>"М 2.5.7"</f>
        <v>М 2.5.7</v>
      </c>
      <c r="E50" t="str">
        <f t="shared" si="1"/>
        <v>Муфта оптическая</v>
      </c>
      <c r="F50" t="str">
        <f t="shared" ref="F50:F55" si="20">"28.04.2012"</f>
        <v>28.04.2012</v>
      </c>
      <c r="G50" t="str">
        <f>""</f>
        <v/>
      </c>
      <c r="H50" t="str">
        <f>"М 2.5.7"</f>
        <v>М 2.5.7</v>
      </c>
      <c r="I50" t="str">
        <f t="shared" ref="I50:I55" si="21">"МС 2.5"</f>
        <v>МС 2.5</v>
      </c>
      <c r="J50" t="str">
        <f>""</f>
        <v/>
      </c>
      <c r="K50" t="str">
        <f t="shared" si="3"/>
        <v>МТОК 96</v>
      </c>
      <c r="L50" t="str">
        <f>"Чердак"</f>
        <v>Чердак</v>
      </c>
      <c r="M50" t="str">
        <f>"25.02.2012"</f>
        <v>25.02.2012</v>
      </c>
      <c r="N50" t="str">
        <f>"EmptySerial&lt;32389&gt;"</f>
        <v>EmptySerial&lt;32389&gt;</v>
      </c>
      <c r="O50" t="str">
        <f t="shared" si="4"/>
        <v>Нет</v>
      </c>
      <c r="P50" t="str">
        <f>"М 2.5.7"</f>
        <v>М 2.5.7</v>
      </c>
      <c r="Q50" t="str">
        <f t="shared" si="5"/>
        <v>Нет</v>
      </c>
      <c r="R50" t="str">
        <f t="shared" si="6"/>
        <v>Основной</v>
      </c>
      <c r="S50" t="str">
        <f t="shared" si="7"/>
        <v>ГУТС</v>
      </c>
      <c r="T50" t="str">
        <f>""</f>
        <v/>
      </c>
      <c r="U50" t="str">
        <f t="shared" si="8"/>
        <v>Нет</v>
      </c>
      <c r="V50">
        <v>51.724435290000002</v>
      </c>
      <c r="W50">
        <v>36.136770730000002</v>
      </c>
      <c r="X50" t="str">
        <f>"20000004551769"</f>
        <v>20000004551769</v>
      </c>
    </row>
    <row r="51" spans="1:24" x14ac:dyDescent="0.25">
      <c r="A51">
        <v>907</v>
      </c>
      <c r="B51" t="str">
        <f t="shared" si="0"/>
        <v>Курск</v>
      </c>
      <c r="C51">
        <v>340476</v>
      </c>
      <c r="D51" t="str">
        <f>"М 2.5.6"</f>
        <v>М 2.5.6</v>
      </c>
      <c r="E51" t="str">
        <f t="shared" si="1"/>
        <v>Муфта оптическая</v>
      </c>
      <c r="F51" t="str">
        <f t="shared" si="20"/>
        <v>28.04.2012</v>
      </c>
      <c r="G51" t="str">
        <f>""</f>
        <v/>
      </c>
      <c r="H51" t="str">
        <f>"М 2.5.6"</f>
        <v>М 2.5.6</v>
      </c>
      <c r="I51" t="str">
        <f t="shared" si="21"/>
        <v>МС 2.5</v>
      </c>
      <c r="J51" t="str">
        <f>""</f>
        <v/>
      </c>
      <c r="K51" t="str">
        <f t="shared" si="3"/>
        <v>МТОК 96</v>
      </c>
      <c r="L51" t="str">
        <f>"Чердак"</f>
        <v>Чердак</v>
      </c>
      <c r="M51" t="str">
        <f>"19.02.2012"</f>
        <v>19.02.2012</v>
      </c>
      <c r="N51" t="str">
        <f>"EmptySerial&lt;32388&gt;"</f>
        <v>EmptySerial&lt;32388&gt;</v>
      </c>
      <c r="O51" t="str">
        <f t="shared" si="4"/>
        <v>Нет</v>
      </c>
      <c r="P51" t="str">
        <f>"М 2.5.6"</f>
        <v>М 2.5.6</v>
      </c>
      <c r="Q51" t="str">
        <f t="shared" si="5"/>
        <v>Нет</v>
      </c>
      <c r="R51" t="str">
        <f t="shared" si="6"/>
        <v>Основной</v>
      </c>
      <c r="S51" t="str">
        <f t="shared" si="7"/>
        <v>ГУТС</v>
      </c>
      <c r="T51" t="str">
        <f>""</f>
        <v/>
      </c>
      <c r="U51" t="str">
        <f t="shared" si="8"/>
        <v>Нет</v>
      </c>
      <c r="V51">
        <v>51.725958210000002</v>
      </c>
      <c r="W51">
        <v>36.138234879999999</v>
      </c>
      <c r="X51" t="str">
        <f>"20000004551768"</f>
        <v>20000004551768</v>
      </c>
    </row>
    <row r="52" spans="1:24" x14ac:dyDescent="0.25">
      <c r="A52">
        <v>907</v>
      </c>
      <c r="B52" t="str">
        <f t="shared" si="0"/>
        <v>Курск</v>
      </c>
      <c r="C52">
        <v>340480</v>
      </c>
      <c r="D52" t="str">
        <f>"М 2.5.5"</f>
        <v>М 2.5.5</v>
      </c>
      <c r="E52" t="str">
        <f t="shared" si="1"/>
        <v>Муфта оптическая</v>
      </c>
      <c r="F52" t="str">
        <f t="shared" si="20"/>
        <v>28.04.2012</v>
      </c>
      <c r="G52" t="str">
        <f>""</f>
        <v/>
      </c>
      <c r="H52" t="str">
        <f>"М 2.5.5"</f>
        <v>М 2.5.5</v>
      </c>
      <c r="I52" t="str">
        <f t="shared" si="21"/>
        <v>МС 2.5</v>
      </c>
      <c r="J52" t="str">
        <f>""</f>
        <v/>
      </c>
      <c r="K52" t="str">
        <f t="shared" si="3"/>
        <v>МТОК 96</v>
      </c>
      <c r="L52" t="str">
        <f>"Опора"</f>
        <v>Опора</v>
      </c>
      <c r="M52" t="str">
        <f>"20.02.2012"</f>
        <v>20.02.2012</v>
      </c>
      <c r="N52" t="str">
        <f>"EmptySerial&lt;32387&gt;"</f>
        <v>EmptySerial&lt;32387&gt;</v>
      </c>
      <c r="O52" t="str">
        <f t="shared" si="4"/>
        <v>Нет</v>
      </c>
      <c r="P52" t="str">
        <f>"М 2.5.5"</f>
        <v>М 2.5.5</v>
      </c>
      <c r="Q52" t="str">
        <f t="shared" si="5"/>
        <v>Нет</v>
      </c>
      <c r="R52" t="str">
        <f t="shared" si="6"/>
        <v>Основной</v>
      </c>
      <c r="S52" t="str">
        <f t="shared" si="7"/>
        <v>ГУТС</v>
      </c>
      <c r="T52" t="str">
        <f>""</f>
        <v/>
      </c>
      <c r="U52" t="str">
        <f t="shared" si="8"/>
        <v>Нет</v>
      </c>
      <c r="V52">
        <v>51.728099530000001</v>
      </c>
      <c r="W52">
        <v>36.139204169999999</v>
      </c>
      <c r="X52" t="str">
        <f>"20000004551767"</f>
        <v>20000004551767</v>
      </c>
    </row>
    <row r="53" spans="1:24" x14ac:dyDescent="0.25">
      <c r="A53">
        <v>907</v>
      </c>
      <c r="B53" t="str">
        <f t="shared" si="0"/>
        <v>Курск</v>
      </c>
      <c r="C53">
        <v>340484</v>
      </c>
      <c r="D53" t="str">
        <f>"М 2.5.4"</f>
        <v>М 2.5.4</v>
      </c>
      <c r="E53" t="str">
        <f t="shared" si="1"/>
        <v>Муфта оптическая</v>
      </c>
      <c r="F53" t="str">
        <f t="shared" si="20"/>
        <v>28.04.2012</v>
      </c>
      <c r="G53" t="str">
        <f>""</f>
        <v/>
      </c>
      <c r="H53" t="str">
        <f>"М 2.5.4"</f>
        <v>М 2.5.4</v>
      </c>
      <c r="I53" t="str">
        <f t="shared" si="21"/>
        <v>МС 2.5</v>
      </c>
      <c r="J53" t="str">
        <f>""</f>
        <v/>
      </c>
      <c r="K53" t="str">
        <f t="shared" si="3"/>
        <v>МТОК 96</v>
      </c>
      <c r="L53" t="str">
        <f>"Опора"</f>
        <v>Опора</v>
      </c>
      <c r="M53" t="str">
        <f>"21.02.2012"</f>
        <v>21.02.2012</v>
      </c>
      <c r="N53" t="str">
        <f>"EmptySerial&lt;32386&gt;"</f>
        <v>EmptySerial&lt;32386&gt;</v>
      </c>
      <c r="O53" t="str">
        <f t="shared" si="4"/>
        <v>Нет</v>
      </c>
      <c r="P53" t="str">
        <f>"М 2.5.4"</f>
        <v>М 2.5.4</v>
      </c>
      <c r="Q53" t="str">
        <f t="shared" si="5"/>
        <v>Нет</v>
      </c>
      <c r="R53" t="str">
        <f t="shared" si="6"/>
        <v>Основной</v>
      </c>
      <c r="S53" t="str">
        <f t="shared" si="7"/>
        <v>ГУТС</v>
      </c>
      <c r="T53" t="str">
        <f>""</f>
        <v/>
      </c>
      <c r="U53" t="str">
        <f t="shared" si="8"/>
        <v>Нет</v>
      </c>
      <c r="V53">
        <v>51.731870000000001</v>
      </c>
      <c r="W53">
        <v>36.130612050000003</v>
      </c>
      <c r="X53" t="str">
        <f>"20000004551766"</f>
        <v>20000004551766</v>
      </c>
    </row>
    <row r="54" spans="1:24" x14ac:dyDescent="0.25">
      <c r="A54">
        <v>907</v>
      </c>
      <c r="B54" t="str">
        <f t="shared" si="0"/>
        <v>Курск</v>
      </c>
      <c r="C54">
        <v>340488</v>
      </c>
      <c r="D54" t="str">
        <f>"М 2.5.3"</f>
        <v>М 2.5.3</v>
      </c>
      <c r="E54" t="str">
        <f t="shared" si="1"/>
        <v>Муфта оптическая</v>
      </c>
      <c r="F54" t="str">
        <f t="shared" si="20"/>
        <v>28.04.2012</v>
      </c>
      <c r="G54" t="str">
        <f>""</f>
        <v/>
      </c>
      <c r="H54" t="str">
        <f>"М 2.5.3"</f>
        <v>М 2.5.3</v>
      </c>
      <c r="I54" t="str">
        <f t="shared" si="21"/>
        <v>МС 2.5</v>
      </c>
      <c r="J54" t="str">
        <f>""</f>
        <v/>
      </c>
      <c r="K54" t="str">
        <f t="shared" si="3"/>
        <v>МТОК 96</v>
      </c>
      <c r="L54" t="str">
        <f>"Опора"</f>
        <v>Опора</v>
      </c>
      <c r="M54" t="str">
        <f>"17.02.2012"</f>
        <v>17.02.2012</v>
      </c>
      <c r="N54" t="str">
        <f>"EmptySerial&lt;32385&gt;"</f>
        <v>EmptySerial&lt;32385&gt;</v>
      </c>
      <c r="O54" t="str">
        <f t="shared" si="4"/>
        <v>Нет</v>
      </c>
      <c r="P54" t="str">
        <f>"М 2.5.3"</f>
        <v>М 2.5.3</v>
      </c>
      <c r="Q54" t="str">
        <f t="shared" si="5"/>
        <v>Нет</v>
      </c>
      <c r="R54" t="str">
        <f t="shared" si="6"/>
        <v>Основной</v>
      </c>
      <c r="S54" t="str">
        <f t="shared" si="7"/>
        <v>ГУТС</v>
      </c>
      <c r="T54" t="str">
        <f>""</f>
        <v/>
      </c>
      <c r="U54" t="str">
        <f t="shared" si="8"/>
        <v>Нет</v>
      </c>
      <c r="V54">
        <v>51.737935486664</v>
      </c>
      <c r="W54">
        <v>36.136125326156602</v>
      </c>
      <c r="X54" t="str">
        <f>"20000004551765"</f>
        <v>20000004551765</v>
      </c>
    </row>
    <row r="55" spans="1:24" x14ac:dyDescent="0.25">
      <c r="A55">
        <v>907</v>
      </c>
      <c r="B55" t="str">
        <f t="shared" si="0"/>
        <v>Курск</v>
      </c>
      <c r="C55">
        <v>340492</v>
      </c>
      <c r="D55" t="str">
        <f>"М 2.5.2"</f>
        <v>М 2.5.2</v>
      </c>
      <c r="E55" t="str">
        <f t="shared" si="1"/>
        <v>Муфта оптическая</v>
      </c>
      <c r="F55" t="str">
        <f t="shared" si="20"/>
        <v>28.04.2012</v>
      </c>
      <c r="G55" t="str">
        <f>""</f>
        <v/>
      </c>
      <c r="H55" t="str">
        <f>"М 2.5.2"</f>
        <v>М 2.5.2</v>
      </c>
      <c r="I55" t="str">
        <f t="shared" si="21"/>
        <v>МС 2.5</v>
      </c>
      <c r="J55" t="str">
        <f>""</f>
        <v/>
      </c>
      <c r="K55" t="str">
        <f t="shared" si="3"/>
        <v>МТОК 96</v>
      </c>
      <c r="L55" t="str">
        <f>"Чердак"</f>
        <v>Чердак</v>
      </c>
      <c r="M55" t="str">
        <f>"11.02.2012"</f>
        <v>11.02.2012</v>
      </c>
      <c r="N55" t="str">
        <f>"EmptySerial&lt;32384&gt;"</f>
        <v>EmptySerial&lt;32384&gt;</v>
      </c>
      <c r="O55" t="str">
        <f t="shared" si="4"/>
        <v>Нет</v>
      </c>
      <c r="P55" t="str">
        <f>"М 2.5.2"</f>
        <v>М 2.5.2</v>
      </c>
      <c r="Q55" t="str">
        <f t="shared" si="5"/>
        <v>Нет</v>
      </c>
      <c r="R55" t="str">
        <f t="shared" si="6"/>
        <v>Основной</v>
      </c>
      <c r="S55" t="str">
        <f t="shared" si="7"/>
        <v>ГУТС</v>
      </c>
      <c r="T55" t="str">
        <f>""</f>
        <v/>
      </c>
      <c r="U55" t="str">
        <f t="shared" si="8"/>
        <v>Нет</v>
      </c>
      <c r="V55">
        <v>51.742884109999999</v>
      </c>
      <c r="W55">
        <v>36.139571959999998</v>
      </c>
      <c r="X55" t="str">
        <f>"20000004551764"</f>
        <v>20000004551764</v>
      </c>
    </row>
    <row r="56" spans="1:24" x14ac:dyDescent="0.25">
      <c r="A56">
        <v>907</v>
      </c>
      <c r="B56" t="str">
        <f t="shared" si="0"/>
        <v>Курск</v>
      </c>
      <c r="C56">
        <v>342259</v>
      </c>
      <c r="D56" t="str">
        <f>"Т 2.4"</f>
        <v>Т 2.4</v>
      </c>
      <c r="E56" t="str">
        <f t="shared" si="1"/>
        <v>Муфта оптическая</v>
      </c>
      <c r="F56" t="str">
        <f>"03.05.2012"</f>
        <v>03.05.2012</v>
      </c>
      <c r="G56" t="str">
        <f>""</f>
        <v/>
      </c>
      <c r="H56" t="str">
        <f>"Т 2.4"</f>
        <v>Т 2.4</v>
      </c>
      <c r="I56" t="str">
        <f>"ТС"</f>
        <v>ТС</v>
      </c>
      <c r="J56" t="str">
        <f>""</f>
        <v/>
      </c>
      <c r="K56" t="str">
        <f t="shared" si="3"/>
        <v>МТОК 96</v>
      </c>
      <c r="L56" t="str">
        <f>"Опора"</f>
        <v>Опора</v>
      </c>
      <c r="M56" t="str">
        <f>"18.02.2012"</f>
        <v>18.02.2012</v>
      </c>
      <c r="N56" t="str">
        <f>"EmptySerial&lt;32506&gt;"</f>
        <v>EmptySerial&lt;32506&gt;</v>
      </c>
      <c r="O56" t="str">
        <f t="shared" si="4"/>
        <v>Нет</v>
      </c>
      <c r="P56" t="str">
        <f>"Т 2.4"</f>
        <v>Т 2.4</v>
      </c>
      <c r="Q56" t="str">
        <f t="shared" si="5"/>
        <v>Нет</v>
      </c>
      <c r="R56" t="str">
        <f t="shared" si="6"/>
        <v>Основной</v>
      </c>
      <c r="S56" t="str">
        <f t="shared" si="7"/>
        <v>ГУТС</v>
      </c>
      <c r="T56" t="str">
        <f>""</f>
        <v/>
      </c>
      <c r="U56" t="str">
        <f t="shared" si="8"/>
        <v>Нет</v>
      </c>
      <c r="V56">
        <v>51.759870909999997</v>
      </c>
      <c r="W56">
        <v>36.187092659999998</v>
      </c>
      <c r="X56" t="str">
        <f>"20000004551828"</f>
        <v>20000004551828</v>
      </c>
    </row>
    <row r="57" spans="1:24" x14ac:dyDescent="0.25">
      <c r="A57">
        <v>907</v>
      </c>
      <c r="B57" t="str">
        <f t="shared" si="0"/>
        <v>Курск</v>
      </c>
      <c r="C57">
        <v>342263</v>
      </c>
      <c r="D57" t="str">
        <f>"Т 2.3"</f>
        <v>Т 2.3</v>
      </c>
      <c r="E57" t="str">
        <f t="shared" si="1"/>
        <v>Муфта оптическая</v>
      </c>
      <c r="F57" t="str">
        <f>"03.05.2012"</f>
        <v>03.05.2012</v>
      </c>
      <c r="G57" t="str">
        <f>""</f>
        <v/>
      </c>
      <c r="H57" t="str">
        <f>"Т 2.3"</f>
        <v>Т 2.3</v>
      </c>
      <c r="I57" t="str">
        <f>"ТС"</f>
        <v>ТС</v>
      </c>
      <c r="J57" t="str">
        <f>""</f>
        <v/>
      </c>
      <c r="K57" t="str">
        <f t="shared" si="3"/>
        <v>МТОК 96</v>
      </c>
      <c r="L57" t="str">
        <f>"Опора"</f>
        <v>Опора</v>
      </c>
      <c r="M57" t="str">
        <f>"21.02.2012"</f>
        <v>21.02.2012</v>
      </c>
      <c r="N57" t="str">
        <f>"EmptySerial&lt;32505&gt;"</f>
        <v>EmptySerial&lt;32505&gt;</v>
      </c>
      <c r="O57" t="str">
        <f t="shared" si="4"/>
        <v>Нет</v>
      </c>
      <c r="P57" t="str">
        <f>"Т 2.3"</f>
        <v>Т 2.3</v>
      </c>
      <c r="Q57" t="str">
        <f t="shared" si="5"/>
        <v>Нет</v>
      </c>
      <c r="R57" t="str">
        <f t="shared" si="6"/>
        <v>Основной</v>
      </c>
      <c r="S57" t="str">
        <f t="shared" si="7"/>
        <v>ГУТС</v>
      </c>
      <c r="T57" t="str">
        <f>""</f>
        <v/>
      </c>
      <c r="U57" t="str">
        <f t="shared" si="8"/>
        <v>Нет</v>
      </c>
      <c r="V57">
        <v>51.760795622380797</v>
      </c>
      <c r="W57">
        <v>36.162483394145902</v>
      </c>
      <c r="X57" t="str">
        <f>"20000004551827"</f>
        <v>20000004551827</v>
      </c>
    </row>
    <row r="58" spans="1:24" x14ac:dyDescent="0.25">
      <c r="A58">
        <v>907</v>
      </c>
      <c r="B58" t="str">
        <f t="shared" si="0"/>
        <v>Курск</v>
      </c>
      <c r="C58">
        <v>342267</v>
      </c>
      <c r="D58" t="str">
        <f>"Т 2.2"</f>
        <v>Т 2.2</v>
      </c>
      <c r="E58" t="str">
        <f t="shared" si="1"/>
        <v>Муфта оптическая</v>
      </c>
      <c r="F58" t="str">
        <f>"03.05.2012"</f>
        <v>03.05.2012</v>
      </c>
      <c r="G58" t="str">
        <f>""</f>
        <v/>
      </c>
      <c r="H58" t="str">
        <f>"Т 2.2"</f>
        <v>Т 2.2</v>
      </c>
      <c r="I58" t="str">
        <f>"ТС"</f>
        <v>ТС</v>
      </c>
      <c r="J58" t="str">
        <f>""</f>
        <v/>
      </c>
      <c r="K58" t="str">
        <f t="shared" si="3"/>
        <v>МТОК 96</v>
      </c>
      <c r="L58" t="str">
        <f>"Опора"</f>
        <v>Опора</v>
      </c>
      <c r="M58" t="str">
        <f>"18.02.2012"</f>
        <v>18.02.2012</v>
      </c>
      <c r="N58" t="str">
        <f>"EmptySerial&lt;32504&gt;"</f>
        <v>EmptySerial&lt;32504&gt;</v>
      </c>
      <c r="O58" t="str">
        <f t="shared" si="4"/>
        <v>Нет</v>
      </c>
      <c r="P58" t="str">
        <f>"Т 2.2"</f>
        <v>Т 2.2</v>
      </c>
      <c r="Q58" t="str">
        <f t="shared" si="5"/>
        <v>Нет</v>
      </c>
      <c r="R58" t="str">
        <f t="shared" si="6"/>
        <v>Основной</v>
      </c>
      <c r="S58" t="str">
        <f t="shared" si="7"/>
        <v>ГУТС</v>
      </c>
      <c r="T58" t="str">
        <f>""</f>
        <v/>
      </c>
      <c r="U58" t="str">
        <f t="shared" si="8"/>
        <v>Нет</v>
      </c>
      <c r="V58">
        <v>51.756565796316799</v>
      </c>
      <c r="W58">
        <v>36.150023192167197</v>
      </c>
      <c r="X58" t="str">
        <f>"20000004551826"</f>
        <v>20000004551826</v>
      </c>
    </row>
    <row r="59" spans="1:24" x14ac:dyDescent="0.25">
      <c r="A59">
        <v>907</v>
      </c>
      <c r="B59" t="str">
        <f t="shared" si="0"/>
        <v>Курск</v>
      </c>
      <c r="C59">
        <v>342271</v>
      </c>
      <c r="D59" t="str">
        <f>"Т 2.1"</f>
        <v>Т 2.1</v>
      </c>
      <c r="E59" t="str">
        <f t="shared" si="1"/>
        <v>Муфта оптическая</v>
      </c>
      <c r="F59" t="str">
        <f>"03.05.2012"</f>
        <v>03.05.2012</v>
      </c>
      <c r="G59" t="str">
        <f>""</f>
        <v/>
      </c>
      <c r="H59" t="str">
        <f>"Т 2.1"</f>
        <v>Т 2.1</v>
      </c>
      <c r="I59" t="str">
        <f>"ТС"</f>
        <v>ТС</v>
      </c>
      <c r="J59" t="str">
        <f>""</f>
        <v/>
      </c>
      <c r="K59" t="str">
        <f t="shared" si="3"/>
        <v>МТОК 96</v>
      </c>
      <c r="L59" t="str">
        <f>"Опора"</f>
        <v>Опора</v>
      </c>
      <c r="M59" t="str">
        <f>"18.02.2012"</f>
        <v>18.02.2012</v>
      </c>
      <c r="N59" t="str">
        <f>"EmptySerial&lt;32503&gt;"</f>
        <v>EmptySerial&lt;32503&gt;</v>
      </c>
      <c r="O59" t="str">
        <f t="shared" si="4"/>
        <v>Нет</v>
      </c>
      <c r="P59" t="str">
        <f>"Т 2.1"</f>
        <v>Т 2.1</v>
      </c>
      <c r="Q59" t="str">
        <f t="shared" si="5"/>
        <v>Нет</v>
      </c>
      <c r="R59" t="str">
        <f t="shared" si="6"/>
        <v>Основной</v>
      </c>
      <c r="S59" t="str">
        <f t="shared" si="7"/>
        <v>ГУТС</v>
      </c>
      <c r="T59" t="str">
        <f>""</f>
        <v/>
      </c>
      <c r="U59" t="str">
        <f t="shared" si="8"/>
        <v>Нет</v>
      </c>
      <c r="V59">
        <v>51.755239613831897</v>
      </c>
      <c r="W59">
        <v>36.137123107910199</v>
      </c>
      <c r="X59" t="str">
        <f>"20000004551825"</f>
        <v>20000004551825</v>
      </c>
    </row>
    <row r="60" spans="1:24" x14ac:dyDescent="0.25">
      <c r="A60">
        <v>907</v>
      </c>
      <c r="B60" t="str">
        <f t="shared" si="0"/>
        <v>Курск</v>
      </c>
      <c r="C60">
        <v>344776</v>
      </c>
      <c r="D60" t="str">
        <f>"М 3.1.9"</f>
        <v>М 3.1.9</v>
      </c>
      <c r="E60" t="str">
        <f t="shared" si="1"/>
        <v>Муфта оптическая</v>
      </c>
      <c r="F60" t="str">
        <f t="shared" ref="F60:F68" si="22">"05.05.2012"</f>
        <v>05.05.2012</v>
      </c>
      <c r="G60" t="str">
        <f>""</f>
        <v/>
      </c>
      <c r="H60" t="str">
        <f>"М 3.1.9"</f>
        <v>М 3.1.9</v>
      </c>
      <c r="I60" t="str">
        <f t="shared" ref="I60:I68" si="23">"МС 3.1"</f>
        <v>МС 3.1</v>
      </c>
      <c r="J60" t="str">
        <f>""</f>
        <v/>
      </c>
      <c r="K60" t="str">
        <f t="shared" si="3"/>
        <v>МТОК 96</v>
      </c>
      <c r="L60" t="str">
        <f>"Опора"</f>
        <v>Опора</v>
      </c>
      <c r="M60" t="str">
        <f>"20.03.2012"</f>
        <v>20.03.2012</v>
      </c>
      <c r="N60" t="str">
        <f>"EmptySerial&lt;32988&gt;"</f>
        <v>EmptySerial&lt;32988&gt;</v>
      </c>
      <c r="O60" t="str">
        <f t="shared" si="4"/>
        <v>Нет</v>
      </c>
      <c r="P60" t="str">
        <f>"М 3.1.9"</f>
        <v>М 3.1.9</v>
      </c>
      <c r="Q60" t="str">
        <f t="shared" si="5"/>
        <v>Нет</v>
      </c>
      <c r="R60" t="str">
        <f t="shared" si="6"/>
        <v>Основной</v>
      </c>
      <c r="S60" t="str">
        <f t="shared" si="7"/>
        <v>ГУТС</v>
      </c>
      <c r="T60" t="str">
        <f>""</f>
        <v/>
      </c>
      <c r="U60" t="str">
        <f t="shared" si="8"/>
        <v>Нет</v>
      </c>
      <c r="V60">
        <v>51.770462426966702</v>
      </c>
      <c r="W60">
        <v>36.195713281631498</v>
      </c>
      <c r="X60" t="str">
        <f>"20000004552191"</f>
        <v>20000004552191</v>
      </c>
    </row>
    <row r="61" spans="1:24" x14ac:dyDescent="0.25">
      <c r="A61">
        <v>907</v>
      </c>
      <c r="B61" t="str">
        <f t="shared" si="0"/>
        <v>Курск</v>
      </c>
      <c r="C61">
        <v>344780</v>
      </c>
      <c r="D61" t="str">
        <f>"М 3.1.11"</f>
        <v>М 3.1.11</v>
      </c>
      <c r="E61" t="str">
        <f t="shared" si="1"/>
        <v>Муфта оптическая</v>
      </c>
      <c r="F61" t="str">
        <f t="shared" si="22"/>
        <v>05.05.2012</v>
      </c>
      <c r="G61" t="str">
        <f>""</f>
        <v/>
      </c>
      <c r="H61" t="str">
        <f>"М 3.1.11"</f>
        <v>М 3.1.11</v>
      </c>
      <c r="I61" t="str">
        <f t="shared" si="23"/>
        <v>МС 3.1</v>
      </c>
      <c r="J61" t="str">
        <f>""</f>
        <v/>
      </c>
      <c r="K61" t="str">
        <f t="shared" si="3"/>
        <v>МТОК 96</v>
      </c>
      <c r="L61" t="str">
        <f>"Чердак"</f>
        <v>Чердак</v>
      </c>
      <c r="M61" t="str">
        <f>"23.03.2012"</f>
        <v>23.03.2012</v>
      </c>
      <c r="N61" t="str">
        <f>"EmptySerial&lt;32987&gt;"</f>
        <v>EmptySerial&lt;32987&gt;</v>
      </c>
      <c r="O61" t="str">
        <f t="shared" si="4"/>
        <v>Нет</v>
      </c>
      <c r="P61" t="str">
        <f>"М 3.1.11"</f>
        <v>М 3.1.11</v>
      </c>
      <c r="Q61" t="str">
        <f t="shared" si="5"/>
        <v>Нет</v>
      </c>
      <c r="R61" t="str">
        <f t="shared" si="6"/>
        <v>Основной</v>
      </c>
      <c r="S61" t="str">
        <f t="shared" si="7"/>
        <v>ГУТС</v>
      </c>
      <c r="T61" t="str">
        <f>""</f>
        <v/>
      </c>
      <c r="U61" t="str">
        <f t="shared" si="8"/>
        <v>Нет</v>
      </c>
      <c r="V61">
        <v>51.770230056188701</v>
      </c>
      <c r="W61">
        <v>36.180526614189098</v>
      </c>
      <c r="X61" t="str">
        <f>"20000004552190"</f>
        <v>20000004552190</v>
      </c>
    </row>
    <row r="62" spans="1:24" x14ac:dyDescent="0.25">
      <c r="A62">
        <v>907</v>
      </c>
      <c r="B62" t="str">
        <f t="shared" si="0"/>
        <v>Курск</v>
      </c>
      <c r="C62">
        <v>344784</v>
      </c>
      <c r="D62" t="str">
        <f>"М 3.1.8"</f>
        <v>М 3.1.8</v>
      </c>
      <c r="E62" t="str">
        <f t="shared" si="1"/>
        <v>Муфта оптическая</v>
      </c>
      <c r="F62" t="str">
        <f t="shared" si="22"/>
        <v>05.05.2012</v>
      </c>
      <c r="G62" t="str">
        <f>""</f>
        <v/>
      </c>
      <c r="H62" t="str">
        <f>"М 3.1.8"</f>
        <v>М 3.1.8</v>
      </c>
      <c r="I62" t="str">
        <f t="shared" si="23"/>
        <v>МС 3.1</v>
      </c>
      <c r="J62" t="str">
        <f>""</f>
        <v/>
      </c>
      <c r="K62" t="str">
        <f t="shared" si="3"/>
        <v>МТОК 96</v>
      </c>
      <c r="L62" t="str">
        <f>"Чердак"</f>
        <v>Чердак</v>
      </c>
      <c r="M62" t="str">
        <f>"22.03.2012"</f>
        <v>22.03.2012</v>
      </c>
      <c r="N62" t="str">
        <f>"EmptySerial&lt;32986&gt;"</f>
        <v>EmptySerial&lt;32986&gt;</v>
      </c>
      <c r="O62" t="str">
        <f t="shared" si="4"/>
        <v>Нет</v>
      </c>
      <c r="P62" t="str">
        <f>"М 3.1.8"</f>
        <v>М 3.1.8</v>
      </c>
      <c r="Q62" t="str">
        <f t="shared" si="5"/>
        <v>Нет</v>
      </c>
      <c r="R62" t="str">
        <f t="shared" si="6"/>
        <v>Основной</v>
      </c>
      <c r="S62" t="str">
        <f t="shared" si="7"/>
        <v>ГУТС</v>
      </c>
      <c r="T62" t="str">
        <f>""</f>
        <v/>
      </c>
      <c r="U62" t="str">
        <f t="shared" si="8"/>
        <v>Нет</v>
      </c>
      <c r="V62">
        <v>51.767753573300901</v>
      </c>
      <c r="W62">
        <v>36.181856989860499</v>
      </c>
      <c r="X62" t="str">
        <f>"20000004552189"</f>
        <v>20000004552189</v>
      </c>
    </row>
    <row r="63" spans="1:24" x14ac:dyDescent="0.25">
      <c r="A63">
        <v>907</v>
      </c>
      <c r="B63" t="str">
        <f t="shared" si="0"/>
        <v>Курск</v>
      </c>
      <c r="C63">
        <v>344788</v>
      </c>
      <c r="D63" t="str">
        <f>"М 3.1.4"</f>
        <v>М 3.1.4</v>
      </c>
      <c r="E63" t="str">
        <f t="shared" si="1"/>
        <v>Муфта оптическая</v>
      </c>
      <c r="F63" t="str">
        <f t="shared" si="22"/>
        <v>05.05.2012</v>
      </c>
      <c r="G63" t="str">
        <f>""</f>
        <v/>
      </c>
      <c r="H63" t="str">
        <f>"М 3.1.4"</f>
        <v>М 3.1.4</v>
      </c>
      <c r="I63" t="str">
        <f t="shared" si="23"/>
        <v>МС 3.1</v>
      </c>
      <c r="J63" t="str">
        <f>""</f>
        <v/>
      </c>
      <c r="K63" t="str">
        <f t="shared" si="3"/>
        <v>МТОК 96</v>
      </c>
      <c r="L63" t="str">
        <f>"Чердак"</f>
        <v>Чердак</v>
      </c>
      <c r="M63" t="str">
        <f>"23.03.2012"</f>
        <v>23.03.2012</v>
      </c>
      <c r="N63" t="str">
        <f>"EmptySerial&lt;32985&gt;"</f>
        <v>EmptySerial&lt;32985&gt;</v>
      </c>
      <c r="O63" t="str">
        <f t="shared" si="4"/>
        <v>Нет</v>
      </c>
      <c r="P63" t="str">
        <f>"М 3.1.4"</f>
        <v>М 3.1.4</v>
      </c>
      <c r="Q63" t="str">
        <f t="shared" si="5"/>
        <v>Нет</v>
      </c>
      <c r="R63" t="str">
        <f t="shared" si="6"/>
        <v>Основной</v>
      </c>
      <c r="S63" t="str">
        <f t="shared" si="7"/>
        <v>ГУТС</v>
      </c>
      <c r="T63" t="str">
        <f>""</f>
        <v/>
      </c>
      <c r="U63" t="str">
        <f t="shared" si="8"/>
        <v>Нет</v>
      </c>
      <c r="V63">
        <v>51.773609273410102</v>
      </c>
      <c r="W63">
        <v>36.175591349601703</v>
      </c>
      <c r="X63" t="str">
        <f>"20000004552188"</f>
        <v>20000004552188</v>
      </c>
    </row>
    <row r="64" spans="1:24" x14ac:dyDescent="0.25">
      <c r="A64">
        <v>907</v>
      </c>
      <c r="B64" t="str">
        <f t="shared" si="0"/>
        <v>Курск</v>
      </c>
      <c r="C64">
        <v>344792</v>
      </c>
      <c r="D64" t="str">
        <f>"М 3.1.12"</f>
        <v>М 3.1.12</v>
      </c>
      <c r="E64" t="str">
        <f t="shared" si="1"/>
        <v>Муфта оптическая</v>
      </c>
      <c r="F64" t="str">
        <f t="shared" si="22"/>
        <v>05.05.2012</v>
      </c>
      <c r="G64" t="str">
        <f>""</f>
        <v/>
      </c>
      <c r="H64" t="str">
        <f>"М 3.1.12"</f>
        <v>М 3.1.12</v>
      </c>
      <c r="I64" t="str">
        <f t="shared" si="23"/>
        <v>МС 3.1</v>
      </c>
      <c r="J64" t="str">
        <f>""</f>
        <v/>
      </c>
      <c r="K64" t="str">
        <f t="shared" si="3"/>
        <v>МТОК 96</v>
      </c>
      <c r="L64" t="str">
        <f t="shared" ref="L64:L70" si="24">"Опора"</f>
        <v>Опора</v>
      </c>
      <c r="M64" t="str">
        <f>"15.03.2012"</f>
        <v>15.03.2012</v>
      </c>
      <c r="N64" t="str">
        <f>"EmptySerial&lt;32984&gt;"</f>
        <v>EmptySerial&lt;32984&gt;</v>
      </c>
      <c r="O64" t="str">
        <f t="shared" si="4"/>
        <v>Нет</v>
      </c>
      <c r="P64" t="str">
        <f>"М 3.1.12"</f>
        <v>М 3.1.12</v>
      </c>
      <c r="Q64" t="str">
        <f t="shared" si="5"/>
        <v>Нет</v>
      </c>
      <c r="R64" t="str">
        <f t="shared" si="6"/>
        <v>Основной</v>
      </c>
      <c r="S64" t="str">
        <f t="shared" si="7"/>
        <v>ГУТС</v>
      </c>
      <c r="T64" t="str">
        <f>""</f>
        <v/>
      </c>
      <c r="U64" t="str">
        <f t="shared" si="8"/>
        <v>Нет</v>
      </c>
      <c r="V64">
        <v>51.770585251037502</v>
      </c>
      <c r="W64">
        <v>36.174716949462898</v>
      </c>
      <c r="X64" t="str">
        <f>"20000004552187"</f>
        <v>20000004552187</v>
      </c>
    </row>
    <row r="65" spans="1:24" x14ac:dyDescent="0.25">
      <c r="A65">
        <v>907</v>
      </c>
      <c r="B65" t="str">
        <f t="shared" si="0"/>
        <v>Курск</v>
      </c>
      <c r="C65">
        <v>344796</v>
      </c>
      <c r="D65" t="str">
        <f>"М 3.1.3"</f>
        <v>М 3.1.3</v>
      </c>
      <c r="E65" t="str">
        <f t="shared" si="1"/>
        <v>Муфта оптическая</v>
      </c>
      <c r="F65" t="str">
        <f t="shared" si="22"/>
        <v>05.05.2012</v>
      </c>
      <c r="G65" t="str">
        <f>""</f>
        <v/>
      </c>
      <c r="H65" t="str">
        <f>"М 3.1.3"</f>
        <v>М 3.1.3</v>
      </c>
      <c r="I65" t="str">
        <f t="shared" si="23"/>
        <v>МС 3.1</v>
      </c>
      <c r="J65" t="str">
        <f>""</f>
        <v/>
      </c>
      <c r="K65" t="str">
        <f t="shared" si="3"/>
        <v>МТОК 96</v>
      </c>
      <c r="L65" t="str">
        <f t="shared" si="24"/>
        <v>Опора</v>
      </c>
      <c r="M65" t="str">
        <f>"13.03.2012"</f>
        <v>13.03.2012</v>
      </c>
      <c r="N65" t="str">
        <f>"EmptySerial&lt;32983&gt;"</f>
        <v>EmptySerial&lt;32983&gt;</v>
      </c>
      <c r="O65" t="str">
        <f t="shared" si="4"/>
        <v>Нет</v>
      </c>
      <c r="P65" t="str">
        <f>"М 3.1.3"</f>
        <v>М 3.1.3</v>
      </c>
      <c r="Q65" t="str">
        <f t="shared" si="5"/>
        <v>Нет</v>
      </c>
      <c r="R65" t="str">
        <f t="shared" si="6"/>
        <v>Основной</v>
      </c>
      <c r="S65" t="str">
        <f t="shared" si="7"/>
        <v>ГУТС</v>
      </c>
      <c r="T65" t="str">
        <f>""</f>
        <v/>
      </c>
      <c r="U65" t="str">
        <f t="shared" si="8"/>
        <v>Нет</v>
      </c>
      <c r="V65">
        <v>51.764668149999999</v>
      </c>
      <c r="W65">
        <v>36.177775680000003</v>
      </c>
      <c r="X65" t="str">
        <f>"20000004552186"</f>
        <v>20000004552186</v>
      </c>
    </row>
    <row r="66" spans="1:24" x14ac:dyDescent="0.25">
      <c r="A66">
        <v>907</v>
      </c>
      <c r="B66" t="str">
        <f t="shared" ref="B66:B129" si="25">"Курск"</f>
        <v>Курск</v>
      </c>
      <c r="C66">
        <v>344800</v>
      </c>
      <c r="D66" t="str">
        <f>"М 3.1.10"</f>
        <v>М 3.1.10</v>
      </c>
      <c r="E66" t="str">
        <f t="shared" ref="E66:E129" si="26">"Муфта оптическая"</f>
        <v>Муфта оптическая</v>
      </c>
      <c r="F66" t="str">
        <f t="shared" si="22"/>
        <v>05.05.2012</v>
      </c>
      <c r="G66" t="str">
        <f>""</f>
        <v/>
      </c>
      <c r="H66" t="str">
        <f>"М 3.1.10"</f>
        <v>М 3.1.10</v>
      </c>
      <c r="I66" t="str">
        <f t="shared" si="23"/>
        <v>МС 3.1</v>
      </c>
      <c r="J66" t="str">
        <f>""</f>
        <v/>
      </c>
      <c r="K66" t="str">
        <f t="shared" ref="K66:K129" si="27">"МТОК 96"</f>
        <v>МТОК 96</v>
      </c>
      <c r="L66" t="str">
        <f t="shared" si="24"/>
        <v>Опора</v>
      </c>
      <c r="M66" t="str">
        <f>"10.03.2012"</f>
        <v>10.03.2012</v>
      </c>
      <c r="N66" t="str">
        <f>"EmptySerial&lt;32982&gt;"</f>
        <v>EmptySerial&lt;32982&gt;</v>
      </c>
      <c r="O66" t="str">
        <f t="shared" ref="O66:O129" si="28">"Нет"</f>
        <v>Нет</v>
      </c>
      <c r="P66" t="str">
        <f>"М 3.1.10"</f>
        <v>М 3.1.10</v>
      </c>
      <c r="Q66" t="str">
        <f t="shared" ref="Q66:Q129" si="29">"Нет"</f>
        <v>Нет</v>
      </c>
      <c r="R66" t="str">
        <f t="shared" ref="R66:R129" si="30">"Основной"</f>
        <v>Основной</v>
      </c>
      <c r="S66" t="str">
        <f t="shared" ref="S66:S129" si="31">"ГУТС"</f>
        <v>ГУТС</v>
      </c>
      <c r="T66" t="str">
        <f>""</f>
        <v/>
      </c>
      <c r="U66" t="str">
        <f t="shared" ref="U66:U129" si="32">"Нет"</f>
        <v>Нет</v>
      </c>
      <c r="V66">
        <v>51.762752890000002</v>
      </c>
      <c r="W66">
        <v>36.181781890000003</v>
      </c>
      <c r="X66" t="str">
        <f>"20000004552185"</f>
        <v>20000004552185</v>
      </c>
    </row>
    <row r="67" spans="1:24" x14ac:dyDescent="0.25">
      <c r="A67">
        <v>907</v>
      </c>
      <c r="B67" t="str">
        <f t="shared" si="25"/>
        <v>Курск</v>
      </c>
      <c r="C67">
        <v>344804</v>
      </c>
      <c r="D67" t="str">
        <f>"М 3.1.2"</f>
        <v>М 3.1.2</v>
      </c>
      <c r="E67" t="str">
        <f t="shared" si="26"/>
        <v>Муфта оптическая</v>
      </c>
      <c r="F67" t="str">
        <f t="shared" si="22"/>
        <v>05.05.2012</v>
      </c>
      <c r="G67" t="str">
        <f>""</f>
        <v/>
      </c>
      <c r="H67" t="str">
        <f>"М 3.1.2"</f>
        <v>М 3.1.2</v>
      </c>
      <c r="I67" t="str">
        <f t="shared" si="23"/>
        <v>МС 3.1</v>
      </c>
      <c r="J67" t="str">
        <f>""</f>
        <v/>
      </c>
      <c r="K67" t="str">
        <f t="shared" si="27"/>
        <v>МТОК 96</v>
      </c>
      <c r="L67" t="str">
        <f t="shared" si="24"/>
        <v>Опора</v>
      </c>
      <c r="M67" t="str">
        <f>"02.03.2012"</f>
        <v>02.03.2012</v>
      </c>
      <c r="N67" t="str">
        <f>"EmptySerial&lt;32981&gt;"</f>
        <v>EmptySerial&lt;32981&gt;</v>
      </c>
      <c r="O67" t="str">
        <f t="shared" si="28"/>
        <v>Нет</v>
      </c>
      <c r="P67" t="str">
        <f>"М 3.1.2"</f>
        <v>М 3.1.2</v>
      </c>
      <c r="Q67" t="str">
        <f t="shared" si="29"/>
        <v>Нет</v>
      </c>
      <c r="R67" t="str">
        <f t="shared" si="30"/>
        <v>Основной</v>
      </c>
      <c r="S67" t="str">
        <f t="shared" si="31"/>
        <v>ГУТС</v>
      </c>
      <c r="T67" t="str">
        <f>""</f>
        <v/>
      </c>
      <c r="U67" t="str">
        <f t="shared" si="32"/>
        <v>Нет</v>
      </c>
      <c r="V67">
        <v>51.761774265754298</v>
      </c>
      <c r="W67">
        <v>36.182361245155299</v>
      </c>
      <c r="X67" t="str">
        <f>"20000004552184"</f>
        <v>20000004552184</v>
      </c>
    </row>
    <row r="68" spans="1:24" x14ac:dyDescent="0.25">
      <c r="A68">
        <v>907</v>
      </c>
      <c r="B68" t="str">
        <f t="shared" si="25"/>
        <v>Курск</v>
      </c>
      <c r="C68">
        <v>344808</v>
      </c>
      <c r="D68" t="str">
        <f>"М 3.1.1"</f>
        <v>М 3.1.1</v>
      </c>
      <c r="E68" t="str">
        <f t="shared" si="26"/>
        <v>Муфта оптическая</v>
      </c>
      <c r="F68" t="str">
        <f t="shared" si="22"/>
        <v>05.05.2012</v>
      </c>
      <c r="G68" t="str">
        <f>""</f>
        <v/>
      </c>
      <c r="H68" t="str">
        <f>"М 3.1.1"</f>
        <v>М 3.1.1</v>
      </c>
      <c r="I68" t="str">
        <f t="shared" si="23"/>
        <v>МС 3.1</v>
      </c>
      <c r="J68" t="str">
        <f>""</f>
        <v/>
      </c>
      <c r="K68" t="str">
        <f t="shared" si="27"/>
        <v>МТОК 96</v>
      </c>
      <c r="L68" t="str">
        <f t="shared" si="24"/>
        <v>Опора</v>
      </c>
      <c r="M68" t="str">
        <f>"29.02.2012"</f>
        <v>29.02.2012</v>
      </c>
      <c r="N68" t="str">
        <f>"EmptySerial&lt;32980&gt;"</f>
        <v>EmptySerial&lt;32980&gt;</v>
      </c>
      <c r="O68" t="str">
        <f t="shared" si="28"/>
        <v>Нет</v>
      </c>
      <c r="P68" t="str">
        <f>"М 3.1.1"</f>
        <v>М 3.1.1</v>
      </c>
      <c r="Q68" t="str">
        <f t="shared" si="29"/>
        <v>Нет</v>
      </c>
      <c r="R68" t="str">
        <f t="shared" si="30"/>
        <v>Основной</v>
      </c>
      <c r="S68" t="str">
        <f t="shared" si="31"/>
        <v>ГУТС</v>
      </c>
      <c r="T68" t="str">
        <f>""</f>
        <v/>
      </c>
      <c r="U68" t="str">
        <f t="shared" si="32"/>
        <v>Нет</v>
      </c>
      <c r="V68">
        <v>51.760434949999997</v>
      </c>
      <c r="W68">
        <v>36.183125670000003</v>
      </c>
      <c r="X68" t="str">
        <f>"20000004552183"</f>
        <v>20000004552183</v>
      </c>
    </row>
    <row r="69" spans="1:24" x14ac:dyDescent="0.25">
      <c r="A69">
        <v>907</v>
      </c>
      <c r="B69" t="str">
        <f t="shared" si="25"/>
        <v>Курск</v>
      </c>
      <c r="C69">
        <v>350310</v>
      </c>
      <c r="D69" t="str">
        <f>"М 1.3.15"</f>
        <v>М 1.3.15</v>
      </c>
      <c r="E69" t="str">
        <f t="shared" si="26"/>
        <v>Муфта оптическая</v>
      </c>
      <c r="F69" t="str">
        <f t="shared" ref="F69:F80" si="33">"12.05.2012"</f>
        <v>12.05.2012</v>
      </c>
      <c r="G69" t="str">
        <f>""</f>
        <v/>
      </c>
      <c r="H69" t="str">
        <f>"М 1.3.15"</f>
        <v>М 1.3.15</v>
      </c>
      <c r="I69" t="str">
        <f t="shared" ref="I69:I80" si="34">"МС 1.3"</f>
        <v>МС 1.3</v>
      </c>
      <c r="J69" t="str">
        <f>""</f>
        <v/>
      </c>
      <c r="K69" t="str">
        <f t="shared" si="27"/>
        <v>МТОК 96</v>
      </c>
      <c r="L69" t="str">
        <f t="shared" si="24"/>
        <v>Опора</v>
      </c>
      <c r="M69" t="str">
        <f>"29.11.2011"</f>
        <v>29.11.2011</v>
      </c>
      <c r="N69" t="str">
        <f>"EmptySerial&lt;33615&gt;"</f>
        <v>EmptySerial&lt;33615&gt;</v>
      </c>
      <c r="O69" t="str">
        <f t="shared" si="28"/>
        <v>Нет</v>
      </c>
      <c r="P69" t="str">
        <f>"М 1.3.15"</f>
        <v>М 1.3.15</v>
      </c>
      <c r="Q69" t="str">
        <f t="shared" si="29"/>
        <v>Нет</v>
      </c>
      <c r="R69" t="str">
        <f t="shared" si="30"/>
        <v>Основной</v>
      </c>
      <c r="S69" t="str">
        <f t="shared" si="31"/>
        <v>ГУТС</v>
      </c>
      <c r="T69" t="str">
        <f>""</f>
        <v/>
      </c>
      <c r="U69" t="str">
        <f t="shared" si="32"/>
        <v>Нет</v>
      </c>
      <c r="V69">
        <v>51.70753509</v>
      </c>
      <c r="W69">
        <v>36.156853439999999</v>
      </c>
      <c r="X69" t="str">
        <f>"20000004552618"</f>
        <v>20000004552618</v>
      </c>
    </row>
    <row r="70" spans="1:24" x14ac:dyDescent="0.25">
      <c r="A70">
        <v>907</v>
      </c>
      <c r="B70" t="str">
        <f t="shared" si="25"/>
        <v>Курск</v>
      </c>
      <c r="C70">
        <v>350314</v>
      </c>
      <c r="D70" t="str">
        <f>"М 1.3.20"</f>
        <v>М 1.3.20</v>
      </c>
      <c r="E70" t="str">
        <f t="shared" si="26"/>
        <v>Муфта оптическая</v>
      </c>
      <c r="F70" t="str">
        <f t="shared" si="33"/>
        <v>12.05.2012</v>
      </c>
      <c r="G70" t="str">
        <f>""</f>
        <v/>
      </c>
      <c r="H70" t="str">
        <f>"М 1.3.20"</f>
        <v>М 1.3.20</v>
      </c>
      <c r="I70" t="str">
        <f t="shared" si="34"/>
        <v>МС 1.3</v>
      </c>
      <c r="J70" t="str">
        <f>""</f>
        <v/>
      </c>
      <c r="K70" t="str">
        <f t="shared" si="27"/>
        <v>МТОК 96</v>
      </c>
      <c r="L70" t="str">
        <f t="shared" si="24"/>
        <v>Опора</v>
      </c>
      <c r="M70" t="str">
        <f>"30.11.2011"</f>
        <v>30.11.2011</v>
      </c>
      <c r="N70" t="str">
        <f>"EmptySerial&lt;33614&gt;"</f>
        <v>EmptySerial&lt;33614&gt;</v>
      </c>
      <c r="O70" t="str">
        <f t="shared" si="28"/>
        <v>Нет</v>
      </c>
      <c r="P70" t="str">
        <f>"М 1.3.20"</f>
        <v>М 1.3.20</v>
      </c>
      <c r="Q70" t="str">
        <f t="shared" si="29"/>
        <v>Нет</v>
      </c>
      <c r="R70" t="str">
        <f t="shared" si="30"/>
        <v>Основной</v>
      </c>
      <c r="S70" t="str">
        <f t="shared" si="31"/>
        <v>ГУТС</v>
      </c>
      <c r="T70" t="str">
        <f>""</f>
        <v/>
      </c>
      <c r="U70" t="str">
        <f t="shared" si="32"/>
        <v>Нет</v>
      </c>
      <c r="V70">
        <v>51.709304364564098</v>
      </c>
      <c r="W70">
        <v>36.147256493568399</v>
      </c>
      <c r="X70" t="str">
        <f>"20000004552617"</f>
        <v>20000004552617</v>
      </c>
    </row>
    <row r="71" spans="1:24" x14ac:dyDescent="0.25">
      <c r="A71">
        <v>907</v>
      </c>
      <c r="B71" t="str">
        <f t="shared" si="25"/>
        <v>Курск</v>
      </c>
      <c r="C71">
        <v>350322</v>
      </c>
      <c r="D71" t="str">
        <f>"М 1.3.8"</f>
        <v>М 1.3.8</v>
      </c>
      <c r="E71" t="str">
        <f t="shared" si="26"/>
        <v>Муфта оптическая</v>
      </c>
      <c r="F71" t="str">
        <f t="shared" si="33"/>
        <v>12.05.2012</v>
      </c>
      <c r="G71" t="str">
        <f>""</f>
        <v/>
      </c>
      <c r="H71" t="str">
        <f>"М 1.3.8"</f>
        <v>М 1.3.8</v>
      </c>
      <c r="I71" t="str">
        <f t="shared" si="34"/>
        <v>МС 1.3</v>
      </c>
      <c r="J71" t="str">
        <f>""</f>
        <v/>
      </c>
      <c r="K71" t="str">
        <f t="shared" si="27"/>
        <v>МТОК 96</v>
      </c>
      <c r="L71" t="str">
        <f>"Чердак"</f>
        <v>Чердак</v>
      </c>
      <c r="M71" t="str">
        <f>"27.11.2011"</f>
        <v>27.11.2011</v>
      </c>
      <c r="N71" t="str">
        <f>"EmptySerial&lt;33612&gt;"</f>
        <v>EmptySerial&lt;33612&gt;</v>
      </c>
      <c r="O71" t="str">
        <f t="shared" si="28"/>
        <v>Нет</v>
      </c>
      <c r="P71" t="str">
        <f>"М 1.3.8"</f>
        <v>М 1.3.8</v>
      </c>
      <c r="Q71" t="str">
        <f t="shared" si="29"/>
        <v>Нет</v>
      </c>
      <c r="R71" t="str">
        <f t="shared" si="30"/>
        <v>Основной</v>
      </c>
      <c r="S71" t="str">
        <f t="shared" si="31"/>
        <v>ГУТС</v>
      </c>
      <c r="T71" t="str">
        <f>""</f>
        <v/>
      </c>
      <c r="U71" t="str">
        <f t="shared" si="32"/>
        <v>Нет</v>
      </c>
      <c r="V71">
        <v>51.70350183</v>
      </c>
      <c r="W71">
        <v>36.143729389999997</v>
      </c>
      <c r="X71" t="str">
        <f>"20000004552615"</f>
        <v>20000004552615</v>
      </c>
    </row>
    <row r="72" spans="1:24" x14ac:dyDescent="0.25">
      <c r="A72">
        <v>907</v>
      </c>
      <c r="B72" t="str">
        <f t="shared" si="25"/>
        <v>Курск</v>
      </c>
      <c r="C72">
        <v>350326</v>
      </c>
      <c r="D72" t="str">
        <f>"М 1.3.6"</f>
        <v>М 1.3.6</v>
      </c>
      <c r="E72" t="str">
        <f t="shared" si="26"/>
        <v>Муфта оптическая</v>
      </c>
      <c r="F72" t="str">
        <f t="shared" si="33"/>
        <v>12.05.2012</v>
      </c>
      <c r="G72" t="str">
        <f>""</f>
        <v/>
      </c>
      <c r="H72" t="str">
        <f>"М 1.3.6"</f>
        <v>М 1.3.6</v>
      </c>
      <c r="I72" t="str">
        <f t="shared" si="34"/>
        <v>МС 1.3</v>
      </c>
      <c r="J72" t="str">
        <f>""</f>
        <v/>
      </c>
      <c r="K72" t="str">
        <f t="shared" si="27"/>
        <v>МТОК 96</v>
      </c>
      <c r="L72" t="str">
        <f>"Чердак"</f>
        <v>Чердак</v>
      </c>
      <c r="M72" t="str">
        <f>"28.11.2011"</f>
        <v>28.11.2011</v>
      </c>
      <c r="N72" t="str">
        <f>"EmptySerial&lt;33611&gt;"</f>
        <v>EmptySerial&lt;33611&gt;</v>
      </c>
      <c r="O72" t="str">
        <f t="shared" si="28"/>
        <v>Нет</v>
      </c>
      <c r="P72" t="str">
        <f>"М 1.3.6"</f>
        <v>М 1.3.6</v>
      </c>
      <c r="Q72" t="str">
        <f t="shared" si="29"/>
        <v>Нет</v>
      </c>
      <c r="R72" t="str">
        <f t="shared" si="30"/>
        <v>Основной</v>
      </c>
      <c r="S72" t="str">
        <f t="shared" si="31"/>
        <v>ГУТС</v>
      </c>
      <c r="T72" t="str">
        <f>""</f>
        <v/>
      </c>
      <c r="U72" t="str">
        <f t="shared" si="32"/>
        <v>Нет</v>
      </c>
      <c r="V72">
        <v>51.699480670838398</v>
      </c>
      <c r="W72">
        <v>36.140384674072301</v>
      </c>
      <c r="X72" t="str">
        <f>"20000004552614"</f>
        <v>20000004552614</v>
      </c>
    </row>
    <row r="73" spans="1:24" x14ac:dyDescent="0.25">
      <c r="A73">
        <v>907</v>
      </c>
      <c r="B73" t="str">
        <f t="shared" si="25"/>
        <v>Курск</v>
      </c>
      <c r="C73">
        <v>350330</v>
      </c>
      <c r="D73" t="str">
        <f>"М 1.3.5"</f>
        <v>М 1.3.5</v>
      </c>
      <c r="E73" t="str">
        <f t="shared" si="26"/>
        <v>Муфта оптическая</v>
      </c>
      <c r="F73" t="str">
        <f t="shared" si="33"/>
        <v>12.05.2012</v>
      </c>
      <c r="G73" t="str">
        <f>""</f>
        <v/>
      </c>
      <c r="H73" t="str">
        <f>"М 1.3.5"</f>
        <v>М 1.3.5</v>
      </c>
      <c r="I73" t="str">
        <f t="shared" si="34"/>
        <v>МС 1.3</v>
      </c>
      <c r="J73" t="str">
        <f>""</f>
        <v/>
      </c>
      <c r="K73" t="str">
        <f t="shared" si="27"/>
        <v>МТОК 96</v>
      </c>
      <c r="L73" t="str">
        <f>"Чердак"</f>
        <v>Чердак</v>
      </c>
      <c r="M73" t="str">
        <f>"27.11.2011"</f>
        <v>27.11.2011</v>
      </c>
      <c r="N73" t="str">
        <f>"EmptySerial&lt;33610&gt;"</f>
        <v>EmptySerial&lt;33610&gt;</v>
      </c>
      <c r="O73" t="str">
        <f t="shared" si="28"/>
        <v>Нет</v>
      </c>
      <c r="P73" t="str">
        <f>"М 1.3.5"</f>
        <v>М 1.3.5</v>
      </c>
      <c r="Q73" t="str">
        <f t="shared" si="29"/>
        <v>Нет</v>
      </c>
      <c r="R73" t="str">
        <f t="shared" si="30"/>
        <v>Основной</v>
      </c>
      <c r="S73" t="str">
        <f t="shared" si="31"/>
        <v>ГУТС</v>
      </c>
      <c r="T73" t="str">
        <f>""</f>
        <v/>
      </c>
      <c r="U73" t="str">
        <f t="shared" si="32"/>
        <v>Нет</v>
      </c>
      <c r="V73">
        <v>51.697392653308299</v>
      </c>
      <c r="W73">
        <v>36.141307353973403</v>
      </c>
      <c r="X73" t="str">
        <f>"20000004552613"</f>
        <v>20000004552613</v>
      </c>
    </row>
    <row r="74" spans="1:24" x14ac:dyDescent="0.25">
      <c r="A74">
        <v>907</v>
      </c>
      <c r="B74" t="str">
        <f t="shared" si="25"/>
        <v>Курск</v>
      </c>
      <c r="C74">
        <v>350338</v>
      </c>
      <c r="D74" t="str">
        <f>"М 1.3.3"</f>
        <v>М 1.3.3</v>
      </c>
      <c r="E74" t="str">
        <f t="shared" si="26"/>
        <v>Муфта оптическая</v>
      </c>
      <c r="F74" t="str">
        <f t="shared" si="33"/>
        <v>12.05.2012</v>
      </c>
      <c r="G74" t="str">
        <f>""</f>
        <v/>
      </c>
      <c r="H74" t="str">
        <f>"М 1.3.3"</f>
        <v>М 1.3.3</v>
      </c>
      <c r="I74" t="str">
        <f t="shared" si="34"/>
        <v>МС 1.3</v>
      </c>
      <c r="J74" t="str">
        <f>""</f>
        <v/>
      </c>
      <c r="K74" t="str">
        <f t="shared" si="27"/>
        <v>МТОК 96</v>
      </c>
      <c r="L74" t="str">
        <f>"Чердак"</f>
        <v>Чердак</v>
      </c>
      <c r="M74" t="str">
        <f>"17.11.2011"</f>
        <v>17.11.2011</v>
      </c>
      <c r="N74" t="str">
        <f>"EmptySerial&lt;33608&gt;"</f>
        <v>EmptySerial&lt;33608&gt;</v>
      </c>
      <c r="O74" t="str">
        <f t="shared" si="28"/>
        <v>Нет</v>
      </c>
      <c r="P74" t="str">
        <f>"М 1.3.3"</f>
        <v>М 1.3.3</v>
      </c>
      <c r="Q74" t="str">
        <f t="shared" si="29"/>
        <v>Нет</v>
      </c>
      <c r="R74" t="str">
        <f t="shared" si="30"/>
        <v>Основной</v>
      </c>
      <c r="S74" t="str">
        <f t="shared" si="31"/>
        <v>ГУТС</v>
      </c>
      <c r="T74" t="str">
        <f>""</f>
        <v/>
      </c>
      <c r="U74" t="str">
        <f t="shared" si="32"/>
        <v>Нет</v>
      </c>
      <c r="V74">
        <v>51.699370952570398</v>
      </c>
      <c r="W74">
        <v>36.147342324256897</v>
      </c>
      <c r="X74" t="str">
        <f>"20000004552611"</f>
        <v>20000004552611</v>
      </c>
    </row>
    <row r="75" spans="1:24" x14ac:dyDescent="0.25">
      <c r="A75">
        <v>907</v>
      </c>
      <c r="B75" t="str">
        <f t="shared" si="25"/>
        <v>Курск</v>
      </c>
      <c r="C75">
        <v>350342</v>
      </c>
      <c r="D75" t="str">
        <f>"М 1.3.2"</f>
        <v>М 1.3.2</v>
      </c>
      <c r="E75" t="str">
        <f t="shared" si="26"/>
        <v>Муфта оптическая</v>
      </c>
      <c r="F75" t="str">
        <f t="shared" si="33"/>
        <v>12.05.2012</v>
      </c>
      <c r="G75" t="str">
        <f>""</f>
        <v/>
      </c>
      <c r="H75" t="str">
        <f>"М 1.3.2"</f>
        <v>М 1.3.2</v>
      </c>
      <c r="I75" t="str">
        <f t="shared" si="34"/>
        <v>МС 1.3</v>
      </c>
      <c r="J75" t="str">
        <f>""</f>
        <v/>
      </c>
      <c r="K75" t="str">
        <f t="shared" si="27"/>
        <v>МТОК 96</v>
      </c>
      <c r="L75" t="str">
        <f>"Чердак"</f>
        <v>Чердак</v>
      </c>
      <c r="M75" t="str">
        <f>"22.11.2011"</f>
        <v>22.11.2011</v>
      </c>
      <c r="N75" t="str">
        <f>"EmptySerial&lt;33607&gt;"</f>
        <v>EmptySerial&lt;33607&gt;</v>
      </c>
      <c r="O75" t="str">
        <f t="shared" si="28"/>
        <v>Нет</v>
      </c>
      <c r="P75" t="str">
        <f>"М 1.3.2"</f>
        <v>М 1.3.2</v>
      </c>
      <c r="Q75" t="str">
        <f t="shared" si="29"/>
        <v>Нет</v>
      </c>
      <c r="R75" t="str">
        <f t="shared" si="30"/>
        <v>Основной</v>
      </c>
      <c r="S75" t="str">
        <f t="shared" si="31"/>
        <v>ГУТС</v>
      </c>
      <c r="T75" t="str">
        <f>""</f>
        <v/>
      </c>
      <c r="U75" t="str">
        <f t="shared" si="32"/>
        <v>Нет</v>
      </c>
      <c r="V75">
        <v>51.700035907691102</v>
      </c>
      <c r="W75">
        <v>36.147980690002399</v>
      </c>
      <c r="X75" t="str">
        <f>"20000004552610"</f>
        <v>20000004552610</v>
      </c>
    </row>
    <row r="76" spans="1:24" x14ac:dyDescent="0.25">
      <c r="A76">
        <v>907</v>
      </c>
      <c r="B76" t="str">
        <f t="shared" si="25"/>
        <v>Курск</v>
      </c>
      <c r="C76">
        <v>350346</v>
      </c>
      <c r="D76" t="str">
        <f>"М 1.3.9"</f>
        <v>М 1.3.9</v>
      </c>
      <c r="E76" t="str">
        <f t="shared" si="26"/>
        <v>Муфта оптическая</v>
      </c>
      <c r="F76" t="str">
        <f t="shared" si="33"/>
        <v>12.05.2012</v>
      </c>
      <c r="G76" t="str">
        <f>""</f>
        <v/>
      </c>
      <c r="H76" t="str">
        <f>"М 1.3.9"</f>
        <v>М 1.3.9</v>
      </c>
      <c r="I76" t="str">
        <f t="shared" si="34"/>
        <v>МС 1.3</v>
      </c>
      <c r="J76" t="str">
        <f>""</f>
        <v/>
      </c>
      <c r="K76" t="str">
        <f t="shared" si="27"/>
        <v>МТОК 96</v>
      </c>
      <c r="L76" t="str">
        <f>"Подъезд"</f>
        <v>Подъезд</v>
      </c>
      <c r="M76" t="str">
        <f>"19.11.2011"</f>
        <v>19.11.2011</v>
      </c>
      <c r="N76" t="str">
        <f>"EmptySerial&lt;33606&gt;"</f>
        <v>EmptySerial&lt;33606&gt;</v>
      </c>
      <c r="O76" t="str">
        <f t="shared" si="28"/>
        <v>Нет</v>
      </c>
      <c r="P76" t="str">
        <f>"М 1.3.9"</f>
        <v>М 1.3.9</v>
      </c>
      <c r="Q76" t="str">
        <f t="shared" si="29"/>
        <v>Нет</v>
      </c>
      <c r="R76" t="str">
        <f t="shared" si="30"/>
        <v>Основной</v>
      </c>
      <c r="S76" t="str">
        <f t="shared" si="31"/>
        <v>ГУТС</v>
      </c>
      <c r="T76" t="str">
        <f>""</f>
        <v/>
      </c>
      <c r="U76" t="str">
        <f t="shared" si="32"/>
        <v>Нет</v>
      </c>
      <c r="V76">
        <v>51.704377824392502</v>
      </c>
      <c r="W76">
        <v>36.1512690782547</v>
      </c>
      <c r="X76" t="str">
        <f>"20000004552609"</f>
        <v>20000004552609</v>
      </c>
    </row>
    <row r="77" spans="1:24" x14ac:dyDescent="0.25">
      <c r="A77">
        <v>907</v>
      </c>
      <c r="B77" t="str">
        <f t="shared" si="25"/>
        <v>Курск</v>
      </c>
      <c r="C77">
        <v>350354</v>
      </c>
      <c r="D77" t="str">
        <f>"М 1.3.11"</f>
        <v>М 1.3.11</v>
      </c>
      <c r="E77" t="str">
        <f t="shared" si="26"/>
        <v>Муфта оптическая</v>
      </c>
      <c r="F77" t="str">
        <f t="shared" si="33"/>
        <v>12.05.2012</v>
      </c>
      <c r="G77" t="str">
        <f>""</f>
        <v/>
      </c>
      <c r="H77" t="str">
        <f>"М 1.3.11"</f>
        <v>М 1.3.11</v>
      </c>
      <c r="I77" t="str">
        <f t="shared" si="34"/>
        <v>МС 1.3</v>
      </c>
      <c r="J77" t="str">
        <f>""</f>
        <v/>
      </c>
      <c r="K77" t="str">
        <f t="shared" si="27"/>
        <v>МТОК 96</v>
      </c>
      <c r="L77" t="str">
        <f t="shared" ref="L77:L88" si="35">"Опора"</f>
        <v>Опора</v>
      </c>
      <c r="M77" t="str">
        <f>"17.11.2011"</f>
        <v>17.11.2011</v>
      </c>
      <c r="N77" t="str">
        <f>"EmptySerial&lt;33604&gt;"</f>
        <v>EmptySerial&lt;33604&gt;</v>
      </c>
      <c r="O77" t="str">
        <f t="shared" si="28"/>
        <v>Нет</v>
      </c>
      <c r="P77" t="str">
        <f>"М 1.3.11"</f>
        <v>М 1.3.11</v>
      </c>
      <c r="Q77" t="str">
        <f t="shared" si="29"/>
        <v>Нет</v>
      </c>
      <c r="R77" t="str">
        <f t="shared" si="30"/>
        <v>Основной</v>
      </c>
      <c r="S77" t="str">
        <f t="shared" si="31"/>
        <v>ГУТС</v>
      </c>
      <c r="T77" t="str">
        <f>""</f>
        <v/>
      </c>
      <c r="U77" t="str">
        <f t="shared" si="32"/>
        <v>Нет</v>
      </c>
      <c r="V77">
        <v>51.707028559999998</v>
      </c>
      <c r="W77">
        <v>36.154848489999999</v>
      </c>
      <c r="X77" t="str">
        <f>"20000004552607"</f>
        <v>20000004552607</v>
      </c>
    </row>
    <row r="78" spans="1:24" x14ac:dyDescent="0.25">
      <c r="A78">
        <v>907</v>
      </c>
      <c r="B78" t="str">
        <f t="shared" si="25"/>
        <v>Курск</v>
      </c>
      <c r="C78">
        <v>350358</v>
      </c>
      <c r="D78" t="str">
        <f>"М 1.3.12"</f>
        <v>М 1.3.12</v>
      </c>
      <c r="E78" t="str">
        <f t="shared" si="26"/>
        <v>Муфта оптическая</v>
      </c>
      <c r="F78" t="str">
        <f t="shared" si="33"/>
        <v>12.05.2012</v>
      </c>
      <c r="G78" t="str">
        <f>""</f>
        <v/>
      </c>
      <c r="H78" t="str">
        <f>"М 1.3.12"</f>
        <v>М 1.3.12</v>
      </c>
      <c r="I78" t="str">
        <f t="shared" si="34"/>
        <v>МС 1.3</v>
      </c>
      <c r="J78" t="str">
        <f>""</f>
        <v/>
      </c>
      <c r="K78" t="str">
        <f t="shared" si="27"/>
        <v>МТОК 96</v>
      </c>
      <c r="L78" t="str">
        <f t="shared" si="35"/>
        <v>Опора</v>
      </c>
      <c r="M78" t="str">
        <f>"17.11.2011"</f>
        <v>17.11.2011</v>
      </c>
      <c r="N78" t="str">
        <f>"EmptySerial&lt;33603&gt;"</f>
        <v>EmptySerial&lt;33603&gt;</v>
      </c>
      <c r="O78" t="str">
        <f t="shared" si="28"/>
        <v>Нет</v>
      </c>
      <c r="P78" t="str">
        <f>"М 1.3.12"</f>
        <v>М 1.3.12</v>
      </c>
      <c r="Q78" t="str">
        <f t="shared" si="29"/>
        <v>Нет</v>
      </c>
      <c r="R78" t="str">
        <f t="shared" si="30"/>
        <v>Основной</v>
      </c>
      <c r="S78" t="str">
        <f t="shared" si="31"/>
        <v>ГУТС</v>
      </c>
      <c r="T78" t="str">
        <f>""</f>
        <v/>
      </c>
      <c r="U78" t="str">
        <f t="shared" si="32"/>
        <v>Нет</v>
      </c>
      <c r="V78">
        <v>51.705122491062802</v>
      </c>
      <c r="W78">
        <v>36.168880462646499</v>
      </c>
      <c r="X78" t="str">
        <f>"20000004552606"</f>
        <v>20000004552606</v>
      </c>
    </row>
    <row r="79" spans="1:24" x14ac:dyDescent="0.25">
      <c r="A79">
        <v>907</v>
      </c>
      <c r="B79" t="str">
        <f t="shared" si="25"/>
        <v>Курск</v>
      </c>
      <c r="C79">
        <v>350362</v>
      </c>
      <c r="D79" t="str">
        <f>"М 1.3.13"</f>
        <v>М 1.3.13</v>
      </c>
      <c r="E79" t="str">
        <f t="shared" si="26"/>
        <v>Муфта оптическая</v>
      </c>
      <c r="F79" t="str">
        <f t="shared" si="33"/>
        <v>12.05.2012</v>
      </c>
      <c r="G79" t="str">
        <f>""</f>
        <v/>
      </c>
      <c r="H79" t="str">
        <f>"М 1.3.13"</f>
        <v>М 1.3.13</v>
      </c>
      <c r="I79" t="str">
        <f t="shared" si="34"/>
        <v>МС 1.3</v>
      </c>
      <c r="J79" t="str">
        <f>""</f>
        <v/>
      </c>
      <c r="K79" t="str">
        <f t="shared" si="27"/>
        <v>МТОК 96</v>
      </c>
      <c r="L79" t="str">
        <f t="shared" si="35"/>
        <v>Опора</v>
      </c>
      <c r="M79" t="str">
        <f>"10.11.2011"</f>
        <v>10.11.2011</v>
      </c>
      <c r="N79" t="str">
        <f>"EmptySerial&lt;33602&gt;"</f>
        <v>EmptySerial&lt;33602&gt;</v>
      </c>
      <c r="O79" t="str">
        <f t="shared" si="28"/>
        <v>Нет</v>
      </c>
      <c r="P79" t="str">
        <f>"М 1.3.13"</f>
        <v>М 1.3.13</v>
      </c>
      <c r="Q79" t="str">
        <f t="shared" si="29"/>
        <v>Нет</v>
      </c>
      <c r="R79" t="str">
        <f t="shared" si="30"/>
        <v>Основной</v>
      </c>
      <c r="S79" t="str">
        <f t="shared" si="31"/>
        <v>ГУТС</v>
      </c>
      <c r="T79" t="str">
        <f>""</f>
        <v/>
      </c>
      <c r="U79" t="str">
        <f t="shared" si="32"/>
        <v>Нет</v>
      </c>
      <c r="V79">
        <v>51.7148053660868</v>
      </c>
      <c r="W79">
        <v>36.167448163032503</v>
      </c>
      <c r="X79" t="str">
        <f>"20000004552605"</f>
        <v>20000004552605</v>
      </c>
    </row>
    <row r="80" spans="1:24" x14ac:dyDescent="0.25">
      <c r="A80">
        <v>907</v>
      </c>
      <c r="B80" t="str">
        <f t="shared" si="25"/>
        <v>Курск</v>
      </c>
      <c r="C80">
        <v>350366</v>
      </c>
      <c r="D80" t="str">
        <f>"М 1.3.14"</f>
        <v>М 1.3.14</v>
      </c>
      <c r="E80" t="str">
        <f t="shared" si="26"/>
        <v>Муфта оптическая</v>
      </c>
      <c r="F80" t="str">
        <f t="shared" si="33"/>
        <v>12.05.2012</v>
      </c>
      <c r="G80" t="str">
        <f>""</f>
        <v/>
      </c>
      <c r="H80" t="str">
        <f>"М 1.3.14"</f>
        <v>М 1.3.14</v>
      </c>
      <c r="I80" t="str">
        <f t="shared" si="34"/>
        <v>МС 1.3</v>
      </c>
      <c r="J80" t="str">
        <f>""</f>
        <v/>
      </c>
      <c r="K80" t="str">
        <f t="shared" si="27"/>
        <v>МТОК 96</v>
      </c>
      <c r="L80" t="str">
        <f t="shared" si="35"/>
        <v>Опора</v>
      </c>
      <c r="M80" t="str">
        <f>"04.11.2011"</f>
        <v>04.11.2011</v>
      </c>
      <c r="N80" t="str">
        <f>"EmptySerial&lt;33601&gt;"</f>
        <v>EmptySerial&lt;33601&gt;</v>
      </c>
      <c r="O80" t="str">
        <f t="shared" si="28"/>
        <v>Нет</v>
      </c>
      <c r="P80" t="str">
        <f>"М 1.3.14"</f>
        <v>М 1.3.14</v>
      </c>
      <c r="Q80" t="str">
        <f t="shared" si="29"/>
        <v>Нет</v>
      </c>
      <c r="R80" t="str">
        <f t="shared" si="30"/>
        <v>Основной</v>
      </c>
      <c r="S80" t="str">
        <f t="shared" si="31"/>
        <v>ГУТС</v>
      </c>
      <c r="T80" t="str">
        <f>""</f>
        <v/>
      </c>
      <c r="U80" t="str">
        <f t="shared" si="32"/>
        <v>Нет</v>
      </c>
      <c r="V80">
        <v>51.721202970310998</v>
      </c>
      <c r="W80">
        <v>36.186148524284398</v>
      </c>
      <c r="X80" t="str">
        <f>"20000004552604"</f>
        <v>20000004552604</v>
      </c>
    </row>
    <row r="81" spans="1:24" x14ac:dyDescent="0.25">
      <c r="A81">
        <v>907</v>
      </c>
      <c r="B81" t="str">
        <f t="shared" si="25"/>
        <v>Курск</v>
      </c>
      <c r="C81">
        <v>357659</v>
      </c>
      <c r="D81" t="str">
        <f>"М 1.5.7"</f>
        <v>М 1.5.7</v>
      </c>
      <c r="E81" t="str">
        <f t="shared" si="26"/>
        <v>Муфта оптическая</v>
      </c>
      <c r="F81" t="str">
        <f t="shared" ref="F81:F86" si="36">"24.05.2012"</f>
        <v>24.05.2012</v>
      </c>
      <c r="G81" t="str">
        <f>""</f>
        <v/>
      </c>
      <c r="H81" t="str">
        <f>"М 1.5.7"</f>
        <v>М 1.5.7</v>
      </c>
      <c r="I81" t="str">
        <f t="shared" ref="I81:I86" si="37">"МС 1.5"</f>
        <v>МС 1.5</v>
      </c>
      <c r="J81" t="str">
        <f>""</f>
        <v/>
      </c>
      <c r="K81" t="str">
        <f t="shared" si="27"/>
        <v>МТОК 96</v>
      </c>
      <c r="L81" t="str">
        <f t="shared" si="35"/>
        <v>Опора</v>
      </c>
      <c r="M81" t="str">
        <f>"21.03.2012"</f>
        <v>21.03.2012</v>
      </c>
      <c r="N81" t="str">
        <f>"EmptySerial&lt;34331&gt;"</f>
        <v>EmptySerial&lt;34331&gt;</v>
      </c>
      <c r="O81" t="str">
        <f t="shared" si="28"/>
        <v>Нет</v>
      </c>
      <c r="P81" t="str">
        <f>"М 1.5.7"</f>
        <v>М 1.5.7</v>
      </c>
      <c r="Q81" t="str">
        <f t="shared" si="29"/>
        <v>Нет</v>
      </c>
      <c r="R81" t="str">
        <f t="shared" si="30"/>
        <v>Основной</v>
      </c>
      <c r="S81" t="str">
        <f t="shared" si="31"/>
        <v>ГУТС</v>
      </c>
      <c r="T81" t="str">
        <f>""</f>
        <v/>
      </c>
      <c r="U81" t="str">
        <f t="shared" si="32"/>
        <v>Нет</v>
      </c>
      <c r="V81">
        <v>51.726737409999998</v>
      </c>
      <c r="W81">
        <v>36.181799329999997</v>
      </c>
      <c r="X81" t="str">
        <f>"20000004553172"</f>
        <v>20000004553172</v>
      </c>
    </row>
    <row r="82" spans="1:24" x14ac:dyDescent="0.25">
      <c r="A82">
        <v>907</v>
      </c>
      <c r="B82" t="str">
        <f t="shared" si="25"/>
        <v>Курск</v>
      </c>
      <c r="C82">
        <v>357663</v>
      </c>
      <c r="D82" t="str">
        <f>"М 1.5.4"</f>
        <v>М 1.5.4</v>
      </c>
      <c r="E82" t="str">
        <f t="shared" si="26"/>
        <v>Муфта оптическая</v>
      </c>
      <c r="F82" t="str">
        <f t="shared" si="36"/>
        <v>24.05.2012</v>
      </c>
      <c r="G82" t="str">
        <f>""</f>
        <v/>
      </c>
      <c r="H82" t="str">
        <f>"М 1.5.4"</f>
        <v>М 1.5.4</v>
      </c>
      <c r="I82" t="str">
        <f t="shared" si="37"/>
        <v>МС 1.5</v>
      </c>
      <c r="J82" t="str">
        <f>""</f>
        <v/>
      </c>
      <c r="K82" t="str">
        <f t="shared" si="27"/>
        <v>МТОК 96</v>
      </c>
      <c r="L82" t="str">
        <f t="shared" si="35"/>
        <v>Опора</v>
      </c>
      <c r="M82" t="str">
        <f>"21.03.2012"</f>
        <v>21.03.2012</v>
      </c>
      <c r="N82" t="str">
        <f>"EmptySerial&lt;34330&gt;"</f>
        <v>EmptySerial&lt;34330&gt;</v>
      </c>
      <c r="O82" t="str">
        <f t="shared" si="28"/>
        <v>Нет</v>
      </c>
      <c r="P82" t="str">
        <f>"М 1.5.4"</f>
        <v>М 1.5.4</v>
      </c>
      <c r="Q82" t="str">
        <f t="shared" si="29"/>
        <v>Нет</v>
      </c>
      <c r="R82" t="str">
        <f t="shared" si="30"/>
        <v>Основной</v>
      </c>
      <c r="S82" t="str">
        <f t="shared" si="31"/>
        <v>ГУТС</v>
      </c>
      <c r="T82" t="str">
        <f>""</f>
        <v/>
      </c>
      <c r="U82" t="str">
        <f t="shared" si="32"/>
        <v>Нет</v>
      </c>
      <c r="V82">
        <v>51.728195470000003</v>
      </c>
      <c r="W82">
        <v>36.180728119999998</v>
      </c>
      <c r="X82" t="str">
        <f>"20000004553171"</f>
        <v>20000004553171</v>
      </c>
    </row>
    <row r="83" spans="1:24" x14ac:dyDescent="0.25">
      <c r="A83">
        <v>907</v>
      </c>
      <c r="B83" t="str">
        <f t="shared" si="25"/>
        <v>Курск</v>
      </c>
      <c r="C83">
        <v>357667</v>
      </c>
      <c r="D83" t="str">
        <f>"М 1.5.6"</f>
        <v>М 1.5.6</v>
      </c>
      <c r="E83" t="str">
        <f t="shared" si="26"/>
        <v>Муфта оптическая</v>
      </c>
      <c r="F83" t="str">
        <f t="shared" si="36"/>
        <v>24.05.2012</v>
      </c>
      <c r="G83" t="str">
        <f>""</f>
        <v/>
      </c>
      <c r="H83" t="str">
        <f>"М 1.5.6"</f>
        <v>М 1.5.6</v>
      </c>
      <c r="I83" t="str">
        <f t="shared" si="37"/>
        <v>МС 1.5</v>
      </c>
      <c r="J83" t="str">
        <f>""</f>
        <v/>
      </c>
      <c r="K83" t="str">
        <f t="shared" si="27"/>
        <v>МТОК 96</v>
      </c>
      <c r="L83" t="str">
        <f t="shared" si="35"/>
        <v>Опора</v>
      </c>
      <c r="M83" t="str">
        <f>"21.03.2012"</f>
        <v>21.03.2012</v>
      </c>
      <c r="N83" t="str">
        <f>"EmptySerial&lt;34329&gt;"</f>
        <v>EmptySerial&lt;34329&gt;</v>
      </c>
      <c r="O83" t="str">
        <f t="shared" si="28"/>
        <v>Нет</v>
      </c>
      <c r="P83" t="str">
        <f>"М 1.5.6"</f>
        <v>М 1.5.6</v>
      </c>
      <c r="Q83" t="str">
        <f t="shared" si="29"/>
        <v>Нет</v>
      </c>
      <c r="R83" t="str">
        <f t="shared" si="30"/>
        <v>Основной</v>
      </c>
      <c r="S83" t="str">
        <f t="shared" si="31"/>
        <v>ГУТС</v>
      </c>
      <c r="T83" t="str">
        <f>""</f>
        <v/>
      </c>
      <c r="U83" t="str">
        <f t="shared" si="32"/>
        <v>Нет</v>
      </c>
      <c r="V83">
        <v>51.72952806</v>
      </c>
      <c r="W83">
        <v>36.175739540000002</v>
      </c>
      <c r="X83" t="str">
        <f>"20000004553170"</f>
        <v>20000004553170</v>
      </c>
    </row>
    <row r="84" spans="1:24" x14ac:dyDescent="0.25">
      <c r="A84">
        <v>907</v>
      </c>
      <c r="B84" t="str">
        <f t="shared" si="25"/>
        <v>Курск</v>
      </c>
      <c r="C84">
        <v>357675</v>
      </c>
      <c r="D84" t="str">
        <f>"М 1.5.3"</f>
        <v>М 1.5.3</v>
      </c>
      <c r="E84" t="str">
        <f t="shared" si="26"/>
        <v>Муфта оптическая</v>
      </c>
      <c r="F84" t="str">
        <f t="shared" si="36"/>
        <v>24.05.2012</v>
      </c>
      <c r="G84" t="str">
        <f>""</f>
        <v/>
      </c>
      <c r="H84" t="str">
        <f>"М 1.5.3"</f>
        <v>М 1.5.3</v>
      </c>
      <c r="I84" t="str">
        <f t="shared" si="37"/>
        <v>МС 1.5</v>
      </c>
      <c r="J84" t="str">
        <f>""</f>
        <v/>
      </c>
      <c r="K84" t="str">
        <f t="shared" si="27"/>
        <v>МТОК 96</v>
      </c>
      <c r="L84" t="str">
        <f t="shared" si="35"/>
        <v>Опора</v>
      </c>
      <c r="M84" t="str">
        <f>"14.03.2012"</f>
        <v>14.03.2012</v>
      </c>
      <c r="N84" t="str">
        <f>"EmptySerial&lt;34327&gt;"</f>
        <v>EmptySerial&lt;34327&gt;</v>
      </c>
      <c r="O84" t="str">
        <f t="shared" si="28"/>
        <v>Нет</v>
      </c>
      <c r="P84" t="str">
        <f>"М 1.5.3"</f>
        <v>М 1.5.3</v>
      </c>
      <c r="Q84" t="str">
        <f t="shared" si="29"/>
        <v>Нет</v>
      </c>
      <c r="R84" t="str">
        <f t="shared" si="30"/>
        <v>Основной</v>
      </c>
      <c r="S84" t="str">
        <f t="shared" si="31"/>
        <v>ГУТС</v>
      </c>
      <c r="T84" t="str">
        <f>""</f>
        <v/>
      </c>
      <c r="U84" t="str">
        <f t="shared" si="32"/>
        <v>Нет</v>
      </c>
      <c r="V84">
        <v>51.726438979999998</v>
      </c>
      <c r="W84">
        <v>36.178681920000002</v>
      </c>
      <c r="X84" t="str">
        <f>"20000004553168"</f>
        <v>20000004553168</v>
      </c>
    </row>
    <row r="85" spans="1:24" x14ac:dyDescent="0.25">
      <c r="A85">
        <v>907</v>
      </c>
      <c r="B85" t="str">
        <f t="shared" si="25"/>
        <v>Курск</v>
      </c>
      <c r="C85">
        <v>357679</v>
      </c>
      <c r="D85" t="str">
        <f>"М 1.5.2"</f>
        <v>М 1.5.2</v>
      </c>
      <c r="E85" t="str">
        <f t="shared" si="26"/>
        <v>Муфта оптическая</v>
      </c>
      <c r="F85" t="str">
        <f t="shared" si="36"/>
        <v>24.05.2012</v>
      </c>
      <c r="G85" t="str">
        <f>""</f>
        <v/>
      </c>
      <c r="H85" t="str">
        <f>"М 1.5.2"</f>
        <v>М 1.5.2</v>
      </c>
      <c r="I85" t="str">
        <f t="shared" si="37"/>
        <v>МС 1.5</v>
      </c>
      <c r="J85" t="str">
        <f>""</f>
        <v/>
      </c>
      <c r="K85" t="str">
        <f t="shared" si="27"/>
        <v>МТОК 96</v>
      </c>
      <c r="L85" t="str">
        <f t="shared" si="35"/>
        <v>Опора</v>
      </c>
      <c r="M85" t="str">
        <f>"17.03.2012"</f>
        <v>17.03.2012</v>
      </c>
      <c r="N85" t="str">
        <f>"EmptySerial&lt;34326&gt;"</f>
        <v>EmptySerial&lt;34326&gt;</v>
      </c>
      <c r="O85" t="str">
        <f t="shared" si="28"/>
        <v>Нет</v>
      </c>
      <c r="P85" t="str">
        <f>"М 1.5.2"</f>
        <v>М 1.5.2</v>
      </c>
      <c r="Q85" t="str">
        <f t="shared" si="29"/>
        <v>Нет</v>
      </c>
      <c r="R85" t="str">
        <f t="shared" si="30"/>
        <v>Основной</v>
      </c>
      <c r="S85" t="str">
        <f t="shared" si="31"/>
        <v>ГУТС</v>
      </c>
      <c r="T85" t="str">
        <f>""</f>
        <v/>
      </c>
      <c r="U85" t="str">
        <f t="shared" si="32"/>
        <v>Нет</v>
      </c>
      <c r="V85">
        <v>51.724123964951801</v>
      </c>
      <c r="W85">
        <v>36.180837750434897</v>
      </c>
      <c r="X85" t="str">
        <f>"20000004553167"</f>
        <v>20000004553167</v>
      </c>
    </row>
    <row r="86" spans="1:24" x14ac:dyDescent="0.25">
      <c r="A86">
        <v>907</v>
      </c>
      <c r="B86" t="str">
        <f t="shared" si="25"/>
        <v>Курск</v>
      </c>
      <c r="C86">
        <v>357683</v>
      </c>
      <c r="D86" t="str">
        <f>"М 1.5.1"</f>
        <v>М 1.5.1</v>
      </c>
      <c r="E86" t="str">
        <f t="shared" si="26"/>
        <v>Муфта оптическая</v>
      </c>
      <c r="F86" t="str">
        <f t="shared" si="36"/>
        <v>24.05.2012</v>
      </c>
      <c r="G86" t="str">
        <f>""</f>
        <v/>
      </c>
      <c r="H86" t="str">
        <f>"М 1.5.1"</f>
        <v>М 1.5.1</v>
      </c>
      <c r="I86" t="str">
        <f t="shared" si="37"/>
        <v>МС 1.5</v>
      </c>
      <c r="J86" t="str">
        <f>""</f>
        <v/>
      </c>
      <c r="K86" t="str">
        <f t="shared" si="27"/>
        <v>МТОК 96</v>
      </c>
      <c r="L86" t="str">
        <f t="shared" si="35"/>
        <v>Опора</v>
      </c>
      <c r="M86" t="str">
        <f>"08.03.2012"</f>
        <v>08.03.2012</v>
      </c>
      <c r="N86" t="str">
        <f>"EmptySerial&lt;34325&gt;"</f>
        <v>EmptySerial&lt;34325&gt;</v>
      </c>
      <c r="O86" t="str">
        <f t="shared" si="28"/>
        <v>Нет</v>
      </c>
      <c r="P86" t="str">
        <f>"М 1.5.1"</f>
        <v>М 1.5.1</v>
      </c>
      <c r="Q86" t="str">
        <f t="shared" si="29"/>
        <v>Нет</v>
      </c>
      <c r="R86" t="str">
        <f t="shared" si="30"/>
        <v>Основной</v>
      </c>
      <c r="S86" t="str">
        <f t="shared" si="31"/>
        <v>ГУТС</v>
      </c>
      <c r="T86" t="str">
        <f>""</f>
        <v/>
      </c>
      <c r="U86" t="str">
        <f t="shared" si="32"/>
        <v>Нет</v>
      </c>
      <c r="V86">
        <v>51.720480170000002</v>
      </c>
      <c r="W86">
        <v>36.181320550000002</v>
      </c>
      <c r="X86" t="str">
        <f>"20000004553166"</f>
        <v>20000004553166</v>
      </c>
    </row>
    <row r="87" spans="1:24" x14ac:dyDescent="0.25">
      <c r="A87">
        <v>907</v>
      </c>
      <c r="B87" t="str">
        <f t="shared" si="25"/>
        <v>Курск</v>
      </c>
      <c r="C87">
        <v>363633</v>
      </c>
      <c r="D87" t="str">
        <f>"Т4.5"</f>
        <v>Т4.5</v>
      </c>
      <c r="E87" t="str">
        <f t="shared" si="26"/>
        <v>Муфта оптическая</v>
      </c>
      <c r="F87" t="str">
        <f>"07.06.2012"</f>
        <v>07.06.2012</v>
      </c>
      <c r="G87" t="str">
        <f>""</f>
        <v/>
      </c>
      <c r="H87" t="str">
        <f>"Т4.5"</f>
        <v>Т4.5</v>
      </c>
      <c r="I87" t="str">
        <f>"ТС"</f>
        <v>ТС</v>
      </c>
      <c r="J87" t="str">
        <f>""</f>
        <v/>
      </c>
      <c r="K87" t="str">
        <f t="shared" si="27"/>
        <v>МТОК 96</v>
      </c>
      <c r="L87" t="str">
        <f t="shared" si="35"/>
        <v>Опора</v>
      </c>
      <c r="M87" t="str">
        <f>"25.05.2012"</f>
        <v>25.05.2012</v>
      </c>
      <c r="N87" t="str">
        <f>"EmptySerial&lt;34587&gt;"</f>
        <v>EmptySerial&lt;34587&gt;</v>
      </c>
      <c r="O87" t="str">
        <f t="shared" si="28"/>
        <v>Нет</v>
      </c>
      <c r="P87" t="str">
        <f>"Т4.5"</f>
        <v>Т4.5</v>
      </c>
      <c r="Q87" t="str">
        <f t="shared" si="29"/>
        <v>Нет</v>
      </c>
      <c r="R87" t="str">
        <f t="shared" si="30"/>
        <v>Основной</v>
      </c>
      <c r="S87" t="str">
        <f t="shared" si="31"/>
        <v>ГУТС</v>
      </c>
      <c r="T87" t="str">
        <f>""</f>
        <v/>
      </c>
      <c r="U87" t="str">
        <f t="shared" si="32"/>
        <v>Нет</v>
      </c>
      <c r="V87">
        <v>51.677397630000002</v>
      </c>
      <c r="W87">
        <v>36.146324759999999</v>
      </c>
      <c r="X87" t="str">
        <f>"20000004553251"</f>
        <v>20000004553251</v>
      </c>
    </row>
    <row r="88" spans="1:24" x14ac:dyDescent="0.25">
      <c r="A88">
        <v>907</v>
      </c>
      <c r="B88" t="str">
        <f t="shared" si="25"/>
        <v>Курск</v>
      </c>
      <c r="C88">
        <v>363649</v>
      </c>
      <c r="D88" t="str">
        <f>"Т 4.1"</f>
        <v>Т 4.1</v>
      </c>
      <c r="E88" t="str">
        <f t="shared" si="26"/>
        <v>Муфта оптическая</v>
      </c>
      <c r="F88" t="str">
        <f>"07.06.2012"</f>
        <v>07.06.2012</v>
      </c>
      <c r="G88" t="str">
        <f>""</f>
        <v/>
      </c>
      <c r="H88" t="str">
        <f>"Т 4.1"</f>
        <v>Т 4.1</v>
      </c>
      <c r="I88" t="str">
        <f>"ТС"</f>
        <v>ТС</v>
      </c>
      <c r="J88" t="str">
        <f>""</f>
        <v/>
      </c>
      <c r="K88" t="str">
        <f t="shared" si="27"/>
        <v>МТОК 96</v>
      </c>
      <c r="L88" t="str">
        <f t="shared" si="35"/>
        <v>Опора</v>
      </c>
      <c r="M88" t="str">
        <f>"18.04.2012"</f>
        <v>18.04.2012</v>
      </c>
      <c r="N88" t="str">
        <f>"EmptySerial&lt;34583&gt;"</f>
        <v>EmptySerial&lt;34583&gt;</v>
      </c>
      <c r="O88" t="str">
        <f t="shared" si="28"/>
        <v>Нет</v>
      </c>
      <c r="P88" t="str">
        <f>"Т 4.1"</f>
        <v>Т 4.1</v>
      </c>
      <c r="Q88" t="str">
        <f t="shared" si="29"/>
        <v>Нет</v>
      </c>
      <c r="R88" t="str">
        <f t="shared" si="30"/>
        <v>Основной</v>
      </c>
      <c r="S88" t="str">
        <f t="shared" si="31"/>
        <v>ГУТС</v>
      </c>
      <c r="T88" t="str">
        <f>""</f>
        <v/>
      </c>
      <c r="U88" t="str">
        <f t="shared" si="32"/>
        <v>Нет</v>
      </c>
      <c r="V88">
        <v>51.723509209290199</v>
      </c>
      <c r="W88">
        <v>36.182758212089503</v>
      </c>
      <c r="X88" t="str">
        <f>"20000004553247"</f>
        <v>20000004553247</v>
      </c>
    </row>
    <row r="89" spans="1:24" x14ac:dyDescent="0.25">
      <c r="A89">
        <v>907</v>
      </c>
      <c r="B89" t="str">
        <f t="shared" si="25"/>
        <v>Курск</v>
      </c>
      <c r="C89">
        <v>367098</v>
      </c>
      <c r="D89" t="str">
        <f>"М 1.4.4"</f>
        <v>М 1.4.4</v>
      </c>
      <c r="E89" t="str">
        <f t="shared" si="26"/>
        <v>Муфта оптическая</v>
      </c>
      <c r="F89" t="str">
        <f t="shared" ref="F89:F103" si="38">"18.06.2012"</f>
        <v>18.06.2012</v>
      </c>
      <c r="G89" t="str">
        <f>""</f>
        <v/>
      </c>
      <c r="H89" t="str">
        <f>"М 1.4.4"</f>
        <v>М 1.4.4</v>
      </c>
      <c r="I89" t="str">
        <f t="shared" ref="I89:I94" si="39">"МС 1.4"</f>
        <v>МС 1.4</v>
      </c>
      <c r="J89" t="str">
        <f>""</f>
        <v/>
      </c>
      <c r="K89" t="str">
        <f t="shared" si="27"/>
        <v>МТОК 96</v>
      </c>
      <c r="L89" t="str">
        <f>"Крыша"</f>
        <v>Крыша</v>
      </c>
      <c r="M89" t="str">
        <f>"16.05.2012"</f>
        <v>16.05.2012</v>
      </c>
      <c r="N89" t="str">
        <f>"EmptySerial&lt;34752&gt;"</f>
        <v>EmptySerial&lt;34752&gt;</v>
      </c>
      <c r="O89" t="str">
        <f t="shared" si="28"/>
        <v>Нет</v>
      </c>
      <c r="P89" t="str">
        <f>"М 1.4.4"</f>
        <v>М 1.4.4</v>
      </c>
      <c r="Q89" t="str">
        <f t="shared" si="29"/>
        <v>Нет</v>
      </c>
      <c r="R89" t="str">
        <f t="shared" si="30"/>
        <v>Основной</v>
      </c>
      <c r="S89" t="str">
        <f t="shared" si="31"/>
        <v>ГУТС</v>
      </c>
      <c r="T89" t="str">
        <f>""</f>
        <v/>
      </c>
      <c r="U89" t="str">
        <f t="shared" si="32"/>
        <v>Нет</v>
      </c>
      <c r="V89">
        <v>51.708779158436002</v>
      </c>
      <c r="W89">
        <v>36.1408513784409</v>
      </c>
      <c r="X89" t="str">
        <f>"20000004553347"</f>
        <v>20000004553347</v>
      </c>
    </row>
    <row r="90" spans="1:24" x14ac:dyDescent="0.25">
      <c r="A90">
        <v>907</v>
      </c>
      <c r="B90" t="str">
        <f t="shared" si="25"/>
        <v>Курск</v>
      </c>
      <c r="C90">
        <v>367102</v>
      </c>
      <c r="D90" t="str">
        <f>"М 1.4.7"</f>
        <v>М 1.4.7</v>
      </c>
      <c r="E90" t="str">
        <f t="shared" si="26"/>
        <v>Муфта оптическая</v>
      </c>
      <c r="F90" t="str">
        <f t="shared" si="38"/>
        <v>18.06.2012</v>
      </c>
      <c r="G90" t="str">
        <f>""</f>
        <v/>
      </c>
      <c r="H90" t="str">
        <f>"М 1.4.7"</f>
        <v>М 1.4.7</v>
      </c>
      <c r="I90" t="str">
        <f t="shared" si="39"/>
        <v>МС 1.4</v>
      </c>
      <c r="J90" t="str">
        <f>""</f>
        <v/>
      </c>
      <c r="K90" t="str">
        <f t="shared" si="27"/>
        <v>МТОК 96</v>
      </c>
      <c r="L90" t="str">
        <f>"Опора"</f>
        <v>Опора</v>
      </c>
      <c r="M90" t="str">
        <f>"28.05.2012"</f>
        <v>28.05.2012</v>
      </c>
      <c r="N90" t="str">
        <f>"EmptySerial&lt;34751&gt;"</f>
        <v>EmptySerial&lt;34751&gt;</v>
      </c>
      <c r="O90" t="str">
        <f t="shared" si="28"/>
        <v>Нет</v>
      </c>
      <c r="P90" t="str">
        <f>"М 1.4.7"</f>
        <v>М 1.4.7</v>
      </c>
      <c r="Q90" t="str">
        <f t="shared" si="29"/>
        <v>Нет</v>
      </c>
      <c r="R90" t="str">
        <f t="shared" si="30"/>
        <v>Основной</v>
      </c>
      <c r="S90" t="str">
        <f t="shared" si="31"/>
        <v>ГУТС</v>
      </c>
      <c r="T90" t="str">
        <f>""</f>
        <v/>
      </c>
      <c r="U90" t="str">
        <f t="shared" si="32"/>
        <v>Нет</v>
      </c>
      <c r="V90">
        <v>51.70573375</v>
      </c>
      <c r="W90">
        <v>36.144515609999999</v>
      </c>
      <c r="X90" t="str">
        <f>"20000004553346"</f>
        <v>20000004553346</v>
      </c>
    </row>
    <row r="91" spans="1:24" x14ac:dyDescent="0.25">
      <c r="A91">
        <v>907</v>
      </c>
      <c r="B91" t="str">
        <f t="shared" si="25"/>
        <v>Курск</v>
      </c>
      <c r="C91">
        <v>367110</v>
      </c>
      <c r="D91" t="str">
        <f>"М 1.4.2"</f>
        <v>М 1.4.2</v>
      </c>
      <c r="E91" t="str">
        <f t="shared" si="26"/>
        <v>Муфта оптическая</v>
      </c>
      <c r="F91" t="str">
        <f t="shared" si="38"/>
        <v>18.06.2012</v>
      </c>
      <c r="G91" t="str">
        <f>""</f>
        <v/>
      </c>
      <c r="H91" t="str">
        <f>"М 1.4.2"</f>
        <v>М 1.4.2</v>
      </c>
      <c r="I91" t="str">
        <f t="shared" si="39"/>
        <v>МС 1.4</v>
      </c>
      <c r="J91" t="str">
        <f>""</f>
        <v/>
      </c>
      <c r="K91" t="str">
        <f t="shared" si="27"/>
        <v>МТОК 96</v>
      </c>
      <c r="L91" t="str">
        <f>"Крыша"</f>
        <v>Крыша</v>
      </c>
      <c r="M91" t="str">
        <f>"23.05.2012"</f>
        <v>23.05.2012</v>
      </c>
      <c r="N91" t="str">
        <f>"EmptySerial&lt;34749&gt;"</f>
        <v>EmptySerial&lt;34749&gt;</v>
      </c>
      <c r="O91" t="str">
        <f t="shared" si="28"/>
        <v>Нет</v>
      </c>
      <c r="P91" t="str">
        <f>"М 1.4.2"</f>
        <v>М 1.4.2</v>
      </c>
      <c r="Q91" t="str">
        <f t="shared" si="29"/>
        <v>Нет</v>
      </c>
      <c r="R91" t="str">
        <f t="shared" si="30"/>
        <v>Основной</v>
      </c>
      <c r="S91" t="str">
        <f t="shared" si="31"/>
        <v>ГУТС</v>
      </c>
      <c r="T91" t="str">
        <f>""</f>
        <v/>
      </c>
      <c r="U91" t="str">
        <f t="shared" si="32"/>
        <v>Нет</v>
      </c>
      <c r="V91">
        <v>51.706382412560302</v>
      </c>
      <c r="W91">
        <v>36.144472360610997</v>
      </c>
      <c r="X91" t="str">
        <f>"20000004553344"</f>
        <v>20000004553344</v>
      </c>
    </row>
    <row r="92" spans="1:24" x14ac:dyDescent="0.25">
      <c r="A92">
        <v>907</v>
      </c>
      <c r="B92" t="str">
        <f t="shared" si="25"/>
        <v>Курск</v>
      </c>
      <c r="C92">
        <v>367114</v>
      </c>
      <c r="D92" t="str">
        <f>"М 1.4.3"</f>
        <v>М 1.4.3</v>
      </c>
      <c r="E92" t="str">
        <f t="shared" si="26"/>
        <v>Муфта оптическая</v>
      </c>
      <c r="F92" t="str">
        <f t="shared" si="38"/>
        <v>18.06.2012</v>
      </c>
      <c r="G92" t="str">
        <f>""</f>
        <v/>
      </c>
      <c r="H92" t="str">
        <f>"М 1.4.3"</f>
        <v>М 1.4.3</v>
      </c>
      <c r="I92" t="str">
        <f t="shared" si="39"/>
        <v>МС 1.4</v>
      </c>
      <c r="J92" t="str">
        <f>""</f>
        <v/>
      </c>
      <c r="K92" t="str">
        <f t="shared" si="27"/>
        <v>МТОК 96</v>
      </c>
      <c r="L92" t="str">
        <f>"Крыша"</f>
        <v>Крыша</v>
      </c>
      <c r="M92" t="str">
        <f>"19.05.2012"</f>
        <v>19.05.2012</v>
      </c>
      <c r="N92" t="str">
        <f>"EmptySerial&lt;34748&gt;"</f>
        <v>EmptySerial&lt;34748&gt;</v>
      </c>
      <c r="O92" t="str">
        <f t="shared" si="28"/>
        <v>Нет</v>
      </c>
      <c r="P92" t="str">
        <f>"М 1.4.3"</f>
        <v>М 1.4.3</v>
      </c>
      <c r="Q92" t="str">
        <f t="shared" si="29"/>
        <v>Нет</v>
      </c>
      <c r="R92" t="str">
        <f t="shared" si="30"/>
        <v>Основной</v>
      </c>
      <c r="S92" t="str">
        <f t="shared" si="31"/>
        <v>ГУТС</v>
      </c>
      <c r="T92" t="str">
        <f>""</f>
        <v/>
      </c>
      <c r="U92" t="str">
        <f t="shared" si="32"/>
        <v>Нет</v>
      </c>
      <c r="V92">
        <v>51.707363065958297</v>
      </c>
      <c r="W92">
        <v>36.142289042472797</v>
      </c>
      <c r="X92" t="str">
        <f>"20000004553343"</f>
        <v>20000004553343</v>
      </c>
    </row>
    <row r="93" spans="1:24" x14ac:dyDescent="0.25">
      <c r="A93">
        <v>907</v>
      </c>
      <c r="B93" t="str">
        <f t="shared" si="25"/>
        <v>Курск</v>
      </c>
      <c r="C93">
        <v>367118</v>
      </c>
      <c r="D93" t="str">
        <f>"М 1.4.5"</f>
        <v>М 1.4.5</v>
      </c>
      <c r="E93" t="str">
        <f t="shared" si="26"/>
        <v>Муфта оптическая</v>
      </c>
      <c r="F93" t="str">
        <f t="shared" si="38"/>
        <v>18.06.2012</v>
      </c>
      <c r="G93" t="str">
        <f>""</f>
        <v/>
      </c>
      <c r="H93" t="str">
        <f>"М 1.4.5"</f>
        <v>М 1.4.5</v>
      </c>
      <c r="I93" t="str">
        <f t="shared" si="39"/>
        <v>МС 1.4</v>
      </c>
      <c r="J93" t="str">
        <f>""</f>
        <v/>
      </c>
      <c r="K93" t="str">
        <f t="shared" si="27"/>
        <v>МТОК 96</v>
      </c>
      <c r="L93" t="str">
        <f>"Крыша"</f>
        <v>Крыша</v>
      </c>
      <c r="M93" t="str">
        <f>"13.05.2012"</f>
        <v>13.05.2012</v>
      </c>
      <c r="N93" t="str">
        <f>"EmptySerial&lt;34747&gt;"</f>
        <v>EmptySerial&lt;34747&gt;</v>
      </c>
      <c r="O93" t="str">
        <f t="shared" si="28"/>
        <v>Нет</v>
      </c>
      <c r="P93" t="str">
        <f>"М 1.4.5"</f>
        <v>М 1.4.5</v>
      </c>
      <c r="Q93" t="str">
        <f t="shared" si="29"/>
        <v>Нет</v>
      </c>
      <c r="R93" t="str">
        <f t="shared" si="30"/>
        <v>Основной</v>
      </c>
      <c r="S93" t="str">
        <f t="shared" si="31"/>
        <v>ГУТС</v>
      </c>
      <c r="T93" t="str">
        <f>""</f>
        <v/>
      </c>
      <c r="U93" t="str">
        <f t="shared" si="32"/>
        <v>Нет</v>
      </c>
      <c r="V93">
        <v>51.7101752625518</v>
      </c>
      <c r="W93">
        <v>36.142283678054802</v>
      </c>
      <c r="X93" t="str">
        <f>"20000004553342"</f>
        <v>20000004553342</v>
      </c>
    </row>
    <row r="94" spans="1:24" x14ac:dyDescent="0.25">
      <c r="A94">
        <v>907</v>
      </c>
      <c r="B94" t="str">
        <f t="shared" si="25"/>
        <v>Курск</v>
      </c>
      <c r="C94">
        <v>367122</v>
      </c>
      <c r="D94" t="str">
        <f>"М 1.4.6"</f>
        <v>М 1.4.6</v>
      </c>
      <c r="E94" t="str">
        <f t="shared" si="26"/>
        <v>Муфта оптическая</v>
      </c>
      <c r="F94" t="str">
        <f t="shared" si="38"/>
        <v>18.06.2012</v>
      </c>
      <c r="G94" t="str">
        <f>""</f>
        <v/>
      </c>
      <c r="H94" t="str">
        <f>"М 1.4.6"</f>
        <v>М 1.4.6</v>
      </c>
      <c r="I94" t="str">
        <f t="shared" si="39"/>
        <v>МС 1.4</v>
      </c>
      <c r="J94" t="str">
        <f>""</f>
        <v/>
      </c>
      <c r="K94" t="str">
        <f t="shared" si="27"/>
        <v>МТОК 96</v>
      </c>
      <c r="L94" t="str">
        <f>"Опора"</f>
        <v>Опора</v>
      </c>
      <c r="M94" t="str">
        <f>"12.05.2012"</f>
        <v>12.05.2012</v>
      </c>
      <c r="N94" t="str">
        <f>"EmptySerial&lt;34746&gt;"</f>
        <v>EmptySerial&lt;34746&gt;</v>
      </c>
      <c r="O94" t="str">
        <f t="shared" si="28"/>
        <v>Нет</v>
      </c>
      <c r="P94" t="str">
        <f>"М 1.4.6"</f>
        <v>М 1.4.6</v>
      </c>
      <c r="Q94" t="str">
        <f t="shared" si="29"/>
        <v>Нет</v>
      </c>
      <c r="R94" t="str">
        <f t="shared" si="30"/>
        <v>Основной</v>
      </c>
      <c r="S94" t="str">
        <f t="shared" si="31"/>
        <v>ГУТС</v>
      </c>
      <c r="T94" t="str">
        <f>""</f>
        <v/>
      </c>
      <c r="U94" t="str">
        <f t="shared" si="32"/>
        <v>Нет</v>
      </c>
      <c r="V94">
        <v>51.711102650000001</v>
      </c>
      <c r="W94">
        <v>36.143308279999999</v>
      </c>
      <c r="X94" t="str">
        <f>"20000004553341"</f>
        <v>20000004553341</v>
      </c>
    </row>
    <row r="95" spans="1:24" x14ac:dyDescent="0.25">
      <c r="A95">
        <v>907</v>
      </c>
      <c r="B95" t="str">
        <f t="shared" si="25"/>
        <v>Курск</v>
      </c>
      <c r="C95">
        <v>367156</v>
      </c>
      <c r="D95" t="str">
        <f>"М 3.4.10"</f>
        <v>М 3.4.10</v>
      </c>
      <c r="E95" t="str">
        <f t="shared" si="26"/>
        <v>Муфта оптическая</v>
      </c>
      <c r="F95" t="str">
        <f t="shared" si="38"/>
        <v>18.06.2012</v>
      </c>
      <c r="G95" t="str">
        <f>""</f>
        <v/>
      </c>
      <c r="H95" t="str">
        <f>"М 3.4.10"</f>
        <v>М 3.4.10</v>
      </c>
      <c r="I95" t="str">
        <f t="shared" ref="I95:I103" si="40">"МС 3.4"</f>
        <v>МС 3.4</v>
      </c>
      <c r="J95" t="str">
        <f>""</f>
        <v/>
      </c>
      <c r="K95" t="str">
        <f t="shared" si="27"/>
        <v>МТОК 96</v>
      </c>
      <c r="L95" t="str">
        <f>"Опора"</f>
        <v>Опора</v>
      </c>
      <c r="M95" t="str">
        <f>"24.05.2012"</f>
        <v>24.05.2012</v>
      </c>
      <c r="N95" t="str">
        <f>"EmptySerial&lt;34764&gt;"</f>
        <v>EmptySerial&lt;34764&gt;</v>
      </c>
      <c r="O95" t="str">
        <f t="shared" si="28"/>
        <v>Нет</v>
      </c>
      <c r="P95" t="str">
        <f>"М 3.4.10"</f>
        <v>М 3.4.10</v>
      </c>
      <c r="Q95" t="str">
        <f t="shared" si="29"/>
        <v>Нет</v>
      </c>
      <c r="R95" t="str">
        <f t="shared" si="30"/>
        <v>Основной</v>
      </c>
      <c r="S95" t="str">
        <f t="shared" si="31"/>
        <v>ГУТС</v>
      </c>
      <c r="T95" t="str">
        <f>""</f>
        <v/>
      </c>
      <c r="U95" t="str">
        <f t="shared" si="32"/>
        <v>Нет</v>
      </c>
      <c r="V95">
        <v>51.741748942403703</v>
      </c>
      <c r="W95">
        <v>36.192650198936498</v>
      </c>
      <c r="X95" t="str">
        <f>"20000004553359"</f>
        <v>20000004553359</v>
      </c>
    </row>
    <row r="96" spans="1:24" x14ac:dyDescent="0.25">
      <c r="A96">
        <v>907</v>
      </c>
      <c r="B96" t="str">
        <f t="shared" si="25"/>
        <v>Курск</v>
      </c>
      <c r="C96">
        <v>367164</v>
      </c>
      <c r="D96" t="str">
        <f>"М 3.4.8"</f>
        <v>М 3.4.8</v>
      </c>
      <c r="E96" t="str">
        <f t="shared" si="26"/>
        <v>Муфта оптическая</v>
      </c>
      <c r="F96" t="str">
        <f t="shared" si="38"/>
        <v>18.06.2012</v>
      </c>
      <c r="G96" t="str">
        <f>""</f>
        <v/>
      </c>
      <c r="H96" t="str">
        <f>"М 3.4.8"</f>
        <v>М 3.4.8</v>
      </c>
      <c r="I96" t="str">
        <f t="shared" si="40"/>
        <v>МС 3.4</v>
      </c>
      <c r="J96" t="str">
        <f>""</f>
        <v/>
      </c>
      <c r="K96" t="str">
        <f t="shared" si="27"/>
        <v>МТОК 96</v>
      </c>
      <c r="L96" t="str">
        <f>"Чердак"</f>
        <v>Чердак</v>
      </c>
      <c r="M96" t="str">
        <f>"20.05.2012"</f>
        <v>20.05.2012</v>
      </c>
      <c r="N96" t="str">
        <f>"EmptySerial&lt;34762&gt;"</f>
        <v>EmptySerial&lt;34762&gt;</v>
      </c>
      <c r="O96" t="str">
        <f t="shared" si="28"/>
        <v>Нет</v>
      </c>
      <c r="P96" t="str">
        <f>"М 3.4.8"</f>
        <v>М 3.4.8</v>
      </c>
      <c r="Q96" t="str">
        <f t="shared" si="29"/>
        <v>Нет</v>
      </c>
      <c r="R96" t="str">
        <f t="shared" si="30"/>
        <v>Основной</v>
      </c>
      <c r="S96" t="str">
        <f t="shared" si="31"/>
        <v>ГУТС</v>
      </c>
      <c r="T96" t="str">
        <f>""</f>
        <v/>
      </c>
      <c r="U96" t="str">
        <f t="shared" si="32"/>
        <v>Нет</v>
      </c>
      <c r="V96">
        <v>51.740071460146403</v>
      </c>
      <c r="W96">
        <v>36.195273399352999</v>
      </c>
      <c r="X96" t="str">
        <f>"20000004553357"</f>
        <v>20000004553357</v>
      </c>
    </row>
    <row r="97" spans="1:24" x14ac:dyDescent="0.25">
      <c r="A97">
        <v>907</v>
      </c>
      <c r="B97" t="str">
        <f t="shared" si="25"/>
        <v>Курск</v>
      </c>
      <c r="C97">
        <v>367168</v>
      </c>
      <c r="D97" t="str">
        <f>"М 3.4.7"</f>
        <v>М 3.4.7</v>
      </c>
      <c r="E97" t="str">
        <f t="shared" si="26"/>
        <v>Муфта оптическая</v>
      </c>
      <c r="F97" t="str">
        <f t="shared" si="38"/>
        <v>18.06.2012</v>
      </c>
      <c r="G97" t="str">
        <f>""</f>
        <v/>
      </c>
      <c r="H97" t="str">
        <f>"М 3.4.7"</f>
        <v>М 3.4.7</v>
      </c>
      <c r="I97" t="str">
        <f t="shared" si="40"/>
        <v>МС 3.4</v>
      </c>
      <c r="J97" t="str">
        <f>""</f>
        <v/>
      </c>
      <c r="K97" t="str">
        <f t="shared" si="27"/>
        <v>МТОК 96</v>
      </c>
      <c r="L97" t="str">
        <f t="shared" ref="L97:L103" si="41">"Опора"</f>
        <v>Опора</v>
      </c>
      <c r="M97" t="str">
        <f>"18.05.2012"</f>
        <v>18.05.2012</v>
      </c>
      <c r="N97" t="str">
        <f>"EmptySerial&lt;34761&gt;"</f>
        <v>EmptySerial&lt;34761&gt;</v>
      </c>
      <c r="O97" t="str">
        <f t="shared" si="28"/>
        <v>Нет</v>
      </c>
      <c r="P97" t="str">
        <f>"М 3.4.7"</f>
        <v>М 3.4.7</v>
      </c>
      <c r="Q97" t="str">
        <f t="shared" si="29"/>
        <v>Нет</v>
      </c>
      <c r="R97" t="str">
        <f t="shared" si="30"/>
        <v>Основной</v>
      </c>
      <c r="S97" t="str">
        <f t="shared" si="31"/>
        <v>ГУТС</v>
      </c>
      <c r="T97" t="str">
        <f>""</f>
        <v/>
      </c>
      <c r="U97" t="str">
        <f t="shared" si="32"/>
        <v>Нет</v>
      </c>
      <c r="V97">
        <v>51.738862099999999</v>
      </c>
      <c r="W97">
        <v>36.195059829999998</v>
      </c>
      <c r="X97" t="str">
        <f>"20000004553356"</f>
        <v>20000004553356</v>
      </c>
    </row>
    <row r="98" spans="1:24" x14ac:dyDescent="0.25">
      <c r="A98">
        <v>907</v>
      </c>
      <c r="B98" t="str">
        <f t="shared" si="25"/>
        <v>Курск</v>
      </c>
      <c r="C98">
        <v>367172</v>
      </c>
      <c r="D98" t="str">
        <f>"М 3.4.6"</f>
        <v>М 3.4.6</v>
      </c>
      <c r="E98" t="str">
        <f t="shared" si="26"/>
        <v>Муфта оптическая</v>
      </c>
      <c r="F98" t="str">
        <f t="shared" si="38"/>
        <v>18.06.2012</v>
      </c>
      <c r="G98" t="str">
        <f>""</f>
        <v/>
      </c>
      <c r="H98" t="str">
        <f>"М 3.4.6"</f>
        <v>М 3.4.6</v>
      </c>
      <c r="I98" t="str">
        <f t="shared" si="40"/>
        <v>МС 3.4</v>
      </c>
      <c r="J98" t="str">
        <f>""</f>
        <v/>
      </c>
      <c r="K98" t="str">
        <f t="shared" si="27"/>
        <v>МТОК 96</v>
      </c>
      <c r="L98" t="str">
        <f t="shared" si="41"/>
        <v>Опора</v>
      </c>
      <c r="M98" t="str">
        <f>"15.05.2012"</f>
        <v>15.05.2012</v>
      </c>
      <c r="N98" t="str">
        <f>"EmptySerial&lt;34760&gt;"</f>
        <v>EmptySerial&lt;34760&gt;</v>
      </c>
      <c r="O98" t="str">
        <f t="shared" si="28"/>
        <v>Нет</v>
      </c>
      <c r="P98" t="str">
        <f>"М 3.4.6"</f>
        <v>М 3.4.6</v>
      </c>
      <c r="Q98" t="str">
        <f t="shared" si="29"/>
        <v>Нет</v>
      </c>
      <c r="R98" t="str">
        <f t="shared" si="30"/>
        <v>Основной</v>
      </c>
      <c r="S98" t="str">
        <f t="shared" si="31"/>
        <v>ГУТС</v>
      </c>
      <c r="T98" t="str">
        <f>""</f>
        <v/>
      </c>
      <c r="U98" t="str">
        <f t="shared" si="32"/>
        <v>Нет</v>
      </c>
      <c r="V98">
        <v>51.741360720000003</v>
      </c>
      <c r="W98">
        <v>36.197835240000003</v>
      </c>
      <c r="X98" t="str">
        <f>"20000004553355"</f>
        <v>20000004553355</v>
      </c>
    </row>
    <row r="99" spans="1:24" x14ac:dyDescent="0.25">
      <c r="A99">
        <v>907</v>
      </c>
      <c r="B99" t="str">
        <f t="shared" si="25"/>
        <v>Курск</v>
      </c>
      <c r="C99">
        <v>367176</v>
      </c>
      <c r="D99" t="str">
        <f>"М 3.4.5"</f>
        <v>М 3.4.5</v>
      </c>
      <c r="E99" t="str">
        <f t="shared" si="26"/>
        <v>Муфта оптическая</v>
      </c>
      <c r="F99" t="str">
        <f t="shared" si="38"/>
        <v>18.06.2012</v>
      </c>
      <c r="G99" t="str">
        <f>""</f>
        <v/>
      </c>
      <c r="H99" t="str">
        <f>"М 3.4.5"</f>
        <v>М 3.4.5</v>
      </c>
      <c r="I99" t="str">
        <f t="shared" si="40"/>
        <v>МС 3.4</v>
      </c>
      <c r="J99" t="str">
        <f>""</f>
        <v/>
      </c>
      <c r="K99" t="str">
        <f t="shared" si="27"/>
        <v>МТОК 96</v>
      </c>
      <c r="L99" t="str">
        <f t="shared" si="41"/>
        <v>Опора</v>
      </c>
      <c r="M99" t="str">
        <f>"10.05.2012"</f>
        <v>10.05.2012</v>
      </c>
      <c r="N99" t="str">
        <f>"EmptySerial&lt;34759&gt;"</f>
        <v>EmptySerial&lt;34759&gt;</v>
      </c>
      <c r="O99" t="str">
        <f t="shared" si="28"/>
        <v>Нет</v>
      </c>
      <c r="P99" t="str">
        <f>"М 3.4.5"</f>
        <v>М 3.4.5</v>
      </c>
      <c r="Q99" t="str">
        <f t="shared" si="29"/>
        <v>Нет</v>
      </c>
      <c r="R99" t="str">
        <f t="shared" si="30"/>
        <v>Основной</v>
      </c>
      <c r="S99" t="str">
        <f t="shared" si="31"/>
        <v>ГУТС</v>
      </c>
      <c r="T99" t="str">
        <f>""</f>
        <v/>
      </c>
      <c r="U99" t="str">
        <f t="shared" si="32"/>
        <v>Нет</v>
      </c>
      <c r="V99">
        <v>51.745462430000003</v>
      </c>
      <c r="W99">
        <v>36.201683879999997</v>
      </c>
      <c r="X99" t="str">
        <f>"20000004553354"</f>
        <v>20000004553354</v>
      </c>
    </row>
    <row r="100" spans="1:24" x14ac:dyDescent="0.25">
      <c r="A100">
        <v>907</v>
      </c>
      <c r="B100" t="str">
        <f t="shared" si="25"/>
        <v>Курск</v>
      </c>
      <c r="C100">
        <v>367180</v>
      </c>
      <c r="D100" t="str">
        <f>"М 3.4.4"</f>
        <v>М 3.4.4</v>
      </c>
      <c r="E100" t="str">
        <f t="shared" si="26"/>
        <v>Муфта оптическая</v>
      </c>
      <c r="F100" t="str">
        <f t="shared" si="38"/>
        <v>18.06.2012</v>
      </c>
      <c r="G100" t="str">
        <f>""</f>
        <v/>
      </c>
      <c r="H100" t="str">
        <f>"М 3.4.4"</f>
        <v>М 3.4.4</v>
      </c>
      <c r="I100" t="str">
        <f t="shared" si="40"/>
        <v>МС 3.4</v>
      </c>
      <c r="J100" t="str">
        <f>""</f>
        <v/>
      </c>
      <c r="K100" t="str">
        <f t="shared" si="27"/>
        <v>МТОК 96</v>
      </c>
      <c r="L100" t="str">
        <f t="shared" si="41"/>
        <v>Опора</v>
      </c>
      <c r="M100" t="str">
        <f>"08.05.2012"</f>
        <v>08.05.2012</v>
      </c>
      <c r="N100" t="str">
        <f>"EmptySerial&lt;34758&gt;"</f>
        <v>EmptySerial&lt;34758&gt;</v>
      </c>
      <c r="O100" t="str">
        <f t="shared" si="28"/>
        <v>Нет</v>
      </c>
      <c r="P100" t="str">
        <f>"М 3.4.4"</f>
        <v>М 3.4.4</v>
      </c>
      <c r="Q100" t="str">
        <f t="shared" si="29"/>
        <v>Нет</v>
      </c>
      <c r="R100" t="str">
        <f t="shared" si="30"/>
        <v>Основной</v>
      </c>
      <c r="S100" t="str">
        <f t="shared" si="31"/>
        <v>ГУТС</v>
      </c>
      <c r="T100" t="str">
        <f>""</f>
        <v/>
      </c>
      <c r="U100" t="str">
        <f t="shared" si="32"/>
        <v>Нет</v>
      </c>
      <c r="V100">
        <v>51.745910822488</v>
      </c>
      <c r="W100">
        <v>36.198878288269</v>
      </c>
      <c r="X100" t="str">
        <f>"20000004553353"</f>
        <v>20000004553353</v>
      </c>
    </row>
    <row r="101" spans="1:24" x14ac:dyDescent="0.25">
      <c r="A101">
        <v>907</v>
      </c>
      <c r="B101" t="str">
        <f t="shared" si="25"/>
        <v>Курск</v>
      </c>
      <c r="C101">
        <v>367184</v>
      </c>
      <c r="D101" t="str">
        <f>"М 3.4.3"</f>
        <v>М 3.4.3</v>
      </c>
      <c r="E101" t="str">
        <f t="shared" si="26"/>
        <v>Муфта оптическая</v>
      </c>
      <c r="F101" t="str">
        <f t="shared" si="38"/>
        <v>18.06.2012</v>
      </c>
      <c r="G101" t="str">
        <f>""</f>
        <v/>
      </c>
      <c r="H101" t="str">
        <f>"М 3.4.3"</f>
        <v>М 3.4.3</v>
      </c>
      <c r="I101" t="str">
        <f t="shared" si="40"/>
        <v>МС 3.4</v>
      </c>
      <c r="J101" t="str">
        <f>""</f>
        <v/>
      </c>
      <c r="K101" t="str">
        <f t="shared" si="27"/>
        <v>МТОК 96</v>
      </c>
      <c r="L101" t="str">
        <f t="shared" si="41"/>
        <v>Опора</v>
      </c>
      <c r="M101" t="str">
        <f>"06.05.2012"</f>
        <v>06.05.2012</v>
      </c>
      <c r="N101" t="str">
        <f>"EmptySerial&lt;34757&gt;"</f>
        <v>EmptySerial&lt;34757&gt;</v>
      </c>
      <c r="O101" t="str">
        <f t="shared" si="28"/>
        <v>Нет</v>
      </c>
      <c r="P101" t="str">
        <f>"М 3.4.3"</f>
        <v>М 3.4.3</v>
      </c>
      <c r="Q101" t="str">
        <f t="shared" si="29"/>
        <v>Нет</v>
      </c>
      <c r="R101" t="str">
        <f t="shared" si="30"/>
        <v>Основной</v>
      </c>
      <c r="S101" t="str">
        <f t="shared" si="31"/>
        <v>ГУТС</v>
      </c>
      <c r="T101" t="str">
        <f>""</f>
        <v/>
      </c>
      <c r="U101" t="str">
        <f t="shared" si="32"/>
        <v>Нет</v>
      </c>
      <c r="V101">
        <v>51.746088929999999</v>
      </c>
      <c r="W101">
        <v>36.192215009999998</v>
      </c>
      <c r="X101" t="str">
        <f>"20000004553352"</f>
        <v>20000004553352</v>
      </c>
    </row>
    <row r="102" spans="1:24" x14ac:dyDescent="0.25">
      <c r="A102">
        <v>907</v>
      </c>
      <c r="B102" t="str">
        <f t="shared" si="25"/>
        <v>Курск</v>
      </c>
      <c r="C102">
        <v>367188</v>
      </c>
      <c r="D102" t="str">
        <f>"М 3.4.2"</f>
        <v>М 3.4.2</v>
      </c>
      <c r="E102" t="str">
        <f t="shared" si="26"/>
        <v>Муфта оптическая</v>
      </c>
      <c r="F102" t="str">
        <f t="shared" si="38"/>
        <v>18.06.2012</v>
      </c>
      <c r="G102" t="str">
        <f>""</f>
        <v/>
      </c>
      <c r="H102" t="str">
        <f>"М 3.4.2"</f>
        <v>М 3.4.2</v>
      </c>
      <c r="I102" t="str">
        <f t="shared" si="40"/>
        <v>МС 3.4</v>
      </c>
      <c r="J102" t="str">
        <f>""</f>
        <v/>
      </c>
      <c r="K102" t="str">
        <f t="shared" si="27"/>
        <v>МТОК 96</v>
      </c>
      <c r="L102" t="str">
        <f t="shared" si="41"/>
        <v>Опора</v>
      </c>
      <c r="M102" t="str">
        <f>"05.05.2012"</f>
        <v>05.05.2012</v>
      </c>
      <c r="N102" t="str">
        <f>"EmptySerial&lt;34756&gt;"</f>
        <v>EmptySerial&lt;34756&gt;</v>
      </c>
      <c r="O102" t="str">
        <f t="shared" si="28"/>
        <v>Нет</v>
      </c>
      <c r="P102" t="str">
        <f>"М 3.4.2"</f>
        <v>М 3.4.2</v>
      </c>
      <c r="Q102" t="str">
        <f t="shared" si="29"/>
        <v>Нет</v>
      </c>
      <c r="R102" t="str">
        <f t="shared" si="30"/>
        <v>Основной</v>
      </c>
      <c r="S102" t="str">
        <f t="shared" si="31"/>
        <v>ГУТС</v>
      </c>
      <c r="T102" t="str">
        <f>""</f>
        <v/>
      </c>
      <c r="U102" t="str">
        <f t="shared" si="32"/>
        <v>Нет</v>
      </c>
      <c r="V102">
        <v>51.75160829</v>
      </c>
      <c r="W102">
        <v>36.186534760000001</v>
      </c>
      <c r="X102" t="str">
        <f>"20000004553351"</f>
        <v>20000004553351</v>
      </c>
    </row>
    <row r="103" spans="1:24" x14ac:dyDescent="0.25">
      <c r="A103">
        <v>907</v>
      </c>
      <c r="B103" t="str">
        <f t="shared" si="25"/>
        <v>Курск</v>
      </c>
      <c r="C103">
        <v>367192</v>
      </c>
      <c r="D103" t="str">
        <f>"М 3.4.1"</f>
        <v>М 3.4.1</v>
      </c>
      <c r="E103" t="str">
        <f t="shared" si="26"/>
        <v>Муфта оптическая</v>
      </c>
      <c r="F103" t="str">
        <f t="shared" si="38"/>
        <v>18.06.2012</v>
      </c>
      <c r="G103" t="str">
        <f>""</f>
        <v/>
      </c>
      <c r="H103" t="str">
        <f>"М 3.4.1"</f>
        <v>М 3.4.1</v>
      </c>
      <c r="I103" t="str">
        <f t="shared" si="40"/>
        <v>МС 3.4</v>
      </c>
      <c r="J103" t="str">
        <f>""</f>
        <v/>
      </c>
      <c r="K103" t="str">
        <f t="shared" si="27"/>
        <v>МТОК 96</v>
      </c>
      <c r="L103" t="str">
        <f t="shared" si="41"/>
        <v>Опора</v>
      </c>
      <c r="M103" t="str">
        <f>"03.05.2012"</f>
        <v>03.05.2012</v>
      </c>
      <c r="N103" t="str">
        <f>"EmptySerial&lt;34755&gt;"</f>
        <v>EmptySerial&lt;34755&gt;</v>
      </c>
      <c r="O103" t="str">
        <f t="shared" si="28"/>
        <v>Нет</v>
      </c>
      <c r="P103" t="str">
        <f>"М 3.4.1"</f>
        <v>М 3.4.1</v>
      </c>
      <c r="Q103" t="str">
        <f t="shared" si="29"/>
        <v>Нет</v>
      </c>
      <c r="R103" t="str">
        <f t="shared" si="30"/>
        <v>Основной</v>
      </c>
      <c r="S103" t="str">
        <f t="shared" si="31"/>
        <v>ГУТС</v>
      </c>
      <c r="T103" t="str">
        <f>""</f>
        <v/>
      </c>
      <c r="U103" t="str">
        <f t="shared" si="32"/>
        <v>Нет</v>
      </c>
      <c r="V103">
        <v>51.7553093483411</v>
      </c>
      <c r="W103">
        <v>36.1801564693451</v>
      </c>
      <c r="X103" t="str">
        <f>"20000004553350"</f>
        <v>20000004553350</v>
      </c>
    </row>
    <row r="104" spans="1:24" x14ac:dyDescent="0.25">
      <c r="A104">
        <v>907</v>
      </c>
      <c r="B104" t="str">
        <f t="shared" si="25"/>
        <v>Курск</v>
      </c>
      <c r="C104">
        <v>371937</v>
      </c>
      <c r="D104" t="str">
        <f>"М 5.1.8"</f>
        <v>М 5.1.8</v>
      </c>
      <c r="E104" t="str">
        <f t="shared" si="26"/>
        <v>Муфта оптическая</v>
      </c>
      <c r="F104" t="str">
        <f t="shared" ref="F104:F111" si="42">"25.06.2012"</f>
        <v>25.06.2012</v>
      </c>
      <c r="G104" t="str">
        <f>""</f>
        <v/>
      </c>
      <c r="H104" t="str">
        <f>"М 5.1.8"</f>
        <v>М 5.1.8</v>
      </c>
      <c r="I104" t="str">
        <f t="shared" ref="I104:I111" si="43">"МС 5.1"</f>
        <v>МС 5.1</v>
      </c>
      <c r="J104" t="str">
        <f>""</f>
        <v/>
      </c>
      <c r="K104" t="str">
        <f t="shared" si="27"/>
        <v>МТОК 96</v>
      </c>
      <c r="L104" t="str">
        <f>"Крыша"</f>
        <v>Крыша</v>
      </c>
      <c r="M104" t="str">
        <f>"18.05.2012"</f>
        <v>18.05.2012</v>
      </c>
      <c r="N104" t="str">
        <f>"EmptySerial&lt;35436&gt;"</f>
        <v>EmptySerial&lt;35436&gt;</v>
      </c>
      <c r="O104" t="str">
        <f t="shared" si="28"/>
        <v>Нет</v>
      </c>
      <c r="P104" t="str">
        <f>"М 5.1.8"</f>
        <v>М 5.1.8</v>
      </c>
      <c r="Q104" t="str">
        <f t="shared" si="29"/>
        <v>Нет</v>
      </c>
      <c r="R104" t="str">
        <f t="shared" si="30"/>
        <v>Основной</v>
      </c>
      <c r="S104" t="str">
        <f t="shared" si="31"/>
        <v>ГУТС</v>
      </c>
      <c r="T104" t="str">
        <f>""</f>
        <v/>
      </c>
      <c r="U104" t="str">
        <f t="shared" si="32"/>
        <v>Нет</v>
      </c>
      <c r="V104">
        <v>51.671394090796099</v>
      </c>
      <c r="W104">
        <v>36.1334002017975</v>
      </c>
      <c r="X104" t="str">
        <f>"20000004553906"</f>
        <v>20000004553906</v>
      </c>
    </row>
    <row r="105" spans="1:24" x14ac:dyDescent="0.25">
      <c r="A105">
        <v>907</v>
      </c>
      <c r="B105" t="str">
        <f t="shared" si="25"/>
        <v>Курск</v>
      </c>
      <c r="C105">
        <v>371941</v>
      </c>
      <c r="D105" t="str">
        <f>"М 5.1.7"</f>
        <v>М 5.1.7</v>
      </c>
      <c r="E105" t="str">
        <f t="shared" si="26"/>
        <v>Муфта оптическая</v>
      </c>
      <c r="F105" t="str">
        <f t="shared" si="42"/>
        <v>25.06.2012</v>
      </c>
      <c r="G105" t="str">
        <f>""</f>
        <v/>
      </c>
      <c r="H105" t="str">
        <f>"М 5.1.7"</f>
        <v>М 5.1.7</v>
      </c>
      <c r="I105" t="str">
        <f t="shared" si="43"/>
        <v>МС 5.1</v>
      </c>
      <c r="J105" t="str">
        <f>""</f>
        <v/>
      </c>
      <c r="K105" t="str">
        <f t="shared" si="27"/>
        <v>МТОК 96</v>
      </c>
      <c r="L105" t="str">
        <f>"Крыша"</f>
        <v>Крыша</v>
      </c>
      <c r="M105" t="str">
        <f>"17.05.2012"</f>
        <v>17.05.2012</v>
      </c>
      <c r="N105" t="str">
        <f>"EmptySerial&lt;35435&gt;"</f>
        <v>EmptySerial&lt;35435&gt;</v>
      </c>
      <c r="O105" t="str">
        <f t="shared" si="28"/>
        <v>Нет</v>
      </c>
      <c r="P105" t="str">
        <f>"М 5.1.7"</f>
        <v>М 5.1.7</v>
      </c>
      <c r="Q105" t="str">
        <f t="shared" si="29"/>
        <v>Нет</v>
      </c>
      <c r="R105" t="str">
        <f t="shared" si="30"/>
        <v>Основной</v>
      </c>
      <c r="S105" t="str">
        <f t="shared" si="31"/>
        <v>ГУТС</v>
      </c>
      <c r="T105" t="str">
        <f>""</f>
        <v/>
      </c>
      <c r="U105" t="str">
        <f t="shared" si="32"/>
        <v>Нет</v>
      </c>
      <c r="V105">
        <v>51.671463954702403</v>
      </c>
      <c r="W105">
        <v>36.136608123779297</v>
      </c>
      <c r="X105" t="str">
        <f>"20000004553905"</f>
        <v>20000004553905</v>
      </c>
    </row>
    <row r="106" spans="1:24" x14ac:dyDescent="0.25">
      <c r="A106">
        <v>907</v>
      </c>
      <c r="B106" t="str">
        <f t="shared" si="25"/>
        <v>Курск</v>
      </c>
      <c r="C106">
        <v>371945</v>
      </c>
      <c r="D106" t="str">
        <f>"М 5.1.6"</f>
        <v>М 5.1.6</v>
      </c>
      <c r="E106" t="str">
        <f t="shared" si="26"/>
        <v>Муфта оптическая</v>
      </c>
      <c r="F106" t="str">
        <f t="shared" si="42"/>
        <v>25.06.2012</v>
      </c>
      <c r="G106" t="str">
        <f>""</f>
        <v/>
      </c>
      <c r="H106" t="str">
        <f>"М 5.1.6"</f>
        <v>М 5.1.6</v>
      </c>
      <c r="I106" t="str">
        <f t="shared" si="43"/>
        <v>МС 5.1</v>
      </c>
      <c r="J106" t="str">
        <f>""</f>
        <v/>
      </c>
      <c r="K106" t="str">
        <f t="shared" si="27"/>
        <v>МТОК 96</v>
      </c>
      <c r="L106" t="str">
        <f>"Чердак"</f>
        <v>Чердак</v>
      </c>
      <c r="M106" t="str">
        <f>"14.05.2012"</f>
        <v>14.05.2012</v>
      </c>
      <c r="N106" t="str">
        <f>"EmptySerial&lt;35434&gt;"</f>
        <v>EmptySerial&lt;35434&gt;</v>
      </c>
      <c r="O106" t="str">
        <f t="shared" si="28"/>
        <v>Нет</v>
      </c>
      <c r="P106" t="str">
        <f>"М 5.1.6"</f>
        <v>М 5.1.6</v>
      </c>
      <c r="Q106" t="str">
        <f t="shared" si="29"/>
        <v>Нет</v>
      </c>
      <c r="R106" t="str">
        <f t="shared" si="30"/>
        <v>Основной</v>
      </c>
      <c r="S106" t="str">
        <f t="shared" si="31"/>
        <v>ГУТС</v>
      </c>
      <c r="T106" t="str">
        <f>""</f>
        <v/>
      </c>
      <c r="U106" t="str">
        <f t="shared" si="32"/>
        <v>Нет</v>
      </c>
      <c r="V106">
        <v>51.671450647299999</v>
      </c>
      <c r="W106">
        <v>36.137605905532801</v>
      </c>
      <c r="X106" t="str">
        <f>"20000004553904"</f>
        <v>20000004553904</v>
      </c>
    </row>
    <row r="107" spans="1:24" x14ac:dyDescent="0.25">
      <c r="A107">
        <v>907</v>
      </c>
      <c r="B107" t="str">
        <f t="shared" si="25"/>
        <v>Курск</v>
      </c>
      <c r="C107">
        <v>371949</v>
      </c>
      <c r="D107" t="str">
        <f>"М 5.1.5"</f>
        <v>М 5.1.5</v>
      </c>
      <c r="E107" t="str">
        <f t="shared" si="26"/>
        <v>Муфта оптическая</v>
      </c>
      <c r="F107" t="str">
        <f t="shared" si="42"/>
        <v>25.06.2012</v>
      </c>
      <c r="G107" t="str">
        <f>""</f>
        <v/>
      </c>
      <c r="H107" t="str">
        <f>"М 5.1.5"</f>
        <v>М 5.1.5</v>
      </c>
      <c r="I107" t="str">
        <f t="shared" si="43"/>
        <v>МС 5.1</v>
      </c>
      <c r="J107" t="str">
        <f>""</f>
        <v/>
      </c>
      <c r="K107" t="str">
        <f t="shared" si="27"/>
        <v>МТОК 96</v>
      </c>
      <c r="L107" t="str">
        <f>"Крыша"</f>
        <v>Крыша</v>
      </c>
      <c r="M107" t="str">
        <f>"11.05.2012"</f>
        <v>11.05.2012</v>
      </c>
      <c r="N107" t="str">
        <f>"EmptySerial&lt;35433&gt;"</f>
        <v>EmptySerial&lt;35433&gt;</v>
      </c>
      <c r="O107" t="str">
        <f t="shared" si="28"/>
        <v>Нет</v>
      </c>
      <c r="P107" t="str">
        <f>"М 5.1.5"</f>
        <v>М 5.1.5</v>
      </c>
      <c r="Q107" t="str">
        <f t="shared" si="29"/>
        <v>Нет</v>
      </c>
      <c r="R107" t="str">
        <f t="shared" si="30"/>
        <v>Основной</v>
      </c>
      <c r="S107" t="str">
        <f t="shared" si="31"/>
        <v>ГУТС</v>
      </c>
      <c r="T107" t="str">
        <f>""</f>
        <v/>
      </c>
      <c r="U107" t="str">
        <f t="shared" si="32"/>
        <v>Нет</v>
      </c>
      <c r="V107">
        <v>51.670482523285798</v>
      </c>
      <c r="W107">
        <v>36.141269803047201</v>
      </c>
      <c r="X107" t="str">
        <f>"20000004553903"</f>
        <v>20000004553903</v>
      </c>
    </row>
    <row r="108" spans="1:24" x14ac:dyDescent="0.25">
      <c r="A108">
        <v>907</v>
      </c>
      <c r="B108" t="str">
        <f t="shared" si="25"/>
        <v>Курск</v>
      </c>
      <c r="C108">
        <v>371953</v>
      </c>
      <c r="D108" t="str">
        <f>"М 5.1.4"</f>
        <v>М 5.1.4</v>
      </c>
      <c r="E108" t="str">
        <f t="shared" si="26"/>
        <v>Муфта оптическая</v>
      </c>
      <c r="F108" t="str">
        <f t="shared" si="42"/>
        <v>25.06.2012</v>
      </c>
      <c r="G108" t="str">
        <f>""</f>
        <v/>
      </c>
      <c r="H108" t="str">
        <f>"М 5.1.4"</f>
        <v>М 5.1.4</v>
      </c>
      <c r="I108" t="str">
        <f t="shared" si="43"/>
        <v>МС 5.1</v>
      </c>
      <c r="J108" t="str">
        <f>""</f>
        <v/>
      </c>
      <c r="K108" t="str">
        <f t="shared" si="27"/>
        <v>МТОК 96</v>
      </c>
      <c r="L108" t="str">
        <f>"Крыша"</f>
        <v>Крыша</v>
      </c>
      <c r="M108" t="str">
        <f>"09.05.2012"</f>
        <v>09.05.2012</v>
      </c>
      <c r="N108" t="str">
        <f>"EmptySerial&lt;35432&gt;"</f>
        <v>EmptySerial&lt;35432&gt;</v>
      </c>
      <c r="O108" t="str">
        <f t="shared" si="28"/>
        <v>Нет</v>
      </c>
      <c r="P108" t="str">
        <f>"М 5.1.4"</f>
        <v>М 5.1.4</v>
      </c>
      <c r="Q108" t="str">
        <f t="shared" si="29"/>
        <v>Нет</v>
      </c>
      <c r="R108" t="str">
        <f t="shared" si="30"/>
        <v>Основной</v>
      </c>
      <c r="S108" t="str">
        <f t="shared" si="31"/>
        <v>ГУТС</v>
      </c>
      <c r="T108" t="str">
        <f>""</f>
        <v/>
      </c>
      <c r="U108" t="str">
        <f t="shared" si="32"/>
        <v>Нет</v>
      </c>
      <c r="V108">
        <v>51.669474454642597</v>
      </c>
      <c r="W108">
        <v>36.140180826187098</v>
      </c>
      <c r="X108" t="str">
        <f>"20000004553902"</f>
        <v>20000004553902</v>
      </c>
    </row>
    <row r="109" spans="1:24" x14ac:dyDescent="0.25">
      <c r="A109">
        <v>907</v>
      </c>
      <c r="B109" t="str">
        <f t="shared" si="25"/>
        <v>Курск</v>
      </c>
      <c r="C109">
        <v>371957</v>
      </c>
      <c r="D109" t="str">
        <f>"М 5.1.3"</f>
        <v>М 5.1.3</v>
      </c>
      <c r="E109" t="str">
        <f t="shared" si="26"/>
        <v>Муфта оптическая</v>
      </c>
      <c r="F109" t="str">
        <f t="shared" si="42"/>
        <v>25.06.2012</v>
      </c>
      <c r="G109" t="str">
        <f>""</f>
        <v/>
      </c>
      <c r="H109" t="str">
        <f>"М 5.1.3"</f>
        <v>М 5.1.3</v>
      </c>
      <c r="I109" t="str">
        <f t="shared" si="43"/>
        <v>МС 5.1</v>
      </c>
      <c r="J109" t="str">
        <f>""</f>
        <v/>
      </c>
      <c r="K109" t="str">
        <f t="shared" si="27"/>
        <v>МТОК 96</v>
      </c>
      <c r="L109" t="str">
        <f>"Крыша"</f>
        <v>Крыша</v>
      </c>
      <c r="M109" t="str">
        <f>"08.05.2012"</f>
        <v>08.05.2012</v>
      </c>
      <c r="N109" t="str">
        <f>"EmptySerial&lt;35431&gt;"</f>
        <v>EmptySerial&lt;35431&gt;</v>
      </c>
      <c r="O109" t="str">
        <f t="shared" si="28"/>
        <v>Нет</v>
      </c>
      <c r="P109" t="str">
        <f>"М 5.1.3"</f>
        <v>М 5.1.3</v>
      </c>
      <c r="Q109" t="str">
        <f t="shared" si="29"/>
        <v>Нет</v>
      </c>
      <c r="R109" t="str">
        <f t="shared" si="30"/>
        <v>Основной</v>
      </c>
      <c r="S109" t="str">
        <f t="shared" si="31"/>
        <v>ГУТС</v>
      </c>
      <c r="T109" t="str">
        <f>""</f>
        <v/>
      </c>
      <c r="U109" t="str">
        <f t="shared" si="32"/>
        <v>Нет</v>
      </c>
      <c r="V109">
        <v>51.665941046841603</v>
      </c>
      <c r="W109">
        <v>36.136951446533203</v>
      </c>
      <c r="X109" t="str">
        <f>"20000004553901"</f>
        <v>20000004553901</v>
      </c>
    </row>
    <row r="110" spans="1:24" x14ac:dyDescent="0.25">
      <c r="A110">
        <v>907</v>
      </c>
      <c r="B110" t="str">
        <f t="shared" si="25"/>
        <v>Курск</v>
      </c>
      <c r="C110">
        <v>371961</v>
      </c>
      <c r="D110" t="str">
        <f>"М 5.1.2"</f>
        <v>М 5.1.2</v>
      </c>
      <c r="E110" t="str">
        <f t="shared" si="26"/>
        <v>Муфта оптическая</v>
      </c>
      <c r="F110" t="str">
        <f t="shared" si="42"/>
        <v>25.06.2012</v>
      </c>
      <c r="G110" t="str">
        <f>""</f>
        <v/>
      </c>
      <c r="H110" t="str">
        <f>"М 5.1.2"</f>
        <v>М 5.1.2</v>
      </c>
      <c r="I110" t="str">
        <f t="shared" si="43"/>
        <v>МС 5.1</v>
      </c>
      <c r="J110" t="str">
        <f>""</f>
        <v/>
      </c>
      <c r="K110" t="str">
        <f t="shared" si="27"/>
        <v>МТОК 96</v>
      </c>
      <c r="L110" t="str">
        <f>"Крыша"</f>
        <v>Крыша</v>
      </c>
      <c r="M110" t="str">
        <f>"08.05.2012"</f>
        <v>08.05.2012</v>
      </c>
      <c r="N110" t="str">
        <f>"EmptySerial&lt;35430&gt;"</f>
        <v>EmptySerial&lt;35430&gt;</v>
      </c>
      <c r="O110" t="str">
        <f t="shared" si="28"/>
        <v>Нет</v>
      </c>
      <c r="P110" t="str">
        <f>"М 5.1.2"</f>
        <v>М 5.1.2</v>
      </c>
      <c r="Q110" t="str">
        <f t="shared" si="29"/>
        <v>Нет</v>
      </c>
      <c r="R110" t="str">
        <f t="shared" si="30"/>
        <v>Основной</v>
      </c>
      <c r="S110" t="str">
        <f t="shared" si="31"/>
        <v>ГУТС</v>
      </c>
      <c r="T110" t="str">
        <f>""</f>
        <v/>
      </c>
      <c r="U110" t="str">
        <f t="shared" si="32"/>
        <v>Нет</v>
      </c>
      <c r="V110">
        <v>51.667035700756202</v>
      </c>
      <c r="W110">
        <v>36.132933497428901</v>
      </c>
      <c r="X110" t="str">
        <f>"20000004553900"</f>
        <v>20000004553900</v>
      </c>
    </row>
    <row r="111" spans="1:24" x14ac:dyDescent="0.25">
      <c r="A111">
        <v>907</v>
      </c>
      <c r="B111" t="str">
        <f t="shared" si="25"/>
        <v>Курск</v>
      </c>
      <c r="C111">
        <v>371965</v>
      </c>
      <c r="D111" t="str">
        <f>"М 5.1.1"</f>
        <v>М 5.1.1</v>
      </c>
      <c r="E111" t="str">
        <f t="shared" si="26"/>
        <v>Муфта оптическая</v>
      </c>
      <c r="F111" t="str">
        <f t="shared" si="42"/>
        <v>25.06.2012</v>
      </c>
      <c r="G111" t="str">
        <f>""</f>
        <v/>
      </c>
      <c r="H111" t="str">
        <f>"М 5.1.1"</f>
        <v>М 5.1.1</v>
      </c>
      <c r="I111" t="str">
        <f t="shared" si="43"/>
        <v>МС 5.1</v>
      </c>
      <c r="J111" t="str">
        <f>""</f>
        <v/>
      </c>
      <c r="K111" t="str">
        <f t="shared" si="27"/>
        <v>МТОК 96</v>
      </c>
      <c r="L111" t="str">
        <f>"Чердак"</f>
        <v>Чердак</v>
      </c>
      <c r="M111" t="str">
        <f>"05.05.2012"</f>
        <v>05.05.2012</v>
      </c>
      <c r="N111" t="str">
        <f>"EmptySerial&lt;35429&gt;"</f>
        <v>EmptySerial&lt;35429&gt;</v>
      </c>
      <c r="O111" t="str">
        <f t="shared" si="28"/>
        <v>Нет</v>
      </c>
      <c r="P111" t="str">
        <f>"М 5.1.1"</f>
        <v>М 5.1.1</v>
      </c>
      <c r="Q111" t="str">
        <f t="shared" si="29"/>
        <v>Нет</v>
      </c>
      <c r="R111" t="str">
        <f t="shared" si="30"/>
        <v>Основной</v>
      </c>
      <c r="S111" t="str">
        <f t="shared" si="31"/>
        <v>ГУТС</v>
      </c>
      <c r="T111" t="str">
        <f>""</f>
        <v/>
      </c>
      <c r="U111" t="str">
        <f t="shared" si="32"/>
        <v>Нет</v>
      </c>
      <c r="V111">
        <v>51.669298123498798</v>
      </c>
      <c r="W111">
        <v>36.132772564888</v>
      </c>
      <c r="X111" t="str">
        <f>"20000004553899"</f>
        <v>20000004553899</v>
      </c>
    </row>
    <row r="112" spans="1:24" x14ac:dyDescent="0.25">
      <c r="A112">
        <v>907</v>
      </c>
      <c r="B112" t="str">
        <f t="shared" si="25"/>
        <v>Курск</v>
      </c>
      <c r="C112">
        <v>382789</v>
      </c>
      <c r="D112" t="str">
        <f>"М 5.2.11"</f>
        <v>М 5.2.11</v>
      </c>
      <c r="E112" t="str">
        <f t="shared" si="26"/>
        <v>Муфта оптическая</v>
      </c>
      <c r="F112" t="str">
        <f t="shared" ref="F112:F121" si="44">"19.07.2012"</f>
        <v>19.07.2012</v>
      </c>
      <c r="G112" t="str">
        <f>""</f>
        <v/>
      </c>
      <c r="H112" t="str">
        <f>"М 5.2.11"</f>
        <v>М 5.2.11</v>
      </c>
      <c r="I112" t="str">
        <f t="shared" ref="I112:I121" si="45">"МС 5.2"</f>
        <v>МС 5.2</v>
      </c>
      <c r="J112" t="str">
        <f>""</f>
        <v/>
      </c>
      <c r="K112" t="str">
        <f t="shared" si="27"/>
        <v>МТОК 96</v>
      </c>
      <c r="L112" t="str">
        <f>"Опора"</f>
        <v>Опора</v>
      </c>
      <c r="M112" t="str">
        <f>"29.05.2012"</f>
        <v>29.05.2012</v>
      </c>
      <c r="N112" t="str">
        <f>"EmptySerial&lt;37513&gt;"</f>
        <v>EmptySerial&lt;37513&gt;</v>
      </c>
      <c r="O112" t="str">
        <f t="shared" si="28"/>
        <v>Нет</v>
      </c>
      <c r="P112" t="str">
        <f>"М 5.2.11"</f>
        <v>М 5.2.11</v>
      </c>
      <c r="Q112" t="str">
        <f t="shared" si="29"/>
        <v>Нет</v>
      </c>
      <c r="R112" t="str">
        <f t="shared" si="30"/>
        <v>Основной</v>
      </c>
      <c r="S112" t="str">
        <f t="shared" si="31"/>
        <v>ГУТС</v>
      </c>
      <c r="T112" t="str">
        <f>""</f>
        <v/>
      </c>
      <c r="U112" t="str">
        <f t="shared" si="32"/>
        <v>Нет</v>
      </c>
      <c r="V112">
        <v>51.673080775002198</v>
      </c>
      <c r="W112">
        <v>36.138303279876702</v>
      </c>
      <c r="X112" t="str">
        <f>"20000004555553"</f>
        <v>20000004555553</v>
      </c>
    </row>
    <row r="113" spans="1:24" x14ac:dyDescent="0.25">
      <c r="A113">
        <v>907</v>
      </c>
      <c r="B113" t="str">
        <f t="shared" si="25"/>
        <v>Курск</v>
      </c>
      <c r="C113">
        <v>382793</v>
      </c>
      <c r="D113" t="str">
        <f>"М 5.2.10"</f>
        <v>М 5.2.10</v>
      </c>
      <c r="E113" t="str">
        <f t="shared" si="26"/>
        <v>Муфта оптическая</v>
      </c>
      <c r="F113" t="str">
        <f t="shared" si="44"/>
        <v>19.07.2012</v>
      </c>
      <c r="G113" t="str">
        <f>""</f>
        <v/>
      </c>
      <c r="H113" t="str">
        <f>"М 5.2.10"</f>
        <v>М 5.2.10</v>
      </c>
      <c r="I113" t="str">
        <f t="shared" si="45"/>
        <v>МС 5.2</v>
      </c>
      <c r="J113" t="str">
        <f>""</f>
        <v/>
      </c>
      <c r="K113" t="str">
        <f t="shared" si="27"/>
        <v>МТОК 96</v>
      </c>
      <c r="L113" t="str">
        <f>"Опора"</f>
        <v>Опора</v>
      </c>
      <c r="M113" t="str">
        <f>"27.05.2012"</f>
        <v>27.05.2012</v>
      </c>
      <c r="N113" t="str">
        <f>"EmptySerial&lt;37514&gt;"</f>
        <v>EmptySerial&lt;37514&gt;</v>
      </c>
      <c r="O113" t="str">
        <f t="shared" si="28"/>
        <v>Нет</v>
      </c>
      <c r="P113" t="str">
        <f>"М 5.2.10"</f>
        <v>М 5.2.10</v>
      </c>
      <c r="Q113" t="str">
        <f t="shared" si="29"/>
        <v>Нет</v>
      </c>
      <c r="R113" t="str">
        <f t="shared" si="30"/>
        <v>Основной</v>
      </c>
      <c r="S113" t="str">
        <f t="shared" si="31"/>
        <v>ГУТС</v>
      </c>
      <c r="T113" t="str">
        <f>""</f>
        <v/>
      </c>
      <c r="U113" t="str">
        <f t="shared" si="32"/>
        <v>Нет</v>
      </c>
      <c r="V113">
        <v>51.6738825101652</v>
      </c>
      <c r="W113">
        <v>36.1388611793518</v>
      </c>
      <c r="X113" t="str">
        <f>"20000004555554"</f>
        <v>20000004555554</v>
      </c>
    </row>
    <row r="114" spans="1:24" x14ac:dyDescent="0.25">
      <c r="A114">
        <v>907</v>
      </c>
      <c r="B114" t="str">
        <f t="shared" si="25"/>
        <v>Курск</v>
      </c>
      <c r="C114">
        <v>382797</v>
      </c>
      <c r="D114" t="str">
        <f>"М 5.2.9"</f>
        <v>М 5.2.9</v>
      </c>
      <c r="E114" t="str">
        <f t="shared" si="26"/>
        <v>Муфта оптическая</v>
      </c>
      <c r="F114" t="str">
        <f t="shared" si="44"/>
        <v>19.07.2012</v>
      </c>
      <c r="G114" t="str">
        <f>""</f>
        <v/>
      </c>
      <c r="H114" t="str">
        <f>"М 5.2.9"</f>
        <v>М 5.2.9</v>
      </c>
      <c r="I114" t="str">
        <f t="shared" si="45"/>
        <v>МС 5.2</v>
      </c>
      <c r="J114" t="str">
        <f>""</f>
        <v/>
      </c>
      <c r="K114" t="str">
        <f t="shared" si="27"/>
        <v>МТОК 96</v>
      </c>
      <c r="L114" t="str">
        <f>"Опора"</f>
        <v>Опора</v>
      </c>
      <c r="M114" t="str">
        <f>"26.05.2012"</f>
        <v>26.05.2012</v>
      </c>
      <c r="N114" t="str">
        <f>"EmptySerial&lt;37515&gt;"</f>
        <v>EmptySerial&lt;37515&gt;</v>
      </c>
      <c r="O114" t="str">
        <f t="shared" si="28"/>
        <v>Нет</v>
      </c>
      <c r="P114" t="str">
        <f>"М 5.2.9"</f>
        <v>М 5.2.9</v>
      </c>
      <c r="Q114" t="str">
        <f t="shared" si="29"/>
        <v>Нет</v>
      </c>
      <c r="R114" t="str">
        <f t="shared" si="30"/>
        <v>Основной</v>
      </c>
      <c r="S114" t="str">
        <f t="shared" si="31"/>
        <v>ГУТС</v>
      </c>
      <c r="T114" t="str">
        <f>""</f>
        <v/>
      </c>
      <c r="U114" t="str">
        <f t="shared" si="32"/>
        <v>Нет</v>
      </c>
      <c r="V114">
        <v>51.675189873579697</v>
      </c>
      <c r="W114">
        <v>36.140309572219799</v>
      </c>
      <c r="X114" t="str">
        <f>"20000004555555"</f>
        <v>20000004555555</v>
      </c>
    </row>
    <row r="115" spans="1:24" x14ac:dyDescent="0.25">
      <c r="A115">
        <v>907</v>
      </c>
      <c r="B115" t="str">
        <f t="shared" si="25"/>
        <v>Курск</v>
      </c>
      <c r="C115">
        <v>382801</v>
      </c>
      <c r="D115" t="str">
        <f>"М 5.2.8"</f>
        <v>М 5.2.8</v>
      </c>
      <c r="E115" t="str">
        <f t="shared" si="26"/>
        <v>Муфта оптическая</v>
      </c>
      <c r="F115" t="str">
        <f t="shared" si="44"/>
        <v>19.07.2012</v>
      </c>
      <c r="G115" t="str">
        <f>""</f>
        <v/>
      </c>
      <c r="H115" t="str">
        <f>"М 5.2.8"</f>
        <v>М 5.2.8</v>
      </c>
      <c r="I115" t="str">
        <f t="shared" si="45"/>
        <v>МС 5.2</v>
      </c>
      <c r="J115" t="str">
        <f>""</f>
        <v/>
      </c>
      <c r="K115" t="str">
        <f t="shared" si="27"/>
        <v>МТОК 96</v>
      </c>
      <c r="L115" t="str">
        <f>"Опора"</f>
        <v>Опора</v>
      </c>
      <c r="M115" t="str">
        <f>"23.05.2012"</f>
        <v>23.05.2012</v>
      </c>
      <c r="N115" t="str">
        <f>"EmptySerial&lt;37516&gt;"</f>
        <v>EmptySerial&lt;37516&gt;</v>
      </c>
      <c r="O115" t="str">
        <f t="shared" si="28"/>
        <v>Нет</v>
      </c>
      <c r="P115" t="str">
        <f>"М 5.2.8"</f>
        <v>М 5.2.8</v>
      </c>
      <c r="Q115" t="str">
        <f t="shared" si="29"/>
        <v>Нет</v>
      </c>
      <c r="R115" t="str">
        <f t="shared" si="30"/>
        <v>Основной</v>
      </c>
      <c r="S115" t="str">
        <f t="shared" si="31"/>
        <v>ГУТС</v>
      </c>
      <c r="T115" t="str">
        <f>""</f>
        <v/>
      </c>
      <c r="U115" t="str">
        <f t="shared" si="32"/>
        <v>Нет</v>
      </c>
      <c r="V115">
        <v>51.676021510056898</v>
      </c>
      <c r="W115">
        <v>36.141511201858499</v>
      </c>
      <c r="X115" t="str">
        <f>"20000004555556"</f>
        <v>20000004555556</v>
      </c>
    </row>
    <row r="116" spans="1:24" x14ac:dyDescent="0.25">
      <c r="A116">
        <v>907</v>
      </c>
      <c r="B116" t="str">
        <f t="shared" si="25"/>
        <v>Курск</v>
      </c>
      <c r="C116">
        <v>382809</v>
      </c>
      <c r="D116" t="str">
        <f>"М 5.2.6"</f>
        <v>М 5.2.6</v>
      </c>
      <c r="E116" t="str">
        <f t="shared" si="26"/>
        <v>Муфта оптическая</v>
      </c>
      <c r="F116" t="str">
        <f t="shared" si="44"/>
        <v>19.07.2012</v>
      </c>
      <c r="G116" t="str">
        <f>""</f>
        <v/>
      </c>
      <c r="H116" t="str">
        <f>"М 5.2.6"</f>
        <v>М 5.2.6</v>
      </c>
      <c r="I116" t="str">
        <f t="shared" si="45"/>
        <v>МС 5.2</v>
      </c>
      <c r="J116" t="str">
        <f>""</f>
        <v/>
      </c>
      <c r="K116" t="str">
        <f t="shared" si="27"/>
        <v>МТОК 96</v>
      </c>
      <c r="L116" t="str">
        <f>"Подъезд"</f>
        <v>Подъезд</v>
      </c>
      <c r="M116" t="str">
        <f>"24.05.2012"</f>
        <v>24.05.2012</v>
      </c>
      <c r="N116" t="str">
        <f>"EmptySerial&lt;37518&gt;"</f>
        <v>EmptySerial&lt;37518&gt;</v>
      </c>
      <c r="O116" t="str">
        <f t="shared" si="28"/>
        <v>Нет</v>
      </c>
      <c r="P116" t="str">
        <f>"М 5.2.6"</f>
        <v>М 5.2.6</v>
      </c>
      <c r="Q116" t="str">
        <f t="shared" si="29"/>
        <v>Нет</v>
      </c>
      <c r="R116" t="str">
        <f t="shared" si="30"/>
        <v>Основной</v>
      </c>
      <c r="S116" t="str">
        <f t="shared" si="31"/>
        <v>ГУТС</v>
      </c>
      <c r="T116" t="str">
        <f>""</f>
        <v/>
      </c>
      <c r="U116" t="str">
        <f t="shared" si="32"/>
        <v>Нет</v>
      </c>
      <c r="V116">
        <v>51.675123342001797</v>
      </c>
      <c r="W116">
        <v>36.147127747535698</v>
      </c>
      <c r="X116" t="str">
        <f>"20000004555557"</f>
        <v>20000004555557</v>
      </c>
    </row>
    <row r="117" spans="1:24" x14ac:dyDescent="0.25">
      <c r="A117">
        <v>907</v>
      </c>
      <c r="B117" t="str">
        <f t="shared" si="25"/>
        <v>Курск</v>
      </c>
      <c r="C117">
        <v>382813</v>
      </c>
      <c r="D117" t="str">
        <f>"М 5.2.5"</f>
        <v>М 5.2.5</v>
      </c>
      <c r="E117" t="str">
        <f t="shared" si="26"/>
        <v>Муфта оптическая</v>
      </c>
      <c r="F117" t="str">
        <f t="shared" si="44"/>
        <v>19.07.2012</v>
      </c>
      <c r="G117" t="str">
        <f>""</f>
        <v/>
      </c>
      <c r="H117" t="str">
        <f>"М 5.2.5"</f>
        <v>М 5.2.5</v>
      </c>
      <c r="I117" t="str">
        <f t="shared" si="45"/>
        <v>МС 5.2</v>
      </c>
      <c r="J117" t="str">
        <f>""</f>
        <v/>
      </c>
      <c r="K117" t="str">
        <f t="shared" si="27"/>
        <v>МТОК 96</v>
      </c>
      <c r="L117" t="str">
        <f>"Подъезд"</f>
        <v>Подъезд</v>
      </c>
      <c r="M117" t="str">
        <f>"26.05.2012"</f>
        <v>26.05.2012</v>
      </c>
      <c r="N117" t="str">
        <f>"EmptySerial&lt;37519&gt;"</f>
        <v>EmptySerial&lt;37519&gt;</v>
      </c>
      <c r="O117" t="str">
        <f t="shared" si="28"/>
        <v>Нет</v>
      </c>
      <c r="P117" t="str">
        <f>"М 5.2.5"</f>
        <v>М 5.2.5</v>
      </c>
      <c r="Q117" t="str">
        <f t="shared" si="29"/>
        <v>Нет</v>
      </c>
      <c r="R117" t="str">
        <f t="shared" si="30"/>
        <v>Основной</v>
      </c>
      <c r="S117" t="str">
        <f t="shared" si="31"/>
        <v>ГУТС</v>
      </c>
      <c r="T117" t="str">
        <f>""</f>
        <v/>
      </c>
      <c r="U117" t="str">
        <f t="shared" si="32"/>
        <v>Нет</v>
      </c>
      <c r="V117">
        <v>51.67461728</v>
      </c>
      <c r="W117">
        <v>36.150395349999997</v>
      </c>
      <c r="X117" t="str">
        <f>"20000004555558"</f>
        <v>20000004555558</v>
      </c>
    </row>
    <row r="118" spans="1:24" x14ac:dyDescent="0.25">
      <c r="A118">
        <v>907</v>
      </c>
      <c r="B118" t="str">
        <f t="shared" si="25"/>
        <v>Курск</v>
      </c>
      <c r="C118">
        <v>382817</v>
      </c>
      <c r="D118" t="str">
        <f>"М 5.2.12"</f>
        <v>М 5.2.12</v>
      </c>
      <c r="E118" t="str">
        <f t="shared" si="26"/>
        <v>Муфта оптическая</v>
      </c>
      <c r="F118" t="str">
        <f t="shared" si="44"/>
        <v>19.07.2012</v>
      </c>
      <c r="G118" t="str">
        <f>""</f>
        <v/>
      </c>
      <c r="H118" t="str">
        <f>"М 5.2.12"</f>
        <v>М 5.2.12</v>
      </c>
      <c r="I118" t="str">
        <f t="shared" si="45"/>
        <v>МС 5.2</v>
      </c>
      <c r="J118" t="str">
        <f>""</f>
        <v/>
      </c>
      <c r="K118" t="str">
        <f t="shared" si="27"/>
        <v>МТОК 96</v>
      </c>
      <c r="L118" t="str">
        <f>"Опора"</f>
        <v>Опора</v>
      </c>
      <c r="M118" t="str">
        <f>"23.05.2012"</f>
        <v>23.05.2012</v>
      </c>
      <c r="N118" t="str">
        <f>"EmptySerial&lt;37520&gt;"</f>
        <v>EmptySerial&lt;37520&gt;</v>
      </c>
      <c r="O118" t="str">
        <f t="shared" si="28"/>
        <v>Нет</v>
      </c>
      <c r="P118" t="str">
        <f>"М 5.2.12"</f>
        <v>М 5.2.12</v>
      </c>
      <c r="Q118" t="str">
        <f t="shared" si="29"/>
        <v>Нет</v>
      </c>
      <c r="R118" t="str">
        <f t="shared" si="30"/>
        <v>Основной</v>
      </c>
      <c r="S118" t="str">
        <f t="shared" si="31"/>
        <v>ГУТС</v>
      </c>
      <c r="T118" t="str">
        <f>""</f>
        <v/>
      </c>
      <c r="U118" t="str">
        <f t="shared" si="32"/>
        <v>Нет</v>
      </c>
      <c r="V118">
        <v>51.673739463022798</v>
      </c>
      <c r="W118">
        <v>36.154696941375697</v>
      </c>
      <c r="X118" t="str">
        <f>"20000004555559"</f>
        <v>20000004555559</v>
      </c>
    </row>
    <row r="119" spans="1:24" x14ac:dyDescent="0.25">
      <c r="A119">
        <v>907</v>
      </c>
      <c r="B119" t="str">
        <f t="shared" si="25"/>
        <v>Курск</v>
      </c>
      <c r="C119">
        <v>382821</v>
      </c>
      <c r="D119" t="str">
        <f>"М 5.2.4"</f>
        <v>М 5.2.4</v>
      </c>
      <c r="E119" t="str">
        <f t="shared" si="26"/>
        <v>Муфта оптическая</v>
      </c>
      <c r="F119" t="str">
        <f t="shared" si="44"/>
        <v>19.07.2012</v>
      </c>
      <c r="G119" t="str">
        <f>""</f>
        <v/>
      </c>
      <c r="H119" t="str">
        <f>"М 5.2.4"</f>
        <v>М 5.2.4</v>
      </c>
      <c r="I119" t="str">
        <f t="shared" si="45"/>
        <v>МС 5.2</v>
      </c>
      <c r="J119" t="str">
        <f>""</f>
        <v/>
      </c>
      <c r="K119" t="str">
        <f t="shared" si="27"/>
        <v>МТОК 96</v>
      </c>
      <c r="L119" t="str">
        <f>"Опора"</f>
        <v>Опора</v>
      </c>
      <c r="M119" t="str">
        <f>"25.05.2012"</f>
        <v>25.05.2012</v>
      </c>
      <c r="N119" t="str">
        <f>"EmptySerial&lt;37521&gt;"</f>
        <v>EmptySerial&lt;37521&gt;</v>
      </c>
      <c r="O119" t="str">
        <f t="shared" si="28"/>
        <v>Нет</v>
      </c>
      <c r="P119" t="str">
        <f>"М 5.2.4"</f>
        <v>М 5.2.4</v>
      </c>
      <c r="Q119" t="str">
        <f t="shared" si="29"/>
        <v>Нет</v>
      </c>
      <c r="R119" t="str">
        <f t="shared" si="30"/>
        <v>Основной</v>
      </c>
      <c r="S119" t="str">
        <f t="shared" si="31"/>
        <v>ГУТС</v>
      </c>
      <c r="T119" t="str">
        <f>""</f>
        <v/>
      </c>
      <c r="U119" t="str">
        <f t="shared" si="32"/>
        <v>Нет</v>
      </c>
      <c r="V119">
        <v>51.6719529990295</v>
      </c>
      <c r="W119">
        <v>36.151655316352802</v>
      </c>
      <c r="X119" t="str">
        <f>"20000004555560"</f>
        <v>20000004555560</v>
      </c>
    </row>
    <row r="120" spans="1:24" x14ac:dyDescent="0.25">
      <c r="A120">
        <v>907</v>
      </c>
      <c r="B120" t="str">
        <f t="shared" si="25"/>
        <v>Курск</v>
      </c>
      <c r="C120">
        <v>382825</v>
      </c>
      <c r="D120" t="str">
        <f>"М 5.2.3"</f>
        <v>М 5.2.3</v>
      </c>
      <c r="E120" t="str">
        <f t="shared" si="26"/>
        <v>Муфта оптическая</v>
      </c>
      <c r="F120" t="str">
        <f t="shared" si="44"/>
        <v>19.07.2012</v>
      </c>
      <c r="G120" t="str">
        <f>""</f>
        <v/>
      </c>
      <c r="H120" t="str">
        <f>"М 5.2.3"</f>
        <v>М 5.2.3</v>
      </c>
      <c r="I120" t="str">
        <f t="shared" si="45"/>
        <v>МС 5.2</v>
      </c>
      <c r="J120" t="str">
        <f>""</f>
        <v/>
      </c>
      <c r="K120" t="str">
        <f t="shared" si="27"/>
        <v>МТОК 96</v>
      </c>
      <c r="L120" t="str">
        <f>"Опора"</f>
        <v>Опора</v>
      </c>
      <c r="M120" t="str">
        <f>"24.05.2012"</f>
        <v>24.05.2012</v>
      </c>
      <c r="N120" t="str">
        <f>"EmptySerial&lt;37522&gt;"</f>
        <v>EmptySerial&lt;37522&gt;</v>
      </c>
      <c r="O120" t="str">
        <f t="shared" si="28"/>
        <v>Нет</v>
      </c>
      <c r="P120" t="str">
        <f>"М 5.2.3"</f>
        <v>М 5.2.3</v>
      </c>
      <c r="Q120" t="str">
        <f t="shared" si="29"/>
        <v>Нет</v>
      </c>
      <c r="R120" t="str">
        <f t="shared" si="30"/>
        <v>Основной</v>
      </c>
      <c r="S120" t="str">
        <f t="shared" si="31"/>
        <v>ГУТС</v>
      </c>
      <c r="T120" t="str">
        <f>""</f>
        <v/>
      </c>
      <c r="U120" t="str">
        <f t="shared" si="32"/>
        <v>Нет</v>
      </c>
      <c r="V120">
        <v>51.671274323848799</v>
      </c>
      <c r="W120">
        <v>36.147744655609102</v>
      </c>
      <c r="X120" t="str">
        <f>"20000004555561"</f>
        <v>20000004555561</v>
      </c>
    </row>
    <row r="121" spans="1:24" x14ac:dyDescent="0.25">
      <c r="A121">
        <v>907</v>
      </c>
      <c r="B121" t="str">
        <f t="shared" si="25"/>
        <v>Курск</v>
      </c>
      <c r="C121">
        <v>382833</v>
      </c>
      <c r="D121" t="str">
        <f>"М 5.2.1"</f>
        <v>М 5.2.1</v>
      </c>
      <c r="E121" t="str">
        <f t="shared" si="26"/>
        <v>Муфта оптическая</v>
      </c>
      <c r="F121" t="str">
        <f t="shared" si="44"/>
        <v>19.07.2012</v>
      </c>
      <c r="G121" t="str">
        <f>""</f>
        <v/>
      </c>
      <c r="H121" t="str">
        <f>"М 5.2.1"</f>
        <v>М 5.2.1</v>
      </c>
      <c r="I121" t="str">
        <f t="shared" si="45"/>
        <v>МС 5.2</v>
      </c>
      <c r="J121" t="str">
        <f>""</f>
        <v/>
      </c>
      <c r="K121" t="str">
        <f t="shared" si="27"/>
        <v>МТОК 96</v>
      </c>
      <c r="L121" t="str">
        <f>"Опора"</f>
        <v>Опора</v>
      </c>
      <c r="M121" t="str">
        <f>"18.05.2012"</f>
        <v>18.05.2012</v>
      </c>
      <c r="N121" t="str">
        <f>"EmptySerial&lt;37524&gt;"</f>
        <v>EmptySerial&lt;37524&gt;</v>
      </c>
      <c r="O121" t="str">
        <f t="shared" si="28"/>
        <v>Нет</v>
      </c>
      <c r="P121" t="str">
        <f>"М 5.2.1"</f>
        <v>М 5.2.1</v>
      </c>
      <c r="Q121" t="str">
        <f t="shared" si="29"/>
        <v>Нет</v>
      </c>
      <c r="R121" t="str">
        <f t="shared" si="30"/>
        <v>Основной</v>
      </c>
      <c r="S121" t="str">
        <f t="shared" si="31"/>
        <v>ГУТС</v>
      </c>
      <c r="T121" t="str">
        <f>""</f>
        <v/>
      </c>
      <c r="U121" t="str">
        <f t="shared" si="32"/>
        <v>Нет</v>
      </c>
      <c r="V121">
        <v>51.667558064274502</v>
      </c>
      <c r="W121">
        <v>36.140679717063897</v>
      </c>
      <c r="X121" t="str">
        <f>"20000004555563"</f>
        <v>20000004555563</v>
      </c>
    </row>
    <row r="122" spans="1:24" x14ac:dyDescent="0.25">
      <c r="A122">
        <v>907</v>
      </c>
      <c r="B122" t="str">
        <f t="shared" si="25"/>
        <v>Курск</v>
      </c>
      <c r="C122">
        <v>387702</v>
      </c>
      <c r="D122" t="str">
        <f>"М 3.3.8"</f>
        <v>М 3.3.8</v>
      </c>
      <c r="E122" t="str">
        <f t="shared" si="26"/>
        <v>Муфта оптическая</v>
      </c>
      <c r="F122" t="str">
        <f>"07.08.2012"</f>
        <v>07.08.2012</v>
      </c>
      <c r="G122" t="str">
        <f>"Муфта в колодце"</f>
        <v>Муфта в колодце</v>
      </c>
      <c r="H122" t="str">
        <f>"М 3.3.8"</f>
        <v>М 3.3.8</v>
      </c>
      <c r="I122" t="str">
        <f>"МС 3.3"</f>
        <v>МС 3.3</v>
      </c>
      <c r="J122" t="str">
        <f>""</f>
        <v/>
      </c>
      <c r="K122" t="str">
        <f t="shared" si="27"/>
        <v>МТОК 96</v>
      </c>
      <c r="L122" t="str">
        <f>"Колодец"</f>
        <v>Колодец</v>
      </c>
      <c r="M122" t="str">
        <f>"10.05.2012"</f>
        <v>10.05.2012</v>
      </c>
      <c r="N122" t="str">
        <f>"EmptySerial&lt;38053&gt;"</f>
        <v>EmptySerial&lt;38053&gt;</v>
      </c>
      <c r="O122" t="str">
        <f t="shared" si="28"/>
        <v>Нет</v>
      </c>
      <c r="P122" t="str">
        <f>"М 3.3.8"</f>
        <v>М 3.3.8</v>
      </c>
      <c r="Q122" t="str">
        <f t="shared" si="29"/>
        <v>Нет</v>
      </c>
      <c r="R122" t="str">
        <f t="shared" si="30"/>
        <v>Основной</v>
      </c>
      <c r="S122" t="str">
        <f t="shared" si="31"/>
        <v>ГУТС</v>
      </c>
      <c r="T122" t="str">
        <f>""</f>
        <v/>
      </c>
      <c r="U122" t="str">
        <f t="shared" si="32"/>
        <v>Нет</v>
      </c>
      <c r="V122">
        <v>51.749400309999999</v>
      </c>
      <c r="W122">
        <v>36.190080219999999</v>
      </c>
      <c r="X122" t="str">
        <f>"20000004556027"</f>
        <v>20000004556027</v>
      </c>
    </row>
    <row r="123" spans="1:24" x14ac:dyDescent="0.25">
      <c r="A123">
        <v>907</v>
      </c>
      <c r="B123" t="str">
        <f t="shared" si="25"/>
        <v>Курск</v>
      </c>
      <c r="C123">
        <v>387730</v>
      </c>
      <c r="D123" t="str">
        <f>"М 3.3.1"</f>
        <v>М 3.3.1</v>
      </c>
      <c r="E123" t="str">
        <f t="shared" si="26"/>
        <v>Муфта оптическая</v>
      </c>
      <c r="F123" t="str">
        <f>"07.08.2012"</f>
        <v>07.08.2012</v>
      </c>
      <c r="G123" t="str">
        <f>""</f>
        <v/>
      </c>
      <c r="H123" t="str">
        <f>"М 3.3.1"</f>
        <v>М 3.3.1</v>
      </c>
      <c r="I123" t="str">
        <f>"МС 3.3"</f>
        <v>МС 3.3</v>
      </c>
      <c r="J123" t="str">
        <f>""</f>
        <v/>
      </c>
      <c r="K123" t="str">
        <f t="shared" si="27"/>
        <v>МТОК 96</v>
      </c>
      <c r="L123" t="str">
        <f>"Опора"</f>
        <v>Опора</v>
      </c>
      <c r="M123" t="str">
        <f>"10.04.2012"</f>
        <v>10.04.2012</v>
      </c>
      <c r="N123" t="str">
        <f>"EmptySerial&lt;38046&gt;"</f>
        <v>EmptySerial&lt;38046&gt;</v>
      </c>
      <c r="O123" t="str">
        <f t="shared" si="28"/>
        <v>Нет</v>
      </c>
      <c r="P123" t="str">
        <f>"М 3.3.1"</f>
        <v>М 3.3.1</v>
      </c>
      <c r="Q123" t="str">
        <f t="shared" si="29"/>
        <v>Нет</v>
      </c>
      <c r="R123" t="str">
        <f t="shared" si="30"/>
        <v>Основной</v>
      </c>
      <c r="S123" t="str">
        <f t="shared" si="31"/>
        <v>ГУТС</v>
      </c>
      <c r="T123" t="str">
        <f>""</f>
        <v/>
      </c>
      <c r="U123" t="str">
        <f t="shared" si="32"/>
        <v>Нет</v>
      </c>
      <c r="V123">
        <v>51.747608015478697</v>
      </c>
      <c r="W123">
        <v>36.186668872833302</v>
      </c>
      <c r="X123" t="str">
        <f>"20000004556020"</f>
        <v>20000004556020</v>
      </c>
    </row>
    <row r="124" spans="1:24" x14ac:dyDescent="0.25">
      <c r="A124">
        <v>907</v>
      </c>
      <c r="B124" t="str">
        <f t="shared" si="25"/>
        <v>Курск</v>
      </c>
      <c r="C124">
        <v>390115</v>
      </c>
      <c r="D124" t="str">
        <f>"М 3.2.8"</f>
        <v>М 3.2.8</v>
      </c>
      <c r="E124" t="str">
        <f t="shared" si="26"/>
        <v>Муфта оптическая</v>
      </c>
      <c r="F124" t="str">
        <f t="shared" ref="F124:F131" si="46">"08.08.2012"</f>
        <v>08.08.2012</v>
      </c>
      <c r="G124" t="str">
        <f>""</f>
        <v/>
      </c>
      <c r="H124" t="str">
        <f>"М 3.2.8"</f>
        <v>М 3.2.8</v>
      </c>
      <c r="I124" t="str">
        <f t="shared" ref="I124:I131" si="47">"МС 3.2"</f>
        <v>МС 3.2</v>
      </c>
      <c r="J124" t="str">
        <f>""</f>
        <v/>
      </c>
      <c r="K124" t="str">
        <f t="shared" si="27"/>
        <v>МТОК 96</v>
      </c>
      <c r="L124" t="str">
        <f>"Крыша"</f>
        <v>Крыша</v>
      </c>
      <c r="M124" t="str">
        <f>"24.04.2012"</f>
        <v>24.04.2012</v>
      </c>
      <c r="N124" t="str">
        <f>"EmptySerial&lt;38142&gt;"</f>
        <v>EmptySerial&lt;38142&gt;</v>
      </c>
      <c r="O124" t="str">
        <f t="shared" si="28"/>
        <v>Нет</v>
      </c>
      <c r="P124" t="str">
        <f>"М 3.2.8"</f>
        <v>М 3.2.8</v>
      </c>
      <c r="Q124" t="str">
        <f t="shared" si="29"/>
        <v>Нет</v>
      </c>
      <c r="R124" t="str">
        <f t="shared" si="30"/>
        <v>Основной</v>
      </c>
      <c r="S124" t="str">
        <f t="shared" si="31"/>
        <v>ГУТС</v>
      </c>
      <c r="T124" t="str">
        <f>""</f>
        <v/>
      </c>
      <c r="U124" t="str">
        <f t="shared" si="32"/>
        <v>Нет</v>
      </c>
      <c r="V124">
        <v>51.754675092412199</v>
      </c>
      <c r="W124">
        <v>36.181296408176401</v>
      </c>
      <c r="X124" t="str">
        <f>"20000004556072"</f>
        <v>20000004556072</v>
      </c>
    </row>
    <row r="125" spans="1:24" x14ac:dyDescent="0.25">
      <c r="A125">
        <v>907</v>
      </c>
      <c r="B125" t="str">
        <f t="shared" si="25"/>
        <v>Курск</v>
      </c>
      <c r="C125">
        <v>390119</v>
      </c>
      <c r="D125" t="str">
        <f>"М 3.2.7"</f>
        <v>М 3.2.7</v>
      </c>
      <c r="E125" t="str">
        <f t="shared" si="26"/>
        <v>Муфта оптическая</v>
      </c>
      <c r="F125" t="str">
        <f t="shared" si="46"/>
        <v>08.08.2012</v>
      </c>
      <c r="G125" t="str">
        <f>""</f>
        <v/>
      </c>
      <c r="H125" t="str">
        <f>"М 3.2.7"</f>
        <v>М 3.2.7</v>
      </c>
      <c r="I125" t="str">
        <f t="shared" si="47"/>
        <v>МС 3.2</v>
      </c>
      <c r="J125" t="str">
        <f>""</f>
        <v/>
      </c>
      <c r="K125" t="str">
        <f t="shared" si="27"/>
        <v>МТОК 96</v>
      </c>
      <c r="L125" t="str">
        <f>"Крыша"</f>
        <v>Крыша</v>
      </c>
      <c r="M125" t="str">
        <f>"24.04.2012"</f>
        <v>24.04.2012</v>
      </c>
      <c r="N125" t="str">
        <f>"EmptySerial&lt;38141&gt;"</f>
        <v>EmptySerial&lt;38141&gt;</v>
      </c>
      <c r="O125" t="str">
        <f t="shared" si="28"/>
        <v>Нет</v>
      </c>
      <c r="P125" t="str">
        <f>"М 3.2.7"</f>
        <v>М 3.2.7</v>
      </c>
      <c r="Q125" t="str">
        <f t="shared" si="29"/>
        <v>Нет</v>
      </c>
      <c r="R125" t="str">
        <f t="shared" si="30"/>
        <v>Основной</v>
      </c>
      <c r="S125" t="str">
        <f t="shared" si="31"/>
        <v>ГУТС</v>
      </c>
      <c r="T125" t="str">
        <f>""</f>
        <v/>
      </c>
      <c r="U125" t="str">
        <f t="shared" si="32"/>
        <v>Нет</v>
      </c>
      <c r="V125">
        <v>51.754251699999998</v>
      </c>
      <c r="W125">
        <v>36.188449859999999</v>
      </c>
      <c r="X125" t="str">
        <f>"20000004556071"</f>
        <v>20000004556071</v>
      </c>
    </row>
    <row r="126" spans="1:24" x14ac:dyDescent="0.25">
      <c r="A126">
        <v>907</v>
      </c>
      <c r="B126" t="str">
        <f t="shared" si="25"/>
        <v>Курск</v>
      </c>
      <c r="C126">
        <v>390123</v>
      </c>
      <c r="D126" t="str">
        <f>"М 3.2.6"</f>
        <v>М 3.2.6</v>
      </c>
      <c r="E126" t="str">
        <f t="shared" si="26"/>
        <v>Муфта оптическая</v>
      </c>
      <c r="F126" t="str">
        <f t="shared" si="46"/>
        <v>08.08.2012</v>
      </c>
      <c r="G126" t="str">
        <f>""</f>
        <v/>
      </c>
      <c r="H126" t="str">
        <f>"М 3.2.6"</f>
        <v>М 3.2.6</v>
      </c>
      <c r="I126" t="str">
        <f t="shared" si="47"/>
        <v>МС 3.2</v>
      </c>
      <c r="J126" t="str">
        <f>""</f>
        <v/>
      </c>
      <c r="K126" t="str">
        <f t="shared" si="27"/>
        <v>МТОК 96</v>
      </c>
      <c r="L126" t="str">
        <f>"Опора"</f>
        <v>Опора</v>
      </c>
      <c r="M126" t="str">
        <f>"22.04.2012"</f>
        <v>22.04.2012</v>
      </c>
      <c r="N126" t="str">
        <f>"EmptySerial&lt;38140&gt;"</f>
        <v>EmptySerial&lt;38140&gt;</v>
      </c>
      <c r="O126" t="str">
        <f t="shared" si="28"/>
        <v>Нет</v>
      </c>
      <c r="P126" t="str">
        <f>"М 3.2.6"</f>
        <v>М 3.2.6</v>
      </c>
      <c r="Q126" t="str">
        <f t="shared" si="29"/>
        <v>Нет</v>
      </c>
      <c r="R126" t="str">
        <f t="shared" si="30"/>
        <v>Основной</v>
      </c>
      <c r="S126" t="str">
        <f t="shared" si="31"/>
        <v>ГУТС</v>
      </c>
      <c r="T126" t="str">
        <f>""</f>
        <v/>
      </c>
      <c r="U126" t="str">
        <f t="shared" si="32"/>
        <v>Нет</v>
      </c>
      <c r="V126">
        <v>51.757168895530803</v>
      </c>
      <c r="W126">
        <v>36.192534863948801</v>
      </c>
      <c r="X126" t="str">
        <f>"20000004556070"</f>
        <v>20000004556070</v>
      </c>
    </row>
    <row r="127" spans="1:24" x14ac:dyDescent="0.25">
      <c r="A127">
        <v>907</v>
      </c>
      <c r="B127" t="str">
        <f t="shared" si="25"/>
        <v>Курск</v>
      </c>
      <c r="C127">
        <v>390127</v>
      </c>
      <c r="D127" t="str">
        <f>"М 3.2.5"</f>
        <v>М 3.2.5</v>
      </c>
      <c r="E127" t="str">
        <f t="shared" si="26"/>
        <v>Муфта оптическая</v>
      </c>
      <c r="F127" t="str">
        <f t="shared" si="46"/>
        <v>08.08.2012</v>
      </c>
      <c r="G127" t="str">
        <f>""</f>
        <v/>
      </c>
      <c r="H127" t="str">
        <f>"М 3.2.5"</f>
        <v>М 3.2.5</v>
      </c>
      <c r="I127" t="str">
        <f t="shared" si="47"/>
        <v>МС 3.2</v>
      </c>
      <c r="J127" t="str">
        <f>""</f>
        <v/>
      </c>
      <c r="K127" t="str">
        <f t="shared" si="27"/>
        <v>МТОК 96</v>
      </c>
      <c r="L127" t="str">
        <f>"Опора"</f>
        <v>Опора</v>
      </c>
      <c r="M127" t="str">
        <f>"15.04.2012"</f>
        <v>15.04.2012</v>
      </c>
      <c r="N127" t="str">
        <f>"EmptySerial&lt;38139&gt;"</f>
        <v>EmptySerial&lt;38139&gt;</v>
      </c>
      <c r="O127" t="str">
        <f t="shared" si="28"/>
        <v>Нет</v>
      </c>
      <c r="P127" t="str">
        <f>"М 3.2.5"</f>
        <v>М 3.2.5</v>
      </c>
      <c r="Q127" t="str">
        <f t="shared" si="29"/>
        <v>Нет</v>
      </c>
      <c r="R127" t="str">
        <f t="shared" si="30"/>
        <v>Основной</v>
      </c>
      <c r="S127" t="str">
        <f t="shared" si="31"/>
        <v>ГУТС</v>
      </c>
      <c r="T127" t="str">
        <f>""</f>
        <v/>
      </c>
      <c r="U127" t="str">
        <f t="shared" si="32"/>
        <v>Нет</v>
      </c>
      <c r="V127">
        <v>51.759031686562601</v>
      </c>
      <c r="W127">
        <v>36.192395389079998</v>
      </c>
      <c r="X127" t="str">
        <f>"20000004556069"</f>
        <v>20000004556069</v>
      </c>
    </row>
    <row r="128" spans="1:24" x14ac:dyDescent="0.25">
      <c r="A128">
        <v>907</v>
      </c>
      <c r="B128" t="str">
        <f t="shared" si="25"/>
        <v>Курск</v>
      </c>
      <c r="C128">
        <v>390131</v>
      </c>
      <c r="D128" t="str">
        <f>"М 3.2.4"</f>
        <v>М 3.2.4</v>
      </c>
      <c r="E128" t="str">
        <f t="shared" si="26"/>
        <v>Муфта оптическая</v>
      </c>
      <c r="F128" t="str">
        <f t="shared" si="46"/>
        <v>08.08.2012</v>
      </c>
      <c r="G128" t="str">
        <f>""</f>
        <v/>
      </c>
      <c r="H128" t="str">
        <f>"М 3.2.4"</f>
        <v>М 3.2.4</v>
      </c>
      <c r="I128" t="str">
        <f t="shared" si="47"/>
        <v>МС 3.2</v>
      </c>
      <c r="J128" t="str">
        <f>""</f>
        <v/>
      </c>
      <c r="K128" t="str">
        <f t="shared" si="27"/>
        <v>МТОК 96</v>
      </c>
      <c r="L128" t="str">
        <f>"Крыша"</f>
        <v>Крыша</v>
      </c>
      <c r="M128" t="str">
        <f>"13.04.2012"</f>
        <v>13.04.2012</v>
      </c>
      <c r="N128" t="str">
        <f>"EmptySerial&lt;38138&gt;"</f>
        <v>EmptySerial&lt;38138&gt;</v>
      </c>
      <c r="O128" t="str">
        <f t="shared" si="28"/>
        <v>Нет</v>
      </c>
      <c r="P128" t="str">
        <f>"М 3.2.4"</f>
        <v>М 3.2.4</v>
      </c>
      <c r="Q128" t="str">
        <f t="shared" si="29"/>
        <v>Нет</v>
      </c>
      <c r="R128" t="str">
        <f t="shared" si="30"/>
        <v>Основной</v>
      </c>
      <c r="S128" t="str">
        <f t="shared" si="31"/>
        <v>ГУТС</v>
      </c>
      <c r="T128" t="str">
        <f>""</f>
        <v/>
      </c>
      <c r="U128" t="str">
        <f t="shared" si="32"/>
        <v>Нет</v>
      </c>
      <c r="V128">
        <v>51.760057683027298</v>
      </c>
      <c r="W128">
        <v>36.192931830882998</v>
      </c>
      <c r="X128" t="str">
        <f>"20000004556068"</f>
        <v>20000004556068</v>
      </c>
    </row>
    <row r="129" spans="1:24" x14ac:dyDescent="0.25">
      <c r="A129">
        <v>907</v>
      </c>
      <c r="B129" t="str">
        <f t="shared" si="25"/>
        <v>Курск</v>
      </c>
      <c r="C129">
        <v>390135</v>
      </c>
      <c r="D129" t="str">
        <f>"М 3.2.3"</f>
        <v>М 3.2.3</v>
      </c>
      <c r="E129" t="str">
        <f t="shared" si="26"/>
        <v>Муфта оптическая</v>
      </c>
      <c r="F129" t="str">
        <f t="shared" si="46"/>
        <v>08.08.2012</v>
      </c>
      <c r="G129" t="str">
        <f>""</f>
        <v/>
      </c>
      <c r="H129" t="str">
        <f>"М 3.2.3"</f>
        <v>М 3.2.3</v>
      </c>
      <c r="I129" t="str">
        <f t="shared" si="47"/>
        <v>МС 3.2</v>
      </c>
      <c r="J129" t="str">
        <f>""</f>
        <v/>
      </c>
      <c r="K129" t="str">
        <f t="shared" si="27"/>
        <v>МТОК 96</v>
      </c>
      <c r="L129" t="str">
        <f>"Опора"</f>
        <v>Опора</v>
      </c>
      <c r="M129" t="str">
        <f>"11.04.2012"</f>
        <v>11.04.2012</v>
      </c>
      <c r="N129" t="str">
        <f>"EmptySerial&lt;38137&gt;"</f>
        <v>EmptySerial&lt;38137&gt;</v>
      </c>
      <c r="O129" t="str">
        <f t="shared" si="28"/>
        <v>Нет</v>
      </c>
      <c r="P129" t="str">
        <f>"М 3.2.3"</f>
        <v>М 3.2.3</v>
      </c>
      <c r="Q129" t="str">
        <f t="shared" si="29"/>
        <v>Нет</v>
      </c>
      <c r="R129" t="str">
        <f t="shared" si="30"/>
        <v>Основной</v>
      </c>
      <c r="S129" t="str">
        <f t="shared" si="31"/>
        <v>ГУТС</v>
      </c>
      <c r="T129" t="str">
        <f>""</f>
        <v/>
      </c>
      <c r="U129" t="str">
        <f t="shared" si="32"/>
        <v>Нет</v>
      </c>
      <c r="V129">
        <v>51.761754344472202</v>
      </c>
      <c r="W129">
        <v>36.190780699253096</v>
      </c>
      <c r="X129" t="str">
        <f>"20000004556067"</f>
        <v>20000004556067</v>
      </c>
    </row>
    <row r="130" spans="1:24" x14ac:dyDescent="0.25">
      <c r="A130">
        <v>907</v>
      </c>
      <c r="B130" t="str">
        <f t="shared" ref="B130:B193" si="48">"Курск"</f>
        <v>Курск</v>
      </c>
      <c r="C130">
        <v>390139</v>
      </c>
      <c r="D130" t="str">
        <f>"М 3.2.2"</f>
        <v>М 3.2.2</v>
      </c>
      <c r="E130" t="str">
        <f t="shared" ref="E130:E193" si="49">"Муфта оптическая"</f>
        <v>Муфта оптическая</v>
      </c>
      <c r="F130" t="str">
        <f t="shared" si="46"/>
        <v>08.08.2012</v>
      </c>
      <c r="G130" t="str">
        <f>""</f>
        <v/>
      </c>
      <c r="H130" t="str">
        <f>"М 3.2.2"</f>
        <v>М 3.2.2</v>
      </c>
      <c r="I130" t="str">
        <f t="shared" si="47"/>
        <v>МС 3.2</v>
      </c>
      <c r="J130" t="str">
        <f>""</f>
        <v/>
      </c>
      <c r="K130" t="str">
        <f t="shared" ref="K130:K193" si="50">"МТОК 96"</f>
        <v>МТОК 96</v>
      </c>
      <c r="L130" t="str">
        <f>"Крыша"</f>
        <v>Крыша</v>
      </c>
      <c r="M130" t="str">
        <f>"08.04.2012"</f>
        <v>08.04.2012</v>
      </c>
      <c r="N130" t="str">
        <f>"EmptySerial&lt;38136&gt;"</f>
        <v>EmptySerial&lt;38136&gt;</v>
      </c>
      <c r="O130" t="str">
        <f t="shared" ref="O130:O193" si="51">"Нет"</f>
        <v>Нет</v>
      </c>
      <c r="P130" t="str">
        <f>"М 3.2.2"</f>
        <v>М 3.2.2</v>
      </c>
      <c r="Q130" t="str">
        <f t="shared" ref="Q130:Q193" si="52">"Нет"</f>
        <v>Нет</v>
      </c>
      <c r="R130" t="str">
        <f t="shared" ref="R130:R193" si="53">"Основной"</f>
        <v>Основной</v>
      </c>
      <c r="S130" t="str">
        <f t="shared" ref="S130:S193" si="54">"ГУТС"</f>
        <v>ГУТС</v>
      </c>
      <c r="T130" t="str">
        <f>""</f>
        <v/>
      </c>
      <c r="U130" t="str">
        <f t="shared" ref="U130:U193" si="55">"Нет"</f>
        <v>Нет</v>
      </c>
      <c r="V130">
        <v>51.760233040000003</v>
      </c>
      <c r="W130">
        <v>36.187040359999997</v>
      </c>
      <c r="X130" t="str">
        <f>"20000004556066"</f>
        <v>20000004556066</v>
      </c>
    </row>
    <row r="131" spans="1:24" x14ac:dyDescent="0.25">
      <c r="A131">
        <v>907</v>
      </c>
      <c r="B131" t="str">
        <f t="shared" si="48"/>
        <v>Курск</v>
      </c>
      <c r="C131">
        <v>390143</v>
      </c>
      <c r="D131" t="str">
        <f>"М 3.2.1"</f>
        <v>М 3.2.1</v>
      </c>
      <c r="E131" t="str">
        <f t="shared" si="49"/>
        <v>Муфта оптическая</v>
      </c>
      <c r="F131" t="str">
        <f t="shared" si="46"/>
        <v>08.08.2012</v>
      </c>
      <c r="G131" t="str">
        <f>""</f>
        <v/>
      </c>
      <c r="H131" t="str">
        <f>"М 3.2.1"</f>
        <v>М 3.2.1</v>
      </c>
      <c r="I131" t="str">
        <f t="shared" si="47"/>
        <v>МС 3.2</v>
      </c>
      <c r="J131" t="str">
        <f>""</f>
        <v/>
      </c>
      <c r="K131" t="str">
        <f t="shared" si="50"/>
        <v>МТОК 96</v>
      </c>
      <c r="L131" t="str">
        <f>"Крыша"</f>
        <v>Крыша</v>
      </c>
      <c r="M131" t="str">
        <f>"05.04.2012"</f>
        <v>05.04.2012</v>
      </c>
      <c r="N131" t="str">
        <f>"EmptySerial&lt;38135&gt;"</f>
        <v>EmptySerial&lt;38135&gt;</v>
      </c>
      <c r="O131" t="str">
        <f t="shared" si="51"/>
        <v>Нет</v>
      </c>
      <c r="P131" t="str">
        <f>"М 3.2.1"</f>
        <v>М 3.2.1</v>
      </c>
      <c r="Q131" t="str">
        <f t="shared" si="52"/>
        <v>Нет</v>
      </c>
      <c r="R131" t="str">
        <f t="shared" si="53"/>
        <v>Основной</v>
      </c>
      <c r="S131" t="str">
        <f t="shared" si="54"/>
        <v>ГУТС</v>
      </c>
      <c r="T131" t="str">
        <f>""</f>
        <v/>
      </c>
      <c r="U131" t="str">
        <f t="shared" si="55"/>
        <v>Нет</v>
      </c>
      <c r="V131">
        <v>51.758978559897201</v>
      </c>
      <c r="W131">
        <v>36.186735928058603</v>
      </c>
      <c r="X131" t="str">
        <f>"20000004556065"</f>
        <v>20000004556065</v>
      </c>
    </row>
    <row r="132" spans="1:24" x14ac:dyDescent="0.25">
      <c r="A132">
        <v>907</v>
      </c>
      <c r="B132" t="str">
        <f t="shared" si="48"/>
        <v>Курск</v>
      </c>
      <c r="C132">
        <v>391911</v>
      </c>
      <c r="D132" t="str">
        <f>"М 5.4.11"</f>
        <v>М 5.4.11</v>
      </c>
      <c r="E132" t="str">
        <f t="shared" si="49"/>
        <v>Муфта оптическая</v>
      </c>
      <c r="F132" t="str">
        <f t="shared" ref="F132:F146" si="56">"09.08.2012"</f>
        <v>09.08.2012</v>
      </c>
      <c r="G132" t="str">
        <f>""</f>
        <v/>
      </c>
      <c r="H132" t="str">
        <f>"М 5.4.11"</f>
        <v>М 5.4.11</v>
      </c>
      <c r="I132" t="str">
        <f t="shared" ref="I132:I147" si="57">"МС 5.4"</f>
        <v>МС 5.4</v>
      </c>
      <c r="J132" t="str">
        <f>""</f>
        <v/>
      </c>
      <c r="K132" t="str">
        <f t="shared" si="50"/>
        <v>МТОК 96</v>
      </c>
      <c r="L132" t="str">
        <f t="shared" ref="L132:L139" si="58">"Опора"</f>
        <v>Опора</v>
      </c>
      <c r="M132" t="str">
        <f>"30.06.2012"</f>
        <v>30.06.2012</v>
      </c>
      <c r="N132" t="str">
        <f>"EmptySerial&lt;38421&gt;"</f>
        <v>EmptySerial&lt;38421&gt;</v>
      </c>
      <c r="O132" t="str">
        <f t="shared" si="51"/>
        <v>Нет</v>
      </c>
      <c r="P132" t="str">
        <f>"М 5.4.11"</f>
        <v>М 5.4.11</v>
      </c>
      <c r="Q132" t="str">
        <f t="shared" si="52"/>
        <v>Нет</v>
      </c>
      <c r="R132" t="str">
        <f t="shared" si="53"/>
        <v>Основной</v>
      </c>
      <c r="S132" t="str">
        <f t="shared" si="54"/>
        <v>ГУТС</v>
      </c>
      <c r="T132" t="str">
        <f>""</f>
        <v/>
      </c>
      <c r="U132" t="str">
        <f t="shared" si="55"/>
        <v>Нет</v>
      </c>
      <c r="V132">
        <v>51.665382059999999</v>
      </c>
      <c r="W132">
        <v>36.11894041</v>
      </c>
      <c r="X132" t="str">
        <f>"20000004556335"</f>
        <v>20000004556335</v>
      </c>
    </row>
    <row r="133" spans="1:24" x14ac:dyDescent="0.25">
      <c r="A133">
        <v>907</v>
      </c>
      <c r="B133" t="str">
        <f t="shared" si="48"/>
        <v>Курск</v>
      </c>
      <c r="C133">
        <v>391915</v>
      </c>
      <c r="D133" t="str">
        <f>"М 5.4.13"</f>
        <v>М 5.4.13</v>
      </c>
      <c r="E133" t="str">
        <f t="shared" si="49"/>
        <v>Муфта оптическая</v>
      </c>
      <c r="F133" t="str">
        <f t="shared" si="56"/>
        <v>09.08.2012</v>
      </c>
      <c r="G133" t="str">
        <f>""</f>
        <v/>
      </c>
      <c r="H133" t="str">
        <f>"М 5.4.13"</f>
        <v>М 5.4.13</v>
      </c>
      <c r="I133" t="str">
        <f t="shared" si="57"/>
        <v>МС 5.4</v>
      </c>
      <c r="J133" t="str">
        <f>""</f>
        <v/>
      </c>
      <c r="K133" t="str">
        <f t="shared" si="50"/>
        <v>МТОК 96</v>
      </c>
      <c r="L133" t="str">
        <f t="shared" si="58"/>
        <v>Опора</v>
      </c>
      <c r="M133" t="str">
        <f>"30.06.2012"</f>
        <v>30.06.2012</v>
      </c>
      <c r="N133" t="str">
        <f>"EmptySerial&lt;38420&gt;"</f>
        <v>EmptySerial&lt;38420&gt;</v>
      </c>
      <c r="O133" t="str">
        <f t="shared" si="51"/>
        <v>Нет</v>
      </c>
      <c r="P133" t="str">
        <f>"М 5.4.13"</f>
        <v>М 5.4.13</v>
      </c>
      <c r="Q133" t="str">
        <f t="shared" si="52"/>
        <v>Нет</v>
      </c>
      <c r="R133" t="str">
        <f t="shared" si="53"/>
        <v>Основной</v>
      </c>
      <c r="S133" t="str">
        <f t="shared" si="54"/>
        <v>ГУТС</v>
      </c>
      <c r="T133" t="str">
        <f>""</f>
        <v/>
      </c>
      <c r="U133" t="str">
        <f t="shared" si="55"/>
        <v>Нет</v>
      </c>
      <c r="V133">
        <v>51.6665698938126</v>
      </c>
      <c r="W133">
        <v>36.10810429</v>
      </c>
      <c r="X133" t="str">
        <f>"20000004556334"</f>
        <v>20000004556334</v>
      </c>
    </row>
    <row r="134" spans="1:24" x14ac:dyDescent="0.25">
      <c r="A134">
        <v>907</v>
      </c>
      <c r="B134" t="str">
        <f t="shared" si="48"/>
        <v>Курск</v>
      </c>
      <c r="C134">
        <v>391919</v>
      </c>
      <c r="D134" t="str">
        <f>"М 5.4.10"</f>
        <v>М 5.4.10</v>
      </c>
      <c r="E134" t="str">
        <f t="shared" si="49"/>
        <v>Муфта оптическая</v>
      </c>
      <c r="F134" t="str">
        <f t="shared" si="56"/>
        <v>09.08.2012</v>
      </c>
      <c r="G134" t="str">
        <f>""</f>
        <v/>
      </c>
      <c r="H134" t="str">
        <f>"М 5.4.10"</f>
        <v>М 5.4.10</v>
      </c>
      <c r="I134" t="str">
        <f t="shared" si="57"/>
        <v>МС 5.4</v>
      </c>
      <c r="J134" t="str">
        <f>""</f>
        <v/>
      </c>
      <c r="K134" t="str">
        <f t="shared" si="50"/>
        <v>МТОК 96</v>
      </c>
      <c r="L134" t="str">
        <f t="shared" si="58"/>
        <v>Опора</v>
      </c>
      <c r="M134" t="str">
        <f>"30.06.2012"</f>
        <v>30.06.2012</v>
      </c>
      <c r="N134" t="str">
        <f>"EmptySerial&lt;38419&gt;"</f>
        <v>EmptySerial&lt;38419&gt;</v>
      </c>
      <c r="O134" t="str">
        <f t="shared" si="51"/>
        <v>Нет</v>
      </c>
      <c r="P134" t="str">
        <f>"М 5.4.10"</f>
        <v>М 5.4.10</v>
      </c>
      <c r="Q134" t="str">
        <f t="shared" si="52"/>
        <v>Нет</v>
      </c>
      <c r="R134" t="str">
        <f t="shared" si="53"/>
        <v>Основной</v>
      </c>
      <c r="S134" t="str">
        <f t="shared" si="54"/>
        <v>ГУТС</v>
      </c>
      <c r="T134" t="str">
        <f>""</f>
        <v/>
      </c>
      <c r="U134" t="str">
        <f t="shared" si="55"/>
        <v>Нет</v>
      </c>
      <c r="V134">
        <v>51.6678741411855</v>
      </c>
      <c r="W134">
        <v>36.096519827842698</v>
      </c>
      <c r="X134" t="str">
        <f>"20000004556333"</f>
        <v>20000004556333</v>
      </c>
    </row>
    <row r="135" spans="1:24" x14ac:dyDescent="0.25">
      <c r="A135">
        <v>907</v>
      </c>
      <c r="B135" t="str">
        <f t="shared" si="48"/>
        <v>Курск</v>
      </c>
      <c r="C135">
        <v>391923</v>
      </c>
      <c r="D135" t="str">
        <f>"М 5.4.15"</f>
        <v>М 5.4.15</v>
      </c>
      <c r="E135" t="str">
        <f t="shared" si="49"/>
        <v>Муфта оптическая</v>
      </c>
      <c r="F135" t="str">
        <f t="shared" si="56"/>
        <v>09.08.2012</v>
      </c>
      <c r="G135" t="str">
        <f>""</f>
        <v/>
      </c>
      <c r="H135" t="str">
        <f>"М 5.4.15"</f>
        <v>М 5.4.15</v>
      </c>
      <c r="I135" t="str">
        <f t="shared" si="57"/>
        <v>МС 5.4</v>
      </c>
      <c r="J135" t="str">
        <f>""</f>
        <v/>
      </c>
      <c r="K135" t="str">
        <f t="shared" si="50"/>
        <v>МТОК 96</v>
      </c>
      <c r="L135" t="str">
        <f t="shared" si="58"/>
        <v>Опора</v>
      </c>
      <c r="M135" t="str">
        <f>"28.06.2012"</f>
        <v>28.06.2012</v>
      </c>
      <c r="N135" t="str">
        <f>"EmptySerial&lt;38418&gt;"</f>
        <v>EmptySerial&lt;38418&gt;</v>
      </c>
      <c r="O135" t="str">
        <f t="shared" si="51"/>
        <v>Нет</v>
      </c>
      <c r="P135" t="str">
        <f>"М 5.4.15"</f>
        <v>М 5.4.15</v>
      </c>
      <c r="Q135" t="str">
        <f t="shared" si="52"/>
        <v>Нет</v>
      </c>
      <c r="R135" t="str">
        <f t="shared" si="53"/>
        <v>Основной</v>
      </c>
      <c r="S135" t="str">
        <f t="shared" si="54"/>
        <v>ГУТС</v>
      </c>
      <c r="T135" t="str">
        <f>""</f>
        <v/>
      </c>
      <c r="U135" t="str">
        <f t="shared" si="55"/>
        <v>Нет</v>
      </c>
      <c r="V135">
        <v>51.667934029193802</v>
      </c>
      <c r="W135">
        <v>36.094953417778001</v>
      </c>
      <c r="X135" t="str">
        <f>"20000004556332"</f>
        <v>20000004556332</v>
      </c>
    </row>
    <row r="136" spans="1:24" x14ac:dyDescent="0.25">
      <c r="A136">
        <v>907</v>
      </c>
      <c r="B136" t="str">
        <f t="shared" si="48"/>
        <v>Курск</v>
      </c>
      <c r="C136">
        <v>391927</v>
      </c>
      <c r="D136" t="str">
        <f>"М 5.4.14"</f>
        <v>М 5.4.14</v>
      </c>
      <c r="E136" t="str">
        <f t="shared" si="49"/>
        <v>Муфта оптическая</v>
      </c>
      <c r="F136" t="str">
        <f t="shared" si="56"/>
        <v>09.08.2012</v>
      </c>
      <c r="G136" t="str">
        <f>""</f>
        <v/>
      </c>
      <c r="H136" t="str">
        <f>"М 5.4.14"</f>
        <v>М 5.4.14</v>
      </c>
      <c r="I136" t="str">
        <f t="shared" si="57"/>
        <v>МС 5.4</v>
      </c>
      <c r="J136" t="str">
        <f>""</f>
        <v/>
      </c>
      <c r="K136" t="str">
        <f t="shared" si="50"/>
        <v>МТОК 96</v>
      </c>
      <c r="L136" t="str">
        <f t="shared" si="58"/>
        <v>Опора</v>
      </c>
      <c r="M136" t="str">
        <f>"30.06.2012"</f>
        <v>30.06.2012</v>
      </c>
      <c r="N136" t="str">
        <f>"EmptySerial&lt;38417&gt;"</f>
        <v>EmptySerial&lt;38417&gt;</v>
      </c>
      <c r="O136" t="str">
        <f t="shared" si="51"/>
        <v>Нет</v>
      </c>
      <c r="P136" t="str">
        <f>"М 5.4.14"</f>
        <v>М 5.4.14</v>
      </c>
      <c r="Q136" t="str">
        <f t="shared" si="52"/>
        <v>Нет</v>
      </c>
      <c r="R136" t="str">
        <f t="shared" si="53"/>
        <v>Основной</v>
      </c>
      <c r="S136" t="str">
        <f t="shared" si="54"/>
        <v>ГУТС</v>
      </c>
      <c r="T136" t="str">
        <f>""</f>
        <v/>
      </c>
      <c r="U136" t="str">
        <f t="shared" si="55"/>
        <v>Нет</v>
      </c>
      <c r="V136">
        <v>51.670742022474101</v>
      </c>
      <c r="W136">
        <v>36.091053485870397</v>
      </c>
      <c r="X136" t="str">
        <f>"20000004556331"</f>
        <v>20000004556331</v>
      </c>
    </row>
    <row r="137" spans="1:24" x14ac:dyDescent="0.25">
      <c r="A137">
        <v>907</v>
      </c>
      <c r="B137" t="str">
        <f t="shared" si="48"/>
        <v>Курск</v>
      </c>
      <c r="C137">
        <v>391931</v>
      </c>
      <c r="D137" t="str">
        <f>"М 5.4.16"</f>
        <v>М 5.4.16</v>
      </c>
      <c r="E137" t="str">
        <f t="shared" si="49"/>
        <v>Муфта оптическая</v>
      </c>
      <c r="F137" t="str">
        <f t="shared" si="56"/>
        <v>09.08.2012</v>
      </c>
      <c r="G137" t="str">
        <f>""</f>
        <v/>
      </c>
      <c r="H137" t="str">
        <f>"М 5.4.16"</f>
        <v>М 5.4.16</v>
      </c>
      <c r="I137" t="str">
        <f t="shared" si="57"/>
        <v>МС 5.4</v>
      </c>
      <c r="J137" t="str">
        <f>""</f>
        <v/>
      </c>
      <c r="K137" t="str">
        <f t="shared" si="50"/>
        <v>МТОК 96</v>
      </c>
      <c r="L137" t="str">
        <f t="shared" si="58"/>
        <v>Опора</v>
      </c>
      <c r="M137" t="str">
        <f>"28.06.2012"</f>
        <v>28.06.2012</v>
      </c>
      <c r="N137" t="str">
        <f>"EmptySerial&lt;38416&gt;"</f>
        <v>EmptySerial&lt;38416&gt;</v>
      </c>
      <c r="O137" t="str">
        <f t="shared" si="51"/>
        <v>Нет</v>
      </c>
      <c r="P137" t="str">
        <f>"М 5.4.16"</f>
        <v>М 5.4.16</v>
      </c>
      <c r="Q137" t="str">
        <f t="shared" si="52"/>
        <v>Нет</v>
      </c>
      <c r="R137" t="str">
        <f t="shared" si="53"/>
        <v>Основной</v>
      </c>
      <c r="S137" t="str">
        <f t="shared" si="54"/>
        <v>ГУТС</v>
      </c>
      <c r="T137" t="str">
        <f>""</f>
        <v/>
      </c>
      <c r="U137" t="str">
        <f t="shared" si="55"/>
        <v>Нет</v>
      </c>
      <c r="V137">
        <v>51.671424029999997</v>
      </c>
      <c r="W137">
        <v>36.087333260000001</v>
      </c>
      <c r="X137" t="str">
        <f>"20000004556330"</f>
        <v>20000004556330</v>
      </c>
    </row>
    <row r="138" spans="1:24" x14ac:dyDescent="0.25">
      <c r="A138">
        <v>907</v>
      </c>
      <c r="B138" t="str">
        <f t="shared" si="48"/>
        <v>Курск</v>
      </c>
      <c r="C138">
        <v>391935</v>
      </c>
      <c r="D138" t="str">
        <f>"М 5.4.9"</f>
        <v>М 5.4.9</v>
      </c>
      <c r="E138" t="str">
        <f t="shared" si="49"/>
        <v>Муфта оптическая</v>
      </c>
      <c r="F138" t="str">
        <f t="shared" si="56"/>
        <v>09.08.2012</v>
      </c>
      <c r="G138" t="str">
        <f>""</f>
        <v/>
      </c>
      <c r="H138" t="str">
        <f>"М 5.4.9"</f>
        <v>М 5.4.9</v>
      </c>
      <c r="I138" t="str">
        <f t="shared" si="57"/>
        <v>МС 5.4</v>
      </c>
      <c r="J138" t="str">
        <f>""</f>
        <v/>
      </c>
      <c r="K138" t="str">
        <f t="shared" si="50"/>
        <v>МТОК 96</v>
      </c>
      <c r="L138" t="str">
        <f t="shared" si="58"/>
        <v>Опора</v>
      </c>
      <c r="M138" t="str">
        <f>"29.06.2012"</f>
        <v>29.06.2012</v>
      </c>
      <c r="N138" t="str">
        <f>"EmptySerial&lt;38415&gt;"</f>
        <v>EmptySerial&lt;38415&gt;</v>
      </c>
      <c r="O138" t="str">
        <f t="shared" si="51"/>
        <v>Нет</v>
      </c>
      <c r="P138" t="str">
        <f>"М 5.4.9"</f>
        <v>М 5.4.9</v>
      </c>
      <c r="Q138" t="str">
        <f t="shared" si="52"/>
        <v>Нет</v>
      </c>
      <c r="R138" t="str">
        <f t="shared" si="53"/>
        <v>Основной</v>
      </c>
      <c r="S138" t="str">
        <f t="shared" si="54"/>
        <v>ГУТС</v>
      </c>
      <c r="T138" t="str">
        <f>""</f>
        <v/>
      </c>
      <c r="U138" t="str">
        <f t="shared" si="55"/>
        <v>Нет</v>
      </c>
      <c r="V138">
        <v>51.671819926266103</v>
      </c>
      <c r="W138">
        <v>36.0886985063553</v>
      </c>
      <c r="X138" t="str">
        <f>"20000004556329"</f>
        <v>20000004556329</v>
      </c>
    </row>
    <row r="139" spans="1:24" x14ac:dyDescent="0.25">
      <c r="A139">
        <v>907</v>
      </c>
      <c r="B139" t="str">
        <f t="shared" si="48"/>
        <v>Курск</v>
      </c>
      <c r="C139">
        <v>391939</v>
      </c>
      <c r="D139" t="str">
        <f>"М 5.4.8"</f>
        <v>М 5.4.8</v>
      </c>
      <c r="E139" t="str">
        <f t="shared" si="49"/>
        <v>Муфта оптическая</v>
      </c>
      <c r="F139" t="str">
        <f t="shared" si="56"/>
        <v>09.08.2012</v>
      </c>
      <c r="G139" t="str">
        <f>""</f>
        <v/>
      </c>
      <c r="H139" t="str">
        <f>"М 5.4.8"</f>
        <v>М 5.4.8</v>
      </c>
      <c r="I139" t="str">
        <f t="shared" si="57"/>
        <v>МС 5.4</v>
      </c>
      <c r="J139" t="str">
        <f>""</f>
        <v/>
      </c>
      <c r="K139" t="str">
        <f t="shared" si="50"/>
        <v>МТОК 96</v>
      </c>
      <c r="L139" t="str">
        <f t="shared" si="58"/>
        <v>Опора</v>
      </c>
      <c r="M139" t="str">
        <f>"28.06.2012"</f>
        <v>28.06.2012</v>
      </c>
      <c r="N139" t="str">
        <f>"EmptySerial&lt;38414&gt;"</f>
        <v>EmptySerial&lt;38414&gt;</v>
      </c>
      <c r="O139" t="str">
        <f t="shared" si="51"/>
        <v>Нет</v>
      </c>
      <c r="P139" t="str">
        <f>"М 5.4.8"</f>
        <v>М 5.4.8</v>
      </c>
      <c r="Q139" t="str">
        <f t="shared" si="52"/>
        <v>Нет</v>
      </c>
      <c r="R139" t="str">
        <f t="shared" si="53"/>
        <v>Основной</v>
      </c>
      <c r="S139" t="str">
        <f t="shared" si="54"/>
        <v>ГУТС</v>
      </c>
      <c r="T139" t="str">
        <f>""</f>
        <v/>
      </c>
      <c r="U139" t="str">
        <f t="shared" si="55"/>
        <v>Нет</v>
      </c>
      <c r="V139">
        <v>51.6707287148596</v>
      </c>
      <c r="W139">
        <v>36.082577705383301</v>
      </c>
      <c r="X139" t="str">
        <f>"20000004556328"</f>
        <v>20000004556328</v>
      </c>
    </row>
    <row r="140" spans="1:24" x14ac:dyDescent="0.25">
      <c r="A140">
        <v>907</v>
      </c>
      <c r="B140" t="str">
        <f t="shared" si="48"/>
        <v>Курск</v>
      </c>
      <c r="C140">
        <v>391943</v>
      </c>
      <c r="D140" t="str">
        <f>"М 5.4.7"</f>
        <v>М 5.4.7</v>
      </c>
      <c r="E140" t="str">
        <f t="shared" si="49"/>
        <v>Муфта оптическая</v>
      </c>
      <c r="F140" t="str">
        <f t="shared" si="56"/>
        <v>09.08.2012</v>
      </c>
      <c r="G140" t="str">
        <f>""</f>
        <v/>
      </c>
      <c r="H140" t="str">
        <f>"М 5.4.7"</f>
        <v>М 5.4.7</v>
      </c>
      <c r="I140" t="str">
        <f t="shared" si="57"/>
        <v>МС 5.4</v>
      </c>
      <c r="J140" t="str">
        <f>""</f>
        <v/>
      </c>
      <c r="K140" t="str">
        <f t="shared" si="50"/>
        <v>МТОК 96</v>
      </c>
      <c r="L140" t="str">
        <f>"Крыша"</f>
        <v>Крыша</v>
      </c>
      <c r="M140" t="str">
        <f>"23.06.2012"</f>
        <v>23.06.2012</v>
      </c>
      <c r="N140" t="str">
        <f>"EmptySerial&lt;38413&gt;"</f>
        <v>EmptySerial&lt;38413&gt;</v>
      </c>
      <c r="O140" t="str">
        <f t="shared" si="51"/>
        <v>Нет</v>
      </c>
      <c r="P140" t="str">
        <f>"М 5.4.7"</f>
        <v>М 5.4.7</v>
      </c>
      <c r="Q140" t="str">
        <f t="shared" si="52"/>
        <v>Нет</v>
      </c>
      <c r="R140" t="str">
        <f t="shared" si="53"/>
        <v>Основной</v>
      </c>
      <c r="S140" t="str">
        <f t="shared" si="54"/>
        <v>ГУТС</v>
      </c>
      <c r="T140" t="str">
        <f>""</f>
        <v/>
      </c>
      <c r="U140" t="str">
        <f t="shared" si="55"/>
        <v>Нет</v>
      </c>
      <c r="V140">
        <v>51.668552867310297</v>
      </c>
      <c r="W140">
        <v>36.078243255615199</v>
      </c>
      <c r="X140" t="str">
        <f>"20000004556327"</f>
        <v>20000004556327</v>
      </c>
    </row>
    <row r="141" spans="1:24" x14ac:dyDescent="0.25">
      <c r="A141">
        <v>907</v>
      </c>
      <c r="B141" t="str">
        <f t="shared" si="48"/>
        <v>Курск</v>
      </c>
      <c r="C141">
        <v>391947</v>
      </c>
      <c r="D141" t="str">
        <f>"М 5.4.6"</f>
        <v>М 5.4.6</v>
      </c>
      <c r="E141" t="str">
        <f t="shared" si="49"/>
        <v>Муфта оптическая</v>
      </c>
      <c r="F141" t="str">
        <f t="shared" si="56"/>
        <v>09.08.2012</v>
      </c>
      <c r="G141" t="str">
        <f>""</f>
        <v/>
      </c>
      <c r="H141" t="str">
        <f>"М 5.4.6"</f>
        <v>М 5.4.6</v>
      </c>
      <c r="I141" t="str">
        <f t="shared" si="57"/>
        <v>МС 5.4</v>
      </c>
      <c r="J141" t="str">
        <f>""</f>
        <v/>
      </c>
      <c r="K141" t="str">
        <f t="shared" si="50"/>
        <v>МТОК 96</v>
      </c>
      <c r="L141" t="str">
        <f t="shared" ref="L141:L165" si="59">"Опора"</f>
        <v>Опора</v>
      </c>
      <c r="M141" t="str">
        <f>"21.06.2012"</f>
        <v>21.06.2012</v>
      </c>
      <c r="N141" t="str">
        <f>"EmptySerial&lt;38412&gt;"</f>
        <v>EmptySerial&lt;38412&gt;</v>
      </c>
      <c r="O141" t="str">
        <f t="shared" si="51"/>
        <v>Нет</v>
      </c>
      <c r="P141" t="str">
        <f>"М 5.4.6"</f>
        <v>М 5.4.6</v>
      </c>
      <c r="Q141" t="str">
        <f t="shared" si="52"/>
        <v>Нет</v>
      </c>
      <c r="R141" t="str">
        <f t="shared" si="53"/>
        <v>Основной</v>
      </c>
      <c r="S141" t="str">
        <f t="shared" si="54"/>
        <v>ГУТС</v>
      </c>
      <c r="T141" t="str">
        <f>""</f>
        <v/>
      </c>
      <c r="U141" t="str">
        <f t="shared" si="55"/>
        <v>Нет</v>
      </c>
      <c r="V141">
        <v>51.6679473376293</v>
      </c>
      <c r="W141">
        <v>36.0784685611725</v>
      </c>
      <c r="X141" t="str">
        <f>"20000004556326"</f>
        <v>20000004556326</v>
      </c>
    </row>
    <row r="142" spans="1:24" x14ac:dyDescent="0.25">
      <c r="A142">
        <v>907</v>
      </c>
      <c r="B142" t="str">
        <f t="shared" si="48"/>
        <v>Курск</v>
      </c>
      <c r="C142">
        <v>391951</v>
      </c>
      <c r="D142" t="str">
        <f>"М 5.4.5"</f>
        <v>М 5.4.5</v>
      </c>
      <c r="E142" t="str">
        <f t="shared" si="49"/>
        <v>Муфта оптическая</v>
      </c>
      <c r="F142" t="str">
        <f t="shared" si="56"/>
        <v>09.08.2012</v>
      </c>
      <c r="G142" t="str">
        <f>""</f>
        <v/>
      </c>
      <c r="H142" t="str">
        <f>"М 5.4.5"</f>
        <v>М 5.4.5</v>
      </c>
      <c r="I142" t="str">
        <f t="shared" si="57"/>
        <v>МС 5.4</v>
      </c>
      <c r="J142" t="str">
        <f>""</f>
        <v/>
      </c>
      <c r="K142" t="str">
        <f t="shared" si="50"/>
        <v>МТОК 96</v>
      </c>
      <c r="L142" t="str">
        <f t="shared" si="59"/>
        <v>Опора</v>
      </c>
      <c r="M142" t="str">
        <f>"16.06.2012"</f>
        <v>16.06.2012</v>
      </c>
      <c r="N142" t="str">
        <f>"EmptySerial&lt;38411&gt;"</f>
        <v>EmptySerial&lt;38411&gt;</v>
      </c>
      <c r="O142" t="str">
        <f t="shared" si="51"/>
        <v>Нет</v>
      </c>
      <c r="P142" t="str">
        <f>"М 5.4.5"</f>
        <v>М 5.4.5</v>
      </c>
      <c r="Q142" t="str">
        <f t="shared" si="52"/>
        <v>Нет</v>
      </c>
      <c r="R142" t="str">
        <f t="shared" si="53"/>
        <v>Основной</v>
      </c>
      <c r="S142" t="str">
        <f t="shared" si="54"/>
        <v>ГУТС</v>
      </c>
      <c r="T142" t="str">
        <f>""</f>
        <v/>
      </c>
      <c r="U142" t="str">
        <f t="shared" si="55"/>
        <v>Нет</v>
      </c>
      <c r="V142">
        <v>51.667997244227699</v>
      </c>
      <c r="W142">
        <v>36.0910320281982</v>
      </c>
      <c r="X142" t="str">
        <f>"20000004556325"</f>
        <v>20000004556325</v>
      </c>
    </row>
    <row r="143" spans="1:24" x14ac:dyDescent="0.25">
      <c r="A143">
        <v>907</v>
      </c>
      <c r="B143" t="str">
        <f t="shared" si="48"/>
        <v>Курск</v>
      </c>
      <c r="C143">
        <v>391955</v>
      </c>
      <c r="D143" t="str">
        <f>"М 5.4.4"</f>
        <v>М 5.4.4</v>
      </c>
      <c r="E143" t="str">
        <f t="shared" si="49"/>
        <v>Муфта оптическая</v>
      </c>
      <c r="F143" t="str">
        <f t="shared" si="56"/>
        <v>09.08.2012</v>
      </c>
      <c r="G143" t="str">
        <f>""</f>
        <v/>
      </c>
      <c r="H143" t="str">
        <f>"М 5.4.4"</f>
        <v>М 5.4.4</v>
      </c>
      <c r="I143" t="str">
        <f t="shared" si="57"/>
        <v>МС 5.4</v>
      </c>
      <c r="J143" t="str">
        <f>""</f>
        <v/>
      </c>
      <c r="K143" t="str">
        <f t="shared" si="50"/>
        <v>МТОК 96</v>
      </c>
      <c r="L143" t="str">
        <f t="shared" si="59"/>
        <v>Опора</v>
      </c>
      <c r="M143" t="str">
        <f>"14.06.2012"</f>
        <v>14.06.2012</v>
      </c>
      <c r="N143" t="str">
        <f>"EmptySerial&lt;38410&gt;"</f>
        <v>EmptySerial&lt;38410&gt;</v>
      </c>
      <c r="O143" t="str">
        <f t="shared" si="51"/>
        <v>Нет</v>
      </c>
      <c r="P143" t="str">
        <f>"М 5.4.4"</f>
        <v>М 5.4.4</v>
      </c>
      <c r="Q143" t="str">
        <f t="shared" si="52"/>
        <v>Нет</v>
      </c>
      <c r="R143" t="str">
        <f t="shared" si="53"/>
        <v>Основной</v>
      </c>
      <c r="S143" t="str">
        <f t="shared" si="54"/>
        <v>ГУТС</v>
      </c>
      <c r="T143" t="str">
        <f>""</f>
        <v/>
      </c>
      <c r="U143" t="str">
        <f t="shared" si="55"/>
        <v>Нет</v>
      </c>
      <c r="V143">
        <v>51.6678907767513</v>
      </c>
      <c r="W143">
        <v>36.094964146614103</v>
      </c>
      <c r="X143" t="str">
        <f>"20000004556324"</f>
        <v>20000004556324</v>
      </c>
    </row>
    <row r="144" spans="1:24" x14ac:dyDescent="0.25">
      <c r="A144">
        <v>907</v>
      </c>
      <c r="B144" t="str">
        <f t="shared" si="48"/>
        <v>Курск</v>
      </c>
      <c r="C144">
        <v>391959</v>
      </c>
      <c r="D144" t="str">
        <f>"М 5.4.3"</f>
        <v>М 5.4.3</v>
      </c>
      <c r="E144" t="str">
        <f t="shared" si="49"/>
        <v>Муфта оптическая</v>
      </c>
      <c r="F144" t="str">
        <f t="shared" si="56"/>
        <v>09.08.2012</v>
      </c>
      <c r="G144" t="str">
        <f>""</f>
        <v/>
      </c>
      <c r="H144" t="str">
        <f>"М 5.4.3"</f>
        <v>М 5.4.3</v>
      </c>
      <c r="I144" t="str">
        <f t="shared" si="57"/>
        <v>МС 5.4</v>
      </c>
      <c r="J144" t="str">
        <f>""</f>
        <v/>
      </c>
      <c r="K144" t="str">
        <f t="shared" si="50"/>
        <v>МТОК 96</v>
      </c>
      <c r="L144" t="str">
        <f t="shared" si="59"/>
        <v>Опора</v>
      </c>
      <c r="M144" t="str">
        <f>"08.06.2012"</f>
        <v>08.06.2012</v>
      </c>
      <c r="N144" t="str">
        <f>"EmptySerial&lt;38409&gt;"</f>
        <v>EmptySerial&lt;38409&gt;</v>
      </c>
      <c r="O144" t="str">
        <f t="shared" si="51"/>
        <v>Нет</v>
      </c>
      <c r="P144" t="str">
        <f>"М 5.4.3"</f>
        <v>М 5.4.3</v>
      </c>
      <c r="Q144" t="str">
        <f t="shared" si="52"/>
        <v>Нет</v>
      </c>
      <c r="R144" t="str">
        <f t="shared" si="53"/>
        <v>Основной</v>
      </c>
      <c r="S144" t="str">
        <f t="shared" si="54"/>
        <v>ГУТС</v>
      </c>
      <c r="T144" t="str">
        <f>""</f>
        <v/>
      </c>
      <c r="U144" t="str">
        <f t="shared" si="55"/>
        <v>Нет</v>
      </c>
      <c r="V144">
        <v>51.666566566602903</v>
      </c>
      <c r="W144">
        <v>36.106170415878303</v>
      </c>
      <c r="X144" t="str">
        <f>"20000004556323"</f>
        <v>20000004556323</v>
      </c>
    </row>
    <row r="145" spans="1:24" x14ac:dyDescent="0.25">
      <c r="A145">
        <v>907</v>
      </c>
      <c r="B145" t="str">
        <f t="shared" si="48"/>
        <v>Курск</v>
      </c>
      <c r="C145">
        <v>391963</v>
      </c>
      <c r="D145" t="str">
        <f>"М 5.4.2"</f>
        <v>М 5.4.2</v>
      </c>
      <c r="E145" t="str">
        <f t="shared" si="49"/>
        <v>Муфта оптическая</v>
      </c>
      <c r="F145" t="str">
        <f t="shared" si="56"/>
        <v>09.08.2012</v>
      </c>
      <c r="G145" t="str">
        <f>""</f>
        <v/>
      </c>
      <c r="H145" t="str">
        <f>"М 5.4.2"</f>
        <v>М 5.4.2</v>
      </c>
      <c r="I145" t="str">
        <f t="shared" si="57"/>
        <v>МС 5.4</v>
      </c>
      <c r="J145" t="str">
        <f>""</f>
        <v/>
      </c>
      <c r="K145" t="str">
        <f t="shared" si="50"/>
        <v>МТОК 96</v>
      </c>
      <c r="L145" t="str">
        <f t="shared" si="59"/>
        <v>Опора</v>
      </c>
      <c r="M145" t="str">
        <f>"06.06.2012"</f>
        <v>06.06.2012</v>
      </c>
      <c r="N145" t="str">
        <f>"EmptySerial&lt;38408&gt;"</f>
        <v>EmptySerial&lt;38408&gt;</v>
      </c>
      <c r="O145" t="str">
        <f t="shared" si="51"/>
        <v>Нет</v>
      </c>
      <c r="P145" t="str">
        <f>"М 5.4.2"</f>
        <v>М 5.4.2</v>
      </c>
      <c r="Q145" t="str">
        <f t="shared" si="52"/>
        <v>Нет</v>
      </c>
      <c r="R145" t="str">
        <f t="shared" si="53"/>
        <v>Основной</v>
      </c>
      <c r="S145" t="str">
        <f t="shared" si="54"/>
        <v>ГУТС</v>
      </c>
      <c r="T145" t="str">
        <f>""</f>
        <v/>
      </c>
      <c r="U145" t="str">
        <f t="shared" si="55"/>
        <v>Нет</v>
      </c>
      <c r="V145">
        <v>51.664783149999998</v>
      </c>
      <c r="W145">
        <v>36.119763849999998</v>
      </c>
      <c r="X145" t="str">
        <f>"20000004556322"</f>
        <v>20000004556322</v>
      </c>
    </row>
    <row r="146" spans="1:24" x14ac:dyDescent="0.25">
      <c r="A146">
        <v>907</v>
      </c>
      <c r="B146" t="str">
        <f t="shared" si="48"/>
        <v>Курск</v>
      </c>
      <c r="C146">
        <v>391967</v>
      </c>
      <c r="D146" t="str">
        <f>"М 5.4.1"</f>
        <v>М 5.4.1</v>
      </c>
      <c r="E146" t="str">
        <f t="shared" si="49"/>
        <v>Муфта оптическая</v>
      </c>
      <c r="F146" t="str">
        <f t="shared" si="56"/>
        <v>09.08.2012</v>
      </c>
      <c r="G146" t="str">
        <f>""</f>
        <v/>
      </c>
      <c r="H146" t="str">
        <f>"М 5.4.1"</f>
        <v>М 5.4.1</v>
      </c>
      <c r="I146" t="str">
        <f t="shared" si="57"/>
        <v>МС 5.4</v>
      </c>
      <c r="J146" t="str">
        <f>""</f>
        <v/>
      </c>
      <c r="K146" t="str">
        <f t="shared" si="50"/>
        <v>МТОК 96</v>
      </c>
      <c r="L146" t="str">
        <f t="shared" si="59"/>
        <v>Опора</v>
      </c>
      <c r="M146" t="str">
        <f>"03.06.2012"</f>
        <v>03.06.2012</v>
      </c>
      <c r="N146" t="str">
        <f>"EmptySerial&lt;38407&gt;"</f>
        <v>EmptySerial&lt;38407&gt;</v>
      </c>
      <c r="O146" t="str">
        <f t="shared" si="51"/>
        <v>Нет</v>
      </c>
      <c r="P146" t="str">
        <f>"М 5.4.1"</f>
        <v>М 5.4.1</v>
      </c>
      <c r="Q146" t="str">
        <f t="shared" si="52"/>
        <v>Нет</v>
      </c>
      <c r="R146" t="str">
        <f t="shared" si="53"/>
        <v>Основной</v>
      </c>
      <c r="S146" t="str">
        <f t="shared" si="54"/>
        <v>ГУТС</v>
      </c>
      <c r="T146" t="str">
        <f>""</f>
        <v/>
      </c>
      <c r="U146" t="str">
        <f t="shared" si="55"/>
        <v>Нет</v>
      </c>
      <c r="V146">
        <v>51.663475069999997</v>
      </c>
      <c r="W146">
        <v>36.132100000000001</v>
      </c>
      <c r="X146" t="str">
        <f>"20000004556321"</f>
        <v>20000004556321</v>
      </c>
    </row>
    <row r="147" spans="1:24" x14ac:dyDescent="0.25">
      <c r="A147">
        <v>907</v>
      </c>
      <c r="B147" t="str">
        <f t="shared" si="48"/>
        <v>Курск</v>
      </c>
      <c r="C147">
        <v>394633</v>
      </c>
      <c r="D147" t="str">
        <f>"М 5.4.12"</f>
        <v>М 5.4.12</v>
      </c>
      <c r="E147" t="str">
        <f t="shared" si="49"/>
        <v>Муфта оптическая</v>
      </c>
      <c r="F147" t="str">
        <f>"13.08.2012"</f>
        <v>13.08.2012</v>
      </c>
      <c r="G147" t="str">
        <f>""</f>
        <v/>
      </c>
      <c r="H147" t="str">
        <f>"М 5.4.12"</f>
        <v>М 5.4.12</v>
      </c>
      <c r="I147" t="str">
        <f t="shared" si="57"/>
        <v>МС 5.4</v>
      </c>
      <c r="J147" t="str">
        <f>""</f>
        <v/>
      </c>
      <c r="K147" t="str">
        <f t="shared" si="50"/>
        <v>МТОК 96</v>
      </c>
      <c r="L147" t="str">
        <f t="shared" si="59"/>
        <v>Опора</v>
      </c>
      <c r="M147" t="str">
        <f>"30.06.2012"</f>
        <v>30.06.2012</v>
      </c>
      <c r="N147" t="str">
        <f>"EmptySerial&lt;38441&gt;"</f>
        <v>EmptySerial&lt;38441&gt;</v>
      </c>
      <c r="O147" t="str">
        <f t="shared" si="51"/>
        <v>Нет</v>
      </c>
      <c r="P147" t="str">
        <f>"М 5.4.12"</f>
        <v>М 5.4.12</v>
      </c>
      <c r="Q147" t="str">
        <f t="shared" si="52"/>
        <v>Нет</v>
      </c>
      <c r="R147" t="str">
        <f t="shared" si="53"/>
        <v>Основной</v>
      </c>
      <c r="S147" t="str">
        <f t="shared" si="54"/>
        <v>ГУТС</v>
      </c>
      <c r="T147" t="str">
        <f>""</f>
        <v/>
      </c>
      <c r="U147" t="str">
        <f t="shared" si="55"/>
        <v>Нет</v>
      </c>
      <c r="V147">
        <v>51.66293976</v>
      </c>
      <c r="W147">
        <v>36.131906209999997</v>
      </c>
      <c r="X147" t="str">
        <f>"20000004556336"</f>
        <v>20000004556336</v>
      </c>
    </row>
    <row r="148" spans="1:24" x14ac:dyDescent="0.25">
      <c r="A148">
        <v>907</v>
      </c>
      <c r="B148" t="str">
        <f t="shared" si="48"/>
        <v>Курск</v>
      </c>
      <c r="C148">
        <v>397433</v>
      </c>
      <c r="D148" t="str">
        <f>"Т 7.4"</f>
        <v>Т 7.4</v>
      </c>
      <c r="E148" t="str">
        <f t="shared" si="49"/>
        <v>Муфта оптическая</v>
      </c>
      <c r="F148" t="str">
        <f>"17.08.2012"</f>
        <v>17.08.2012</v>
      </c>
      <c r="G148" t="str">
        <f>""</f>
        <v/>
      </c>
      <c r="H148" t="str">
        <f>"Т 7.4"</f>
        <v>Т 7.4</v>
      </c>
      <c r="I148" t="str">
        <f>"ТС"</f>
        <v>ТС</v>
      </c>
      <c r="J148" t="str">
        <f>""</f>
        <v/>
      </c>
      <c r="K148" t="str">
        <f t="shared" si="50"/>
        <v>МТОК 96</v>
      </c>
      <c r="L148" t="str">
        <f t="shared" si="59"/>
        <v>Опора</v>
      </c>
      <c r="M148" t="str">
        <f>"07.06.2012"</f>
        <v>07.06.2012</v>
      </c>
      <c r="N148" t="str">
        <f>"EmptySerial&lt;38784&gt;"</f>
        <v>EmptySerial&lt;38784&gt;</v>
      </c>
      <c r="O148" t="str">
        <f t="shared" si="51"/>
        <v>Нет</v>
      </c>
      <c r="P148" t="str">
        <f>"Т 7.4"</f>
        <v>Т 7.4</v>
      </c>
      <c r="Q148" t="str">
        <f t="shared" si="52"/>
        <v>Нет</v>
      </c>
      <c r="R148" t="str">
        <f t="shared" si="53"/>
        <v>Основной</v>
      </c>
      <c r="S148" t="str">
        <f t="shared" si="54"/>
        <v>ГУТС</v>
      </c>
      <c r="T148" t="str">
        <f>""</f>
        <v/>
      </c>
      <c r="U148" t="str">
        <f t="shared" si="55"/>
        <v>Нет</v>
      </c>
      <c r="V148">
        <v>51.758280429999999</v>
      </c>
      <c r="W148">
        <v>36.218118779999998</v>
      </c>
      <c r="X148" t="str">
        <f>"20000004556621"</f>
        <v>20000004556621</v>
      </c>
    </row>
    <row r="149" spans="1:24" x14ac:dyDescent="0.25">
      <c r="A149">
        <v>907</v>
      </c>
      <c r="B149" t="str">
        <f t="shared" si="48"/>
        <v>Курск</v>
      </c>
      <c r="C149">
        <v>397437</v>
      </c>
      <c r="D149" t="str">
        <f>"Т 7.3"</f>
        <v>Т 7.3</v>
      </c>
      <c r="E149" t="str">
        <f t="shared" si="49"/>
        <v>Муфта оптическая</v>
      </c>
      <c r="F149" t="str">
        <f>"17.08.2012"</f>
        <v>17.08.2012</v>
      </c>
      <c r="G149" t="str">
        <f>""</f>
        <v/>
      </c>
      <c r="H149" t="str">
        <f>"Т 7.3"</f>
        <v>Т 7.3</v>
      </c>
      <c r="I149" t="str">
        <f>"ТС"</f>
        <v>ТС</v>
      </c>
      <c r="J149" t="str">
        <f>""</f>
        <v/>
      </c>
      <c r="K149" t="str">
        <f t="shared" si="50"/>
        <v>МТОК 96</v>
      </c>
      <c r="L149" t="str">
        <f t="shared" si="59"/>
        <v>Опора</v>
      </c>
      <c r="M149" t="str">
        <f>"25.05.2012"</f>
        <v>25.05.2012</v>
      </c>
      <c r="N149" t="str">
        <f>"EmptySerial&lt;38783&gt;"</f>
        <v>EmptySerial&lt;38783&gt;</v>
      </c>
      <c r="O149" t="str">
        <f t="shared" si="51"/>
        <v>Нет</v>
      </c>
      <c r="P149" t="str">
        <f>"Т 7.3"</f>
        <v>Т 7.3</v>
      </c>
      <c r="Q149" t="str">
        <f t="shared" si="52"/>
        <v>Нет</v>
      </c>
      <c r="R149" t="str">
        <f t="shared" si="53"/>
        <v>Основной</v>
      </c>
      <c r="S149" t="str">
        <f t="shared" si="54"/>
        <v>ГУТС</v>
      </c>
      <c r="T149" t="str">
        <f>""</f>
        <v/>
      </c>
      <c r="U149" t="str">
        <f t="shared" si="55"/>
        <v>Нет</v>
      </c>
      <c r="V149">
        <v>51.755309140000001</v>
      </c>
      <c r="W149">
        <v>36.214957480000002</v>
      </c>
      <c r="X149" t="str">
        <f>"20000004556620"</f>
        <v>20000004556620</v>
      </c>
    </row>
    <row r="150" spans="1:24" x14ac:dyDescent="0.25">
      <c r="A150">
        <v>907</v>
      </c>
      <c r="B150" t="str">
        <f t="shared" si="48"/>
        <v>Курск</v>
      </c>
      <c r="C150">
        <v>397441</v>
      </c>
      <c r="D150" t="str">
        <f>"Т 7.2"</f>
        <v>Т 7.2</v>
      </c>
      <c r="E150" t="str">
        <f t="shared" si="49"/>
        <v>Муфта оптическая</v>
      </c>
      <c r="F150" t="str">
        <f>"17.08.2012"</f>
        <v>17.08.2012</v>
      </c>
      <c r="G150" t="str">
        <f>""</f>
        <v/>
      </c>
      <c r="H150" t="str">
        <f>"Т 7.2"</f>
        <v>Т 7.2</v>
      </c>
      <c r="I150" t="str">
        <f>"ТС"</f>
        <v>ТС</v>
      </c>
      <c r="J150" t="str">
        <f>""</f>
        <v/>
      </c>
      <c r="K150" t="str">
        <f t="shared" si="50"/>
        <v>МТОК 96</v>
      </c>
      <c r="L150" t="str">
        <f t="shared" si="59"/>
        <v>Опора</v>
      </c>
      <c r="M150" t="str">
        <f>"16.05.2012"</f>
        <v>16.05.2012</v>
      </c>
      <c r="N150" t="str">
        <f>"EmptySerial&lt;38782&gt;"</f>
        <v>EmptySerial&lt;38782&gt;</v>
      </c>
      <c r="O150" t="str">
        <f t="shared" si="51"/>
        <v>Нет</v>
      </c>
      <c r="P150" t="str">
        <f>"Т 7.2"</f>
        <v>Т 7.2</v>
      </c>
      <c r="Q150" t="str">
        <f t="shared" si="52"/>
        <v>Нет</v>
      </c>
      <c r="R150" t="str">
        <f t="shared" si="53"/>
        <v>Основной</v>
      </c>
      <c r="S150" t="str">
        <f t="shared" si="54"/>
        <v>ГУТС</v>
      </c>
      <c r="T150" t="str">
        <f>""</f>
        <v/>
      </c>
      <c r="U150" t="str">
        <f t="shared" si="55"/>
        <v>Нет</v>
      </c>
      <c r="V150">
        <v>51.750970870000003</v>
      </c>
      <c r="W150">
        <v>36.192634439999999</v>
      </c>
      <c r="X150" t="str">
        <f>"20000004556619"</f>
        <v>20000004556619</v>
      </c>
    </row>
    <row r="151" spans="1:24" x14ac:dyDescent="0.25">
      <c r="A151">
        <v>907</v>
      </c>
      <c r="B151" t="str">
        <f t="shared" si="48"/>
        <v>Курск</v>
      </c>
      <c r="C151">
        <v>397445</v>
      </c>
      <c r="D151" t="str">
        <f>"Т 7.1"</f>
        <v>Т 7.1</v>
      </c>
      <c r="E151" t="str">
        <f t="shared" si="49"/>
        <v>Муфта оптическая</v>
      </c>
      <c r="F151" t="str">
        <f>"17.08.2012"</f>
        <v>17.08.2012</v>
      </c>
      <c r="G151" t="str">
        <f>""</f>
        <v/>
      </c>
      <c r="H151" t="str">
        <f>"Т 7.1"</f>
        <v>Т 7.1</v>
      </c>
      <c r="I151" t="str">
        <f>"ТС"</f>
        <v>ТС</v>
      </c>
      <c r="J151" t="str">
        <f>""</f>
        <v/>
      </c>
      <c r="K151" t="str">
        <f t="shared" si="50"/>
        <v>МТОК 96</v>
      </c>
      <c r="L151" t="str">
        <f t="shared" si="59"/>
        <v>Опора</v>
      </c>
      <c r="M151" t="str">
        <f>"10.05.2012"</f>
        <v>10.05.2012</v>
      </c>
      <c r="N151" t="str">
        <f>"EmptySerial&lt;38781&gt;"</f>
        <v>EmptySerial&lt;38781&gt;</v>
      </c>
      <c r="O151" t="str">
        <f t="shared" si="51"/>
        <v>Нет</v>
      </c>
      <c r="P151" t="str">
        <f>"Т 7.1"</f>
        <v>Т 7.1</v>
      </c>
      <c r="Q151" t="str">
        <f t="shared" si="52"/>
        <v>Нет</v>
      </c>
      <c r="R151" t="str">
        <f t="shared" si="53"/>
        <v>Основной</v>
      </c>
      <c r="S151" t="str">
        <f t="shared" si="54"/>
        <v>ГУТС</v>
      </c>
      <c r="T151" t="str">
        <f>""</f>
        <v/>
      </c>
      <c r="U151" t="str">
        <f t="shared" si="55"/>
        <v>Нет</v>
      </c>
      <c r="V151">
        <v>51.751966330000002</v>
      </c>
      <c r="W151">
        <v>36.191986020000002</v>
      </c>
      <c r="X151" t="str">
        <f>"20000004556618"</f>
        <v>20000004556618</v>
      </c>
    </row>
    <row r="152" spans="1:24" x14ac:dyDescent="0.25">
      <c r="A152">
        <v>907</v>
      </c>
      <c r="B152" t="str">
        <f t="shared" si="48"/>
        <v>Курск</v>
      </c>
      <c r="C152">
        <v>414737</v>
      </c>
      <c r="D152" t="str">
        <f>"М 5.3.8"</f>
        <v>М 5.3.8</v>
      </c>
      <c r="E152" t="str">
        <f t="shared" si="49"/>
        <v>Муфта оптическая</v>
      </c>
      <c r="F152" t="str">
        <f t="shared" ref="F152:F164" si="60">"11.09.2012"</f>
        <v>11.09.2012</v>
      </c>
      <c r="G152" t="str">
        <f>""</f>
        <v/>
      </c>
      <c r="H152" t="str">
        <f>"М 5.3.8"</f>
        <v>М 5.3.8</v>
      </c>
      <c r="I152" t="str">
        <f t="shared" ref="I152:I158" si="61">"МС 5.3"</f>
        <v>МС 5.3</v>
      </c>
      <c r="J152" t="str">
        <f>""</f>
        <v/>
      </c>
      <c r="K152" t="str">
        <f t="shared" si="50"/>
        <v>МТОК 96</v>
      </c>
      <c r="L152" t="str">
        <f t="shared" si="59"/>
        <v>Опора</v>
      </c>
      <c r="M152" t="str">
        <f>"27.07.2012"</f>
        <v>27.07.2012</v>
      </c>
      <c r="N152" t="str">
        <f>"EmptySerial&lt;40936&gt;"</f>
        <v>EmptySerial&lt;40936&gt;</v>
      </c>
      <c r="O152" t="str">
        <f t="shared" si="51"/>
        <v>Нет</v>
      </c>
      <c r="P152" t="str">
        <f>"М 5.3.8"</f>
        <v>М 5.3.8</v>
      </c>
      <c r="Q152" t="str">
        <f t="shared" si="52"/>
        <v>Нет</v>
      </c>
      <c r="R152" t="str">
        <f t="shared" si="53"/>
        <v>Основной</v>
      </c>
      <c r="S152" t="str">
        <f t="shared" si="54"/>
        <v>ГУТС</v>
      </c>
      <c r="T152" t="str">
        <f>""</f>
        <v/>
      </c>
      <c r="U152" t="str">
        <f t="shared" si="55"/>
        <v>Нет</v>
      </c>
      <c r="V152">
        <v>51.665092380725</v>
      </c>
      <c r="W152">
        <v>36.1390992254019</v>
      </c>
      <c r="X152" t="str">
        <f>"20000004558029"</f>
        <v>20000004558029</v>
      </c>
    </row>
    <row r="153" spans="1:24" x14ac:dyDescent="0.25">
      <c r="A153">
        <v>907</v>
      </c>
      <c r="B153" t="str">
        <f t="shared" si="48"/>
        <v>Курск</v>
      </c>
      <c r="C153">
        <v>414741</v>
      </c>
      <c r="D153" t="str">
        <f>"М 5.3.7"</f>
        <v>М 5.3.7</v>
      </c>
      <c r="E153" t="str">
        <f t="shared" si="49"/>
        <v>Муфта оптическая</v>
      </c>
      <c r="F153" t="str">
        <f t="shared" si="60"/>
        <v>11.09.2012</v>
      </c>
      <c r="G153" t="str">
        <f>""</f>
        <v/>
      </c>
      <c r="H153" t="str">
        <f>"М 5.3.7"</f>
        <v>М 5.3.7</v>
      </c>
      <c r="I153" t="str">
        <f t="shared" si="61"/>
        <v>МС 5.3</v>
      </c>
      <c r="J153" t="str">
        <f>""</f>
        <v/>
      </c>
      <c r="K153" t="str">
        <f t="shared" si="50"/>
        <v>МТОК 96</v>
      </c>
      <c r="L153" t="str">
        <f t="shared" si="59"/>
        <v>Опора</v>
      </c>
      <c r="M153" t="str">
        <f>"25.07.2012"</f>
        <v>25.07.2012</v>
      </c>
      <c r="N153" t="str">
        <f>"EmptySerial&lt;40935&gt;"</f>
        <v>EmptySerial&lt;40935&gt;</v>
      </c>
      <c r="O153" t="str">
        <f t="shared" si="51"/>
        <v>Нет</v>
      </c>
      <c r="P153" t="str">
        <f>"М 5.3.7"</f>
        <v>М 5.3.7</v>
      </c>
      <c r="Q153" t="str">
        <f t="shared" si="52"/>
        <v>Нет</v>
      </c>
      <c r="R153" t="str">
        <f t="shared" si="53"/>
        <v>Основной</v>
      </c>
      <c r="S153" t="str">
        <f t="shared" si="54"/>
        <v>ГУТС</v>
      </c>
      <c r="T153" t="str">
        <f>""</f>
        <v/>
      </c>
      <c r="U153" t="str">
        <f t="shared" si="55"/>
        <v>Нет</v>
      </c>
      <c r="V153">
        <v>51.665641384880203</v>
      </c>
      <c r="W153">
        <v>36.147607192397103</v>
      </c>
      <c r="X153" t="str">
        <f>"20000004558028"</f>
        <v>20000004558028</v>
      </c>
    </row>
    <row r="154" spans="1:24" x14ac:dyDescent="0.25">
      <c r="A154">
        <v>907</v>
      </c>
      <c r="B154" t="str">
        <f t="shared" si="48"/>
        <v>Курск</v>
      </c>
      <c r="C154">
        <v>414745</v>
      </c>
      <c r="D154" t="str">
        <f>"М 5.3.6"</f>
        <v>М 5.3.6</v>
      </c>
      <c r="E154" t="str">
        <f t="shared" si="49"/>
        <v>Муфта оптическая</v>
      </c>
      <c r="F154" t="str">
        <f t="shared" si="60"/>
        <v>11.09.2012</v>
      </c>
      <c r="G154" t="str">
        <f>""</f>
        <v/>
      </c>
      <c r="H154" t="str">
        <f>"М 5.3.6"</f>
        <v>М 5.3.6</v>
      </c>
      <c r="I154" t="str">
        <f t="shared" si="61"/>
        <v>МС 5.3</v>
      </c>
      <c r="J154" t="str">
        <f>""</f>
        <v/>
      </c>
      <c r="K154" t="str">
        <f t="shared" si="50"/>
        <v>МТОК 96</v>
      </c>
      <c r="L154" t="str">
        <f t="shared" si="59"/>
        <v>Опора</v>
      </c>
      <c r="M154" t="str">
        <f>"24.07.2012"</f>
        <v>24.07.2012</v>
      </c>
      <c r="N154" t="str">
        <f>"EmptySerial&lt;40934&gt;"</f>
        <v>EmptySerial&lt;40934&gt;</v>
      </c>
      <c r="O154" t="str">
        <f t="shared" si="51"/>
        <v>Нет</v>
      </c>
      <c r="P154" t="str">
        <f>"М 5.3.6"</f>
        <v>М 5.3.6</v>
      </c>
      <c r="Q154" t="str">
        <f t="shared" si="52"/>
        <v>Нет</v>
      </c>
      <c r="R154" t="str">
        <f t="shared" si="53"/>
        <v>Основной</v>
      </c>
      <c r="S154" t="str">
        <f t="shared" si="54"/>
        <v>ГУТС</v>
      </c>
      <c r="T154" t="str">
        <f>""</f>
        <v/>
      </c>
      <c r="U154" t="str">
        <f t="shared" si="55"/>
        <v>Нет</v>
      </c>
      <c r="V154">
        <v>51.667224310000002</v>
      </c>
      <c r="W154">
        <v>36.149133370000001</v>
      </c>
      <c r="X154" t="str">
        <f>"20000004558027"</f>
        <v>20000004558027</v>
      </c>
    </row>
    <row r="155" spans="1:24" x14ac:dyDescent="0.25">
      <c r="A155">
        <v>907</v>
      </c>
      <c r="B155" t="str">
        <f t="shared" si="48"/>
        <v>Курск</v>
      </c>
      <c r="C155">
        <v>414749</v>
      </c>
      <c r="D155" t="str">
        <f>"М 5.3.5"</f>
        <v>М 5.3.5</v>
      </c>
      <c r="E155" t="str">
        <f t="shared" si="49"/>
        <v>Муфта оптическая</v>
      </c>
      <c r="F155" t="str">
        <f t="shared" si="60"/>
        <v>11.09.2012</v>
      </c>
      <c r="G155" t="str">
        <f>""</f>
        <v/>
      </c>
      <c r="H155" t="str">
        <f>"М 5.3.5"</f>
        <v>М 5.3.5</v>
      </c>
      <c r="I155" t="str">
        <f t="shared" si="61"/>
        <v>МС 5.3</v>
      </c>
      <c r="J155" t="str">
        <f>""</f>
        <v/>
      </c>
      <c r="K155" t="str">
        <f t="shared" si="50"/>
        <v>МТОК 96</v>
      </c>
      <c r="L155" t="str">
        <f t="shared" si="59"/>
        <v>Опора</v>
      </c>
      <c r="M155" t="str">
        <f>"20.07.2012"</f>
        <v>20.07.2012</v>
      </c>
      <c r="N155" t="str">
        <f>"EmptySerial&lt;40933&gt;"</f>
        <v>EmptySerial&lt;40933&gt;</v>
      </c>
      <c r="O155" t="str">
        <f t="shared" si="51"/>
        <v>Нет</v>
      </c>
      <c r="P155" t="str">
        <f>"М 5.3.5"</f>
        <v>М 5.3.5</v>
      </c>
      <c r="Q155" t="str">
        <f t="shared" si="52"/>
        <v>Нет</v>
      </c>
      <c r="R155" t="str">
        <f t="shared" si="53"/>
        <v>Основной</v>
      </c>
      <c r="S155" t="str">
        <f t="shared" si="54"/>
        <v>ГУТС</v>
      </c>
      <c r="T155" t="str">
        <f>""</f>
        <v/>
      </c>
      <c r="U155" t="str">
        <f t="shared" si="55"/>
        <v>Нет</v>
      </c>
      <c r="V155">
        <v>51.668239914279098</v>
      </c>
      <c r="W155">
        <v>36.1464860290289</v>
      </c>
      <c r="X155" t="str">
        <f>"20000004558026"</f>
        <v>20000004558026</v>
      </c>
    </row>
    <row r="156" spans="1:24" x14ac:dyDescent="0.25">
      <c r="A156">
        <v>907</v>
      </c>
      <c r="B156" t="str">
        <f t="shared" si="48"/>
        <v>Курск</v>
      </c>
      <c r="C156">
        <v>414753</v>
      </c>
      <c r="D156" t="str">
        <f>"М 5.3.4"</f>
        <v>М 5.3.4</v>
      </c>
      <c r="E156" t="str">
        <f t="shared" si="49"/>
        <v>Муфта оптическая</v>
      </c>
      <c r="F156" t="str">
        <f t="shared" si="60"/>
        <v>11.09.2012</v>
      </c>
      <c r="G156" t="str">
        <f>""</f>
        <v/>
      </c>
      <c r="H156" t="str">
        <f>"М 5.3.4"</f>
        <v>М 5.3.4</v>
      </c>
      <c r="I156" t="str">
        <f t="shared" si="61"/>
        <v>МС 5.3</v>
      </c>
      <c r="J156" t="str">
        <f>""</f>
        <v/>
      </c>
      <c r="K156" t="str">
        <f t="shared" si="50"/>
        <v>МТОК 96</v>
      </c>
      <c r="L156" t="str">
        <f t="shared" si="59"/>
        <v>Опора</v>
      </c>
      <c r="M156" t="str">
        <f>"14.07.2012"</f>
        <v>14.07.2012</v>
      </c>
      <c r="N156" t="str">
        <f>"EmptySerial&lt;40932&gt;"</f>
        <v>EmptySerial&lt;40932&gt;</v>
      </c>
      <c r="O156" t="str">
        <f t="shared" si="51"/>
        <v>Нет</v>
      </c>
      <c r="P156" t="str">
        <f>"М 5.3.4"</f>
        <v>М 5.3.4</v>
      </c>
      <c r="Q156" t="str">
        <f t="shared" si="52"/>
        <v>Нет</v>
      </c>
      <c r="R156" t="str">
        <f t="shared" si="53"/>
        <v>Основной</v>
      </c>
      <c r="S156" t="str">
        <f t="shared" si="54"/>
        <v>ГУТС</v>
      </c>
      <c r="T156" t="str">
        <f>""</f>
        <v/>
      </c>
      <c r="U156" t="str">
        <f t="shared" si="55"/>
        <v>Нет</v>
      </c>
      <c r="V156">
        <v>51.669900100223998</v>
      </c>
      <c r="W156">
        <v>36.147680953144999</v>
      </c>
      <c r="X156" t="str">
        <f>"20000004558025"</f>
        <v>20000004558025</v>
      </c>
    </row>
    <row r="157" spans="1:24" x14ac:dyDescent="0.25">
      <c r="A157">
        <v>907</v>
      </c>
      <c r="B157" t="str">
        <f t="shared" si="48"/>
        <v>Курск</v>
      </c>
      <c r="C157">
        <v>414761</v>
      </c>
      <c r="D157" t="str">
        <f>"М 5.3.2"</f>
        <v>М 5.3.2</v>
      </c>
      <c r="E157" t="str">
        <f t="shared" si="49"/>
        <v>Муфта оптическая</v>
      </c>
      <c r="F157" t="str">
        <f t="shared" si="60"/>
        <v>11.09.2012</v>
      </c>
      <c r="G157" t="str">
        <f>""</f>
        <v/>
      </c>
      <c r="H157" t="str">
        <f>"М 5.3.2"</f>
        <v>М 5.3.2</v>
      </c>
      <c r="I157" t="str">
        <f t="shared" si="61"/>
        <v>МС 5.3</v>
      </c>
      <c r="J157" t="str">
        <f>""</f>
        <v/>
      </c>
      <c r="K157" t="str">
        <f t="shared" si="50"/>
        <v>МТОК 96</v>
      </c>
      <c r="L157" t="str">
        <f t="shared" si="59"/>
        <v>Опора</v>
      </c>
      <c r="M157" t="str">
        <f>"05.07.2012"</f>
        <v>05.07.2012</v>
      </c>
      <c r="N157" t="str">
        <f>"EmptySerial&lt;40930&gt;"</f>
        <v>EmptySerial&lt;40930&gt;</v>
      </c>
      <c r="O157" t="str">
        <f t="shared" si="51"/>
        <v>Нет</v>
      </c>
      <c r="P157" t="str">
        <f>"М 5.3.2"</f>
        <v>М 5.3.2</v>
      </c>
      <c r="Q157" t="str">
        <f t="shared" si="52"/>
        <v>Нет</v>
      </c>
      <c r="R157" t="str">
        <f t="shared" si="53"/>
        <v>Основной</v>
      </c>
      <c r="S157" t="str">
        <f t="shared" si="54"/>
        <v>ГУТС</v>
      </c>
      <c r="T157" t="str">
        <f>""</f>
        <v/>
      </c>
      <c r="U157" t="str">
        <f t="shared" si="55"/>
        <v>Нет</v>
      </c>
      <c r="V157">
        <v>51.673481436438799</v>
      </c>
      <c r="W157">
        <v>36.157497838139498</v>
      </c>
      <c r="X157" t="str">
        <f>"20000004558023"</f>
        <v>20000004558023</v>
      </c>
    </row>
    <row r="158" spans="1:24" x14ac:dyDescent="0.25">
      <c r="A158">
        <v>907</v>
      </c>
      <c r="B158" t="str">
        <f t="shared" si="48"/>
        <v>Курск</v>
      </c>
      <c r="C158">
        <v>414765</v>
      </c>
      <c r="D158" t="str">
        <f>"М 5.3.1"</f>
        <v>М 5.3.1</v>
      </c>
      <c r="E158" t="str">
        <f t="shared" si="49"/>
        <v>Муфта оптическая</v>
      </c>
      <c r="F158" t="str">
        <f t="shared" si="60"/>
        <v>11.09.2012</v>
      </c>
      <c r="G158" t="str">
        <f>""</f>
        <v/>
      </c>
      <c r="H158" t="str">
        <f>"М 5.3.1"</f>
        <v>М 5.3.1</v>
      </c>
      <c r="I158" t="str">
        <f t="shared" si="61"/>
        <v>МС 5.3</v>
      </c>
      <c r="J158" t="str">
        <f>""</f>
        <v/>
      </c>
      <c r="K158" t="str">
        <f t="shared" si="50"/>
        <v>МТОК 96</v>
      </c>
      <c r="L158" t="str">
        <f t="shared" si="59"/>
        <v>Опора</v>
      </c>
      <c r="M158" t="str">
        <f>"03.07.2012"</f>
        <v>03.07.2012</v>
      </c>
      <c r="N158" t="str">
        <f>"EmptySerial&lt;40929&gt;"</f>
        <v>EmptySerial&lt;40929&gt;</v>
      </c>
      <c r="O158" t="str">
        <f t="shared" si="51"/>
        <v>Нет</v>
      </c>
      <c r="P158" t="str">
        <f>"М 5.3.1"</f>
        <v>М 5.3.1</v>
      </c>
      <c r="Q158" t="str">
        <f t="shared" si="52"/>
        <v>Нет</v>
      </c>
      <c r="R158" t="str">
        <f t="shared" si="53"/>
        <v>Основной</v>
      </c>
      <c r="S158" t="str">
        <f t="shared" si="54"/>
        <v>ГУТС</v>
      </c>
      <c r="T158" t="str">
        <f>""</f>
        <v/>
      </c>
      <c r="U158" t="str">
        <f t="shared" si="55"/>
        <v>Нет</v>
      </c>
      <c r="V158">
        <v>51.673471456331903</v>
      </c>
      <c r="W158">
        <v>36.154761984944301</v>
      </c>
      <c r="X158" t="str">
        <f>"20000004558022"</f>
        <v>20000004558022</v>
      </c>
    </row>
    <row r="159" spans="1:24" x14ac:dyDescent="0.25">
      <c r="A159">
        <v>907</v>
      </c>
      <c r="B159" t="str">
        <f t="shared" si="48"/>
        <v>Курск</v>
      </c>
      <c r="C159">
        <v>414834</v>
      </c>
      <c r="D159" t="str">
        <f>"М 5.6.6"</f>
        <v>М 5.6.6</v>
      </c>
      <c r="E159" t="str">
        <f t="shared" si="49"/>
        <v>Муфта оптическая</v>
      </c>
      <c r="F159" t="str">
        <f t="shared" si="60"/>
        <v>11.09.2012</v>
      </c>
      <c r="G159" t="str">
        <f>""</f>
        <v/>
      </c>
      <c r="H159" t="str">
        <f>"М 5.6.6"</f>
        <v>М 5.6.6</v>
      </c>
      <c r="I159" t="str">
        <f t="shared" ref="I159:I164" si="62">"МС 5.6"</f>
        <v>МС 5.6</v>
      </c>
      <c r="J159" t="str">
        <f>""</f>
        <v/>
      </c>
      <c r="K159" t="str">
        <f t="shared" si="50"/>
        <v>МТОК 96</v>
      </c>
      <c r="L159" t="str">
        <f t="shared" si="59"/>
        <v>Опора</v>
      </c>
      <c r="M159" t="str">
        <f>"26.08.2012"</f>
        <v>26.08.2012</v>
      </c>
      <c r="N159" t="str">
        <f>"EmptySerial&lt;40947&gt;"</f>
        <v>EmptySerial&lt;40947&gt;</v>
      </c>
      <c r="O159" t="str">
        <f t="shared" si="51"/>
        <v>Нет</v>
      </c>
      <c r="P159" t="str">
        <f>"М 5.6.6"</f>
        <v>М 5.6.6</v>
      </c>
      <c r="Q159" t="str">
        <f t="shared" si="52"/>
        <v>Нет</v>
      </c>
      <c r="R159" t="str">
        <f t="shared" si="53"/>
        <v>Основной</v>
      </c>
      <c r="S159" t="str">
        <f t="shared" si="54"/>
        <v>ГУТС</v>
      </c>
      <c r="T159" t="str">
        <f>""</f>
        <v/>
      </c>
      <c r="U159" t="str">
        <f t="shared" si="55"/>
        <v>Нет</v>
      </c>
      <c r="V159">
        <v>51.648958879009598</v>
      </c>
      <c r="W159">
        <v>36.146484017372103</v>
      </c>
      <c r="X159" t="str">
        <f>"20000004558040"</f>
        <v>20000004558040</v>
      </c>
    </row>
    <row r="160" spans="1:24" x14ac:dyDescent="0.25">
      <c r="A160">
        <v>907</v>
      </c>
      <c r="B160" t="str">
        <f t="shared" si="48"/>
        <v>Курск</v>
      </c>
      <c r="C160">
        <v>414838</v>
      </c>
      <c r="D160" t="str">
        <f>"М 5.6.5"</f>
        <v>М 5.6.5</v>
      </c>
      <c r="E160" t="str">
        <f t="shared" si="49"/>
        <v>Муфта оптическая</v>
      </c>
      <c r="F160" t="str">
        <f t="shared" si="60"/>
        <v>11.09.2012</v>
      </c>
      <c r="G160" t="str">
        <f>""</f>
        <v/>
      </c>
      <c r="H160" t="str">
        <f>"М 5.6.5"</f>
        <v>М 5.6.5</v>
      </c>
      <c r="I160" t="str">
        <f t="shared" si="62"/>
        <v>МС 5.6</v>
      </c>
      <c r="J160" t="str">
        <f>""</f>
        <v/>
      </c>
      <c r="K160" t="str">
        <f t="shared" si="50"/>
        <v>МТОК 96</v>
      </c>
      <c r="L160" t="str">
        <f t="shared" si="59"/>
        <v>Опора</v>
      </c>
      <c r="M160" t="str">
        <f>"22.08.2012"</f>
        <v>22.08.2012</v>
      </c>
      <c r="N160" t="str">
        <f>"EmptySerial&lt;40946&gt;"</f>
        <v>EmptySerial&lt;40946&gt;</v>
      </c>
      <c r="O160" t="str">
        <f t="shared" si="51"/>
        <v>Нет</v>
      </c>
      <c r="P160" t="str">
        <f>"М 5.6.5"</f>
        <v>М 5.6.5</v>
      </c>
      <c r="Q160" t="str">
        <f t="shared" si="52"/>
        <v>Нет</v>
      </c>
      <c r="R160" t="str">
        <f t="shared" si="53"/>
        <v>Основной</v>
      </c>
      <c r="S160" t="str">
        <f t="shared" si="54"/>
        <v>ГУТС</v>
      </c>
      <c r="T160" t="str">
        <f>""</f>
        <v/>
      </c>
      <c r="U160" t="str">
        <f t="shared" si="55"/>
        <v>Нет</v>
      </c>
      <c r="V160">
        <v>51.649311698932699</v>
      </c>
      <c r="W160">
        <v>36.141572892665899</v>
      </c>
      <c r="X160" t="str">
        <f>"20000004558039"</f>
        <v>20000004558039</v>
      </c>
    </row>
    <row r="161" spans="1:24" x14ac:dyDescent="0.25">
      <c r="A161">
        <v>907</v>
      </c>
      <c r="B161" t="str">
        <f t="shared" si="48"/>
        <v>Курск</v>
      </c>
      <c r="C161">
        <v>414842</v>
      </c>
      <c r="D161" t="str">
        <f>"М 5.6.4"</f>
        <v>М 5.6.4</v>
      </c>
      <c r="E161" t="str">
        <f t="shared" si="49"/>
        <v>Муфта оптическая</v>
      </c>
      <c r="F161" t="str">
        <f t="shared" si="60"/>
        <v>11.09.2012</v>
      </c>
      <c r="G161" t="str">
        <f>""</f>
        <v/>
      </c>
      <c r="H161" t="str">
        <f>"М 5.6.4"</f>
        <v>М 5.6.4</v>
      </c>
      <c r="I161" t="str">
        <f t="shared" si="62"/>
        <v>МС 5.6</v>
      </c>
      <c r="J161" t="str">
        <f>""</f>
        <v/>
      </c>
      <c r="K161" t="str">
        <f t="shared" si="50"/>
        <v>МТОК 96</v>
      </c>
      <c r="L161" t="str">
        <f t="shared" si="59"/>
        <v>Опора</v>
      </c>
      <c r="M161" t="str">
        <f>"19.08.2012"</f>
        <v>19.08.2012</v>
      </c>
      <c r="N161" t="str">
        <f>"EmptySerial&lt;40945&gt;"</f>
        <v>EmptySerial&lt;40945&gt;</v>
      </c>
      <c r="O161" t="str">
        <f t="shared" si="51"/>
        <v>Нет</v>
      </c>
      <c r="P161" t="str">
        <f>"М 5.6.4"</f>
        <v>М 5.6.4</v>
      </c>
      <c r="Q161" t="str">
        <f t="shared" si="52"/>
        <v>Нет</v>
      </c>
      <c r="R161" t="str">
        <f t="shared" si="53"/>
        <v>Основной</v>
      </c>
      <c r="S161" t="str">
        <f t="shared" si="54"/>
        <v>ГУТС</v>
      </c>
      <c r="T161" t="str">
        <f>""</f>
        <v/>
      </c>
      <c r="U161" t="str">
        <f t="shared" si="55"/>
        <v>Нет</v>
      </c>
      <c r="V161">
        <v>51.649391582307601</v>
      </c>
      <c r="W161">
        <v>36.140019893646198</v>
      </c>
      <c r="X161" t="str">
        <f>"20000004558038"</f>
        <v>20000004558038</v>
      </c>
    </row>
    <row r="162" spans="1:24" x14ac:dyDescent="0.25">
      <c r="A162">
        <v>907</v>
      </c>
      <c r="B162" t="str">
        <f t="shared" si="48"/>
        <v>Курск</v>
      </c>
      <c r="C162">
        <v>414846</v>
      </c>
      <c r="D162" t="str">
        <f>"М 5.6.3"</f>
        <v>М 5.6.3</v>
      </c>
      <c r="E162" t="str">
        <f t="shared" si="49"/>
        <v>Муфта оптическая</v>
      </c>
      <c r="F162" t="str">
        <f t="shared" si="60"/>
        <v>11.09.2012</v>
      </c>
      <c r="G162" t="str">
        <f>""</f>
        <v/>
      </c>
      <c r="H162" t="str">
        <f>"М 5.6.3"</f>
        <v>М 5.6.3</v>
      </c>
      <c r="I162" t="str">
        <f t="shared" si="62"/>
        <v>МС 5.6</v>
      </c>
      <c r="J162" t="str">
        <f>""</f>
        <v/>
      </c>
      <c r="K162" t="str">
        <f t="shared" si="50"/>
        <v>МТОК 96</v>
      </c>
      <c r="L162" t="str">
        <f t="shared" si="59"/>
        <v>Опора</v>
      </c>
      <c r="M162" t="str">
        <f>"15.08.2012"</f>
        <v>15.08.2012</v>
      </c>
      <c r="N162" t="str">
        <f>"EmptySerial&lt;40944&gt;"</f>
        <v>EmptySerial&lt;40944&gt;</v>
      </c>
      <c r="O162" t="str">
        <f t="shared" si="51"/>
        <v>Нет</v>
      </c>
      <c r="P162" t="str">
        <f>"М 5.6.3"</f>
        <v>М 5.6.3</v>
      </c>
      <c r="Q162" t="str">
        <f t="shared" si="52"/>
        <v>Нет</v>
      </c>
      <c r="R162" t="str">
        <f t="shared" si="53"/>
        <v>Основной</v>
      </c>
      <c r="S162" t="str">
        <f t="shared" si="54"/>
        <v>ГУТС</v>
      </c>
      <c r="T162" t="str">
        <f>""</f>
        <v/>
      </c>
      <c r="U162" t="str">
        <f t="shared" si="55"/>
        <v>Нет</v>
      </c>
      <c r="V162">
        <v>51.649554677094301</v>
      </c>
      <c r="W162">
        <v>36.137638092041001</v>
      </c>
      <c r="X162" t="str">
        <f>"20000004558037"</f>
        <v>20000004558037</v>
      </c>
    </row>
    <row r="163" spans="1:24" x14ac:dyDescent="0.25">
      <c r="A163">
        <v>907</v>
      </c>
      <c r="B163" t="str">
        <f t="shared" si="48"/>
        <v>Курск</v>
      </c>
      <c r="C163">
        <v>414850</v>
      </c>
      <c r="D163" t="str">
        <f>"М 5.6.1"</f>
        <v>М 5.6.1</v>
      </c>
      <c r="E163" t="str">
        <f t="shared" si="49"/>
        <v>Муфта оптическая</v>
      </c>
      <c r="F163" t="str">
        <f t="shared" si="60"/>
        <v>11.09.2012</v>
      </c>
      <c r="G163" t="str">
        <f>""</f>
        <v/>
      </c>
      <c r="H163" t="str">
        <f>"М 5.6.1"</f>
        <v>М 5.6.1</v>
      </c>
      <c r="I163" t="str">
        <f t="shared" si="62"/>
        <v>МС 5.6</v>
      </c>
      <c r="J163" t="str">
        <f>""</f>
        <v/>
      </c>
      <c r="K163" t="str">
        <f t="shared" si="50"/>
        <v>МТОК 96</v>
      </c>
      <c r="L163" t="str">
        <f t="shared" si="59"/>
        <v>Опора</v>
      </c>
      <c r="M163" t="str">
        <f>"14.08.2012"</f>
        <v>14.08.2012</v>
      </c>
      <c r="N163" t="str">
        <f>"EmptySerial&lt;40943&gt;"</f>
        <v>EmptySerial&lt;40943&gt;</v>
      </c>
      <c r="O163" t="str">
        <f t="shared" si="51"/>
        <v>Нет</v>
      </c>
      <c r="P163" t="str">
        <f>"М 5.6.1"</f>
        <v>М 5.6.1</v>
      </c>
      <c r="Q163" t="str">
        <f t="shared" si="52"/>
        <v>Нет</v>
      </c>
      <c r="R163" t="str">
        <f t="shared" si="53"/>
        <v>Основной</v>
      </c>
      <c r="S163" t="str">
        <f t="shared" si="54"/>
        <v>ГУТС</v>
      </c>
      <c r="T163" t="str">
        <f>""</f>
        <v/>
      </c>
      <c r="U163" t="str">
        <f t="shared" si="55"/>
        <v>Нет</v>
      </c>
      <c r="V163">
        <v>51.658786470000003</v>
      </c>
      <c r="W163">
        <v>36.134795619999998</v>
      </c>
      <c r="X163" t="str">
        <f>"20000004558036"</f>
        <v>20000004558036</v>
      </c>
    </row>
    <row r="164" spans="1:24" x14ac:dyDescent="0.25">
      <c r="A164">
        <v>907</v>
      </c>
      <c r="B164" t="str">
        <f t="shared" si="48"/>
        <v>Курск</v>
      </c>
      <c r="C164">
        <v>414854</v>
      </c>
      <c r="D164" t="str">
        <f>"М 5.6.2"</f>
        <v>М 5.6.2</v>
      </c>
      <c r="E164" t="str">
        <f t="shared" si="49"/>
        <v>Муфта оптическая</v>
      </c>
      <c r="F164" t="str">
        <f t="shared" si="60"/>
        <v>11.09.2012</v>
      </c>
      <c r="G164" t="str">
        <f>""</f>
        <v/>
      </c>
      <c r="H164" t="str">
        <f>"М 5.6.2"</f>
        <v>М 5.6.2</v>
      </c>
      <c r="I164" t="str">
        <f t="shared" si="62"/>
        <v>МС 5.6</v>
      </c>
      <c r="J164" t="str">
        <f>""</f>
        <v/>
      </c>
      <c r="K164" t="str">
        <f t="shared" si="50"/>
        <v>МТОК 96</v>
      </c>
      <c r="L164" t="str">
        <f t="shared" si="59"/>
        <v>Опора</v>
      </c>
      <c r="M164" t="str">
        <f>"05.08.2012"</f>
        <v>05.08.2012</v>
      </c>
      <c r="N164" t="str">
        <f>"EmptySerial&lt;40942&gt;"</f>
        <v>EmptySerial&lt;40942&gt;</v>
      </c>
      <c r="O164" t="str">
        <f t="shared" si="51"/>
        <v>Нет</v>
      </c>
      <c r="P164" t="str">
        <f>"М 5.6.2"</f>
        <v>М 5.6.2</v>
      </c>
      <c r="Q164" t="str">
        <f t="shared" si="52"/>
        <v>Нет</v>
      </c>
      <c r="R164" t="str">
        <f t="shared" si="53"/>
        <v>Основной</v>
      </c>
      <c r="S164" t="str">
        <f t="shared" si="54"/>
        <v>ГУТС</v>
      </c>
      <c r="T164" t="str">
        <f>""</f>
        <v/>
      </c>
      <c r="U164" t="str">
        <f t="shared" si="55"/>
        <v>Нет</v>
      </c>
      <c r="V164">
        <v>51.649967400000001</v>
      </c>
      <c r="W164">
        <v>36.134658160000001</v>
      </c>
      <c r="X164" t="str">
        <f>"20000004558035"</f>
        <v>20000004558035</v>
      </c>
    </row>
    <row r="165" spans="1:24" x14ac:dyDescent="0.25">
      <c r="A165">
        <v>907</v>
      </c>
      <c r="B165" t="str">
        <f t="shared" si="48"/>
        <v>Курск</v>
      </c>
      <c r="C165">
        <v>427833</v>
      </c>
      <c r="D165" t="str">
        <f>"М 3.5.2"</f>
        <v>М 3.5.2</v>
      </c>
      <c r="E165" t="str">
        <f t="shared" si="49"/>
        <v>Муфта оптическая</v>
      </c>
      <c r="F165" t="str">
        <f>"25.09.2012"</f>
        <v>25.09.2012</v>
      </c>
      <c r="G165" t="str">
        <f>""</f>
        <v/>
      </c>
      <c r="H165" t="str">
        <f>"М 3.5.2"</f>
        <v>М 3.5.2</v>
      </c>
      <c r="I165" t="str">
        <f>"МС 3.5"</f>
        <v>МС 3.5</v>
      </c>
      <c r="J165" t="str">
        <f>""</f>
        <v/>
      </c>
      <c r="K165" t="str">
        <f t="shared" si="50"/>
        <v>МТОК 96</v>
      </c>
      <c r="L165" t="str">
        <f t="shared" si="59"/>
        <v>Опора</v>
      </c>
      <c r="M165" t="str">
        <f>"20.07.2012"</f>
        <v>20.07.2012</v>
      </c>
      <c r="N165" t="str">
        <f>"EmptySerial&lt;42441&gt;"</f>
        <v>EmptySerial&lt;42441&gt;</v>
      </c>
      <c r="O165" t="str">
        <f t="shared" si="51"/>
        <v>Нет</v>
      </c>
      <c r="P165" t="str">
        <f>"М 3.5.2"</f>
        <v>М 3.5.2</v>
      </c>
      <c r="Q165" t="str">
        <f t="shared" si="52"/>
        <v>Нет</v>
      </c>
      <c r="R165" t="str">
        <f t="shared" si="53"/>
        <v>Основной</v>
      </c>
      <c r="S165" t="str">
        <f t="shared" si="54"/>
        <v>ГУТС</v>
      </c>
      <c r="T165" t="str">
        <f>""</f>
        <v/>
      </c>
      <c r="U165" t="str">
        <f t="shared" si="55"/>
        <v>Нет</v>
      </c>
      <c r="V165">
        <v>51.753834938645198</v>
      </c>
      <c r="W165">
        <v>36.212733909487703</v>
      </c>
      <c r="X165" t="str">
        <f>"20000004559278"</f>
        <v>20000004559278</v>
      </c>
    </row>
    <row r="166" spans="1:24" x14ac:dyDescent="0.25">
      <c r="A166">
        <v>907</v>
      </c>
      <c r="B166" t="str">
        <f t="shared" si="48"/>
        <v>Курск</v>
      </c>
      <c r="C166">
        <v>427837</v>
      </c>
      <c r="D166" t="str">
        <f>"М 3.5.1"</f>
        <v>М 3.5.1</v>
      </c>
      <c r="E166" t="str">
        <f t="shared" si="49"/>
        <v>Муфта оптическая</v>
      </c>
      <c r="F166" t="str">
        <f>"25.09.2012"</f>
        <v>25.09.2012</v>
      </c>
      <c r="G166" t="str">
        <f>""</f>
        <v/>
      </c>
      <c r="H166" t="str">
        <f>"М 3.5.1"</f>
        <v>М 3.5.1</v>
      </c>
      <c r="I166" t="str">
        <f>"МС 3.5"</f>
        <v>МС 3.5</v>
      </c>
      <c r="J166" t="str">
        <f>""</f>
        <v/>
      </c>
      <c r="K166" t="str">
        <f t="shared" si="50"/>
        <v>МТОК 96</v>
      </c>
      <c r="L166" t="str">
        <f>"Крыша"</f>
        <v>Крыша</v>
      </c>
      <c r="M166" t="str">
        <f>"14.07.2012"</f>
        <v>14.07.2012</v>
      </c>
      <c r="N166" t="str">
        <f>"EmptySerial&lt;42442&gt;"</f>
        <v>EmptySerial&lt;42442&gt;</v>
      </c>
      <c r="O166" t="str">
        <f t="shared" si="51"/>
        <v>Нет</v>
      </c>
      <c r="P166" t="str">
        <f>"М 3.5.1"</f>
        <v>М 3.5.1</v>
      </c>
      <c r="Q166" t="str">
        <f t="shared" si="52"/>
        <v>Нет</v>
      </c>
      <c r="R166" t="str">
        <f t="shared" si="53"/>
        <v>Основной</v>
      </c>
      <c r="S166" t="str">
        <f t="shared" si="54"/>
        <v>ГУТС</v>
      </c>
      <c r="T166" t="str">
        <f>""</f>
        <v/>
      </c>
      <c r="U166" t="str">
        <f t="shared" si="55"/>
        <v>Нет</v>
      </c>
      <c r="V166">
        <v>51.755340889999999</v>
      </c>
      <c r="W166">
        <v>36.214455890000004</v>
      </c>
      <c r="X166" t="str">
        <f>"20000004559279"</f>
        <v>20000004559279</v>
      </c>
    </row>
    <row r="167" spans="1:24" x14ac:dyDescent="0.25">
      <c r="A167">
        <v>907</v>
      </c>
      <c r="B167" t="str">
        <f t="shared" si="48"/>
        <v>Курск</v>
      </c>
      <c r="C167">
        <v>430637</v>
      </c>
      <c r="D167" t="str">
        <f>"М 3.1.23"</f>
        <v>М 3.1.23</v>
      </c>
      <c r="E167" t="str">
        <f t="shared" si="49"/>
        <v>Муфта оптическая</v>
      </c>
      <c r="F167" t="str">
        <f>"28.09.2012"</f>
        <v>28.09.2012</v>
      </c>
      <c r="G167" t="str">
        <f>""</f>
        <v/>
      </c>
      <c r="H167" t="str">
        <f>"М 3.1.23"</f>
        <v>М 3.1.23</v>
      </c>
      <c r="I167" t="str">
        <f>"МС 3.1"</f>
        <v>МС 3.1</v>
      </c>
      <c r="J167" t="str">
        <f>""</f>
        <v/>
      </c>
      <c r="K167" t="str">
        <f t="shared" si="50"/>
        <v>МТОК 96</v>
      </c>
      <c r="L167" t="str">
        <f>"Чердак"</f>
        <v>Чердак</v>
      </c>
      <c r="M167" t="str">
        <f>"19.07.2012"</f>
        <v>19.07.2012</v>
      </c>
      <c r="N167" t="str">
        <f>"EmptySerial&lt;42854&gt;"</f>
        <v>EmptySerial&lt;42854&gt;</v>
      </c>
      <c r="O167" t="str">
        <f t="shared" si="51"/>
        <v>Нет</v>
      </c>
      <c r="P167" t="str">
        <f>"М 3.1.23"</f>
        <v>М 3.1.23</v>
      </c>
      <c r="Q167" t="str">
        <f t="shared" si="52"/>
        <v>Нет</v>
      </c>
      <c r="R167" t="str">
        <f t="shared" si="53"/>
        <v>Основной</v>
      </c>
      <c r="S167" t="str">
        <f t="shared" si="54"/>
        <v>ГУТС</v>
      </c>
      <c r="T167" t="str">
        <f>""</f>
        <v/>
      </c>
      <c r="U167" t="str">
        <f t="shared" si="55"/>
        <v>Нет</v>
      </c>
      <c r="V167">
        <v>51.775940221517203</v>
      </c>
      <c r="W167">
        <v>36.1758930981159</v>
      </c>
      <c r="X167" t="str">
        <f>"20000004559586"</f>
        <v>20000004559586</v>
      </c>
    </row>
    <row r="168" spans="1:24" x14ac:dyDescent="0.25">
      <c r="A168">
        <v>907</v>
      </c>
      <c r="B168" t="str">
        <f t="shared" si="48"/>
        <v>Курск</v>
      </c>
      <c r="C168">
        <v>430641</v>
      </c>
      <c r="D168" t="str">
        <f>"М 3.1.22"</f>
        <v>М 3.1.22</v>
      </c>
      <c r="E168" t="str">
        <f t="shared" si="49"/>
        <v>Муфта оптическая</v>
      </c>
      <c r="F168" t="str">
        <f>"28.09.2012"</f>
        <v>28.09.2012</v>
      </c>
      <c r="G168" t="str">
        <f>""</f>
        <v/>
      </c>
      <c r="H168" t="str">
        <f>"М 3.1.22"</f>
        <v>М 3.1.22</v>
      </c>
      <c r="I168" t="str">
        <f>"МС 3.1"</f>
        <v>МС 3.1</v>
      </c>
      <c r="J168" t="str">
        <f>""</f>
        <v/>
      </c>
      <c r="K168" t="str">
        <f t="shared" si="50"/>
        <v>МТОК 96</v>
      </c>
      <c r="L168" t="str">
        <f>"Чердак"</f>
        <v>Чердак</v>
      </c>
      <c r="M168" t="str">
        <f>"21.07.2012"</f>
        <v>21.07.2012</v>
      </c>
      <c r="N168" t="str">
        <f>"EmptySerial&lt;42853&gt;"</f>
        <v>EmptySerial&lt;42853&gt;</v>
      </c>
      <c r="O168" t="str">
        <f t="shared" si="51"/>
        <v>Нет</v>
      </c>
      <c r="P168" t="str">
        <f>"М 3.1.22"</f>
        <v>М 3.1.22</v>
      </c>
      <c r="Q168" t="str">
        <f t="shared" si="52"/>
        <v>Нет</v>
      </c>
      <c r="R168" t="str">
        <f t="shared" si="53"/>
        <v>Основной</v>
      </c>
      <c r="S168" t="str">
        <f t="shared" si="54"/>
        <v>ГУТС</v>
      </c>
      <c r="T168" t="str">
        <f>""</f>
        <v/>
      </c>
      <c r="U168" t="str">
        <f t="shared" si="55"/>
        <v>Нет</v>
      </c>
      <c r="V168">
        <v>51.776733496438801</v>
      </c>
      <c r="W168">
        <v>36.1753888428211</v>
      </c>
      <c r="X168" t="str">
        <f>"20000004559585"</f>
        <v>20000004559585</v>
      </c>
    </row>
    <row r="169" spans="1:24" x14ac:dyDescent="0.25">
      <c r="A169">
        <v>907</v>
      </c>
      <c r="B169" t="str">
        <f t="shared" si="48"/>
        <v>Курск</v>
      </c>
      <c r="C169">
        <v>430645</v>
      </c>
      <c r="D169" t="str">
        <f>"М 3.1.21"</f>
        <v>М 3.1.21</v>
      </c>
      <c r="E169" t="str">
        <f t="shared" si="49"/>
        <v>Муфта оптическая</v>
      </c>
      <c r="F169" t="str">
        <f>"28.09.2012"</f>
        <v>28.09.2012</v>
      </c>
      <c r="G169" t="str">
        <f>""</f>
        <v/>
      </c>
      <c r="H169" t="str">
        <f>"М 3.1.21"</f>
        <v>М 3.1.21</v>
      </c>
      <c r="I169" t="str">
        <f>"МС 3.1"</f>
        <v>МС 3.1</v>
      </c>
      <c r="J169" t="str">
        <f>""</f>
        <v/>
      </c>
      <c r="K169" t="str">
        <f t="shared" si="50"/>
        <v>МТОК 96</v>
      </c>
      <c r="L169" t="str">
        <f>"Подвал"</f>
        <v>Подвал</v>
      </c>
      <c r="M169" t="str">
        <f>"19.07.2012"</f>
        <v>19.07.2012</v>
      </c>
      <c r="N169" t="str">
        <f>"EmptySerial&lt;42852&gt;"</f>
        <v>EmptySerial&lt;42852&gt;</v>
      </c>
      <c r="O169" t="str">
        <f t="shared" si="51"/>
        <v>Нет</v>
      </c>
      <c r="P169" t="str">
        <f>"М 3.1.21"</f>
        <v>М 3.1.21</v>
      </c>
      <c r="Q169" t="str">
        <f t="shared" si="52"/>
        <v>Нет</v>
      </c>
      <c r="R169" t="str">
        <f t="shared" si="53"/>
        <v>Основной</v>
      </c>
      <c r="S169" t="str">
        <f t="shared" si="54"/>
        <v>ГУТС</v>
      </c>
      <c r="T169" t="str">
        <f>""</f>
        <v/>
      </c>
      <c r="U169" t="str">
        <f t="shared" si="55"/>
        <v>Нет</v>
      </c>
      <c r="V169">
        <v>51.778122523748699</v>
      </c>
      <c r="W169">
        <v>36.174686104059198</v>
      </c>
      <c r="X169" t="str">
        <f>"20000004559584"</f>
        <v>20000004559584</v>
      </c>
    </row>
    <row r="170" spans="1:24" x14ac:dyDescent="0.25">
      <c r="A170">
        <v>907</v>
      </c>
      <c r="B170" t="str">
        <f t="shared" si="48"/>
        <v>Курск</v>
      </c>
      <c r="C170">
        <v>430657</v>
      </c>
      <c r="D170" t="str">
        <f>"М 3.1.18"</f>
        <v>М 3.1.18</v>
      </c>
      <c r="E170" t="str">
        <f t="shared" si="49"/>
        <v>Муфта оптическая</v>
      </c>
      <c r="F170" t="str">
        <f>"28.09.2012"</f>
        <v>28.09.2012</v>
      </c>
      <c r="G170" t="str">
        <f>""</f>
        <v/>
      </c>
      <c r="H170" t="str">
        <f>"М 3.1.18"</f>
        <v>М 3.1.18</v>
      </c>
      <c r="I170" t="str">
        <f>"МС 3.1"</f>
        <v>МС 3.1</v>
      </c>
      <c r="J170" t="str">
        <f>""</f>
        <v/>
      </c>
      <c r="K170" t="str">
        <f t="shared" si="50"/>
        <v>МТОК 96</v>
      </c>
      <c r="L170" t="str">
        <f>"Чердак"</f>
        <v>Чердак</v>
      </c>
      <c r="M170" t="str">
        <f>"15.07.2012"</f>
        <v>15.07.2012</v>
      </c>
      <c r="N170" t="str">
        <f>"EmptySerial&lt;42849&gt;"</f>
        <v>EmptySerial&lt;42849&gt;</v>
      </c>
      <c r="O170" t="str">
        <f t="shared" si="51"/>
        <v>Нет</v>
      </c>
      <c r="P170" t="str">
        <f>"М 3.1.18"</f>
        <v>М 3.1.18</v>
      </c>
      <c r="Q170" t="str">
        <f t="shared" si="52"/>
        <v>Нет</v>
      </c>
      <c r="R170" t="str">
        <f t="shared" si="53"/>
        <v>Основной</v>
      </c>
      <c r="S170" t="str">
        <f t="shared" si="54"/>
        <v>ГУТС</v>
      </c>
      <c r="T170" t="str">
        <f>""</f>
        <v/>
      </c>
      <c r="U170" t="str">
        <f t="shared" si="55"/>
        <v>Нет</v>
      </c>
      <c r="V170">
        <v>51.780412582939697</v>
      </c>
      <c r="W170">
        <v>36.172057539224603</v>
      </c>
      <c r="X170" t="str">
        <f>"20000004559581"</f>
        <v>20000004559581</v>
      </c>
    </row>
    <row r="171" spans="1:24" x14ac:dyDescent="0.25">
      <c r="A171">
        <v>907</v>
      </c>
      <c r="B171" t="str">
        <f t="shared" si="48"/>
        <v>Курск</v>
      </c>
      <c r="C171">
        <v>430661</v>
      </c>
      <c r="D171" t="str">
        <f>"М 3.1.17"</f>
        <v>М 3.1.17</v>
      </c>
      <c r="E171" t="str">
        <f t="shared" si="49"/>
        <v>Муфта оптическая</v>
      </c>
      <c r="F171" t="str">
        <f>"28.09.2012"</f>
        <v>28.09.2012</v>
      </c>
      <c r="G171" t="str">
        <f>""</f>
        <v/>
      </c>
      <c r="H171" t="str">
        <f>"М 3.1.17"</f>
        <v>М 3.1.17</v>
      </c>
      <c r="I171" t="str">
        <f>"МС 3.1"</f>
        <v>МС 3.1</v>
      </c>
      <c r="J171" t="str">
        <f>""</f>
        <v/>
      </c>
      <c r="K171" t="str">
        <f t="shared" si="50"/>
        <v>МТОК 96</v>
      </c>
      <c r="L171" t="str">
        <f>"Чердак"</f>
        <v>Чердак</v>
      </c>
      <c r="M171" t="str">
        <f>"17.07.2012"</f>
        <v>17.07.2012</v>
      </c>
      <c r="N171" t="str">
        <f>"EmptySerial&lt;42848&gt;"</f>
        <v>EmptySerial&lt;42848&gt;</v>
      </c>
      <c r="O171" t="str">
        <f t="shared" si="51"/>
        <v>Нет</v>
      </c>
      <c r="P171" t="str">
        <f>"М 3.1.17"</f>
        <v>М 3.1.17</v>
      </c>
      <c r="Q171" t="str">
        <f t="shared" si="52"/>
        <v>Нет</v>
      </c>
      <c r="R171" t="str">
        <f t="shared" si="53"/>
        <v>Основной</v>
      </c>
      <c r="S171" t="str">
        <f t="shared" si="54"/>
        <v>ГУТС</v>
      </c>
      <c r="T171" t="str">
        <f>""</f>
        <v/>
      </c>
      <c r="U171" t="str">
        <f t="shared" si="55"/>
        <v>Нет</v>
      </c>
      <c r="V171">
        <v>51.781305342642803</v>
      </c>
      <c r="W171">
        <v>36.170866638421998</v>
      </c>
      <c r="X171" t="str">
        <f>"20000004559580"</f>
        <v>20000004559580</v>
      </c>
    </row>
    <row r="172" spans="1:24" x14ac:dyDescent="0.25">
      <c r="A172">
        <v>907</v>
      </c>
      <c r="B172" t="str">
        <f t="shared" si="48"/>
        <v>Курск</v>
      </c>
      <c r="C172">
        <v>437433</v>
      </c>
      <c r="D172" t="str">
        <f>"М 4.2.8"</f>
        <v>М 4.2.8</v>
      </c>
      <c r="E172" t="str">
        <f t="shared" si="49"/>
        <v>Муфта оптическая</v>
      </c>
      <c r="F172" t="str">
        <f t="shared" ref="F172:F178" si="63">"03.10.2012"</f>
        <v>03.10.2012</v>
      </c>
      <c r="G172" t="str">
        <f>""</f>
        <v/>
      </c>
      <c r="H172" t="str">
        <f>"М 4.2.8"</f>
        <v>М 4.2.8</v>
      </c>
      <c r="I172" t="str">
        <f t="shared" ref="I172:I178" si="64">"МС 4.2"</f>
        <v>МС 4.2</v>
      </c>
      <c r="J172" t="str">
        <f>""</f>
        <v/>
      </c>
      <c r="K172" t="str">
        <f t="shared" si="50"/>
        <v>МТОК 96</v>
      </c>
      <c r="L172" t="str">
        <f t="shared" ref="L172:L178" si="65">"Опора"</f>
        <v>Опора</v>
      </c>
      <c r="M172" t="str">
        <f>"26.07.2012"</f>
        <v>26.07.2012</v>
      </c>
      <c r="N172" t="str">
        <f>"EmptySerial&lt;43028&gt;"</f>
        <v>EmptySerial&lt;43028&gt;</v>
      </c>
      <c r="O172" t="str">
        <f t="shared" si="51"/>
        <v>Нет</v>
      </c>
      <c r="P172" t="str">
        <f>"М 4.2.8"</f>
        <v>М 4.2.8</v>
      </c>
      <c r="Q172" t="str">
        <f t="shared" si="52"/>
        <v>Нет</v>
      </c>
      <c r="R172" t="str">
        <f t="shared" si="53"/>
        <v>Основной</v>
      </c>
      <c r="S172" t="str">
        <f t="shared" si="54"/>
        <v>ГУТС</v>
      </c>
      <c r="T172" t="str">
        <f>""</f>
        <v/>
      </c>
      <c r="U172" t="str">
        <f t="shared" si="55"/>
        <v>Нет</v>
      </c>
      <c r="V172">
        <v>51.746867369627701</v>
      </c>
      <c r="W172">
        <v>36.243872344493901</v>
      </c>
      <c r="X172" t="str">
        <f>"20000004559658"</f>
        <v>20000004559658</v>
      </c>
    </row>
    <row r="173" spans="1:24" x14ac:dyDescent="0.25">
      <c r="A173">
        <v>907</v>
      </c>
      <c r="B173" t="str">
        <f t="shared" si="48"/>
        <v>Курск</v>
      </c>
      <c r="C173">
        <v>437437</v>
      </c>
      <c r="D173" t="str">
        <f>"М 4.2.7"</f>
        <v>М 4.2.7</v>
      </c>
      <c r="E173" t="str">
        <f t="shared" si="49"/>
        <v>Муфта оптическая</v>
      </c>
      <c r="F173" t="str">
        <f t="shared" si="63"/>
        <v>03.10.2012</v>
      </c>
      <c r="G173" t="str">
        <f>""</f>
        <v/>
      </c>
      <c r="H173" t="str">
        <f>"М 4.2.7"</f>
        <v>М 4.2.7</v>
      </c>
      <c r="I173" t="str">
        <f t="shared" si="64"/>
        <v>МС 4.2</v>
      </c>
      <c r="J173" t="str">
        <f>""</f>
        <v/>
      </c>
      <c r="K173" t="str">
        <f t="shared" si="50"/>
        <v>МТОК 96</v>
      </c>
      <c r="L173" t="str">
        <f t="shared" si="65"/>
        <v>Опора</v>
      </c>
      <c r="M173" t="str">
        <f>"21.07.2012"</f>
        <v>21.07.2012</v>
      </c>
      <c r="N173" t="str">
        <f>"EmptySerial&lt;43027&gt;"</f>
        <v>EmptySerial&lt;43027&gt;</v>
      </c>
      <c r="O173" t="str">
        <f t="shared" si="51"/>
        <v>Нет</v>
      </c>
      <c r="P173" t="str">
        <f>"М 4.2.7"</f>
        <v>М 4.2.7</v>
      </c>
      <c r="Q173" t="str">
        <f t="shared" si="52"/>
        <v>Нет</v>
      </c>
      <c r="R173" t="str">
        <f t="shared" si="53"/>
        <v>Основной</v>
      </c>
      <c r="S173" t="str">
        <f t="shared" si="54"/>
        <v>ГУТС</v>
      </c>
      <c r="T173" t="str">
        <f>""</f>
        <v/>
      </c>
      <c r="U173" t="str">
        <f t="shared" si="55"/>
        <v>Нет</v>
      </c>
      <c r="V173">
        <v>51.742271270000003</v>
      </c>
      <c r="W173">
        <v>36.24736995</v>
      </c>
      <c r="X173" t="str">
        <f>"20000004559657"</f>
        <v>20000004559657</v>
      </c>
    </row>
    <row r="174" spans="1:24" x14ac:dyDescent="0.25">
      <c r="A174">
        <v>907</v>
      </c>
      <c r="B174" t="str">
        <f t="shared" si="48"/>
        <v>Курск</v>
      </c>
      <c r="C174">
        <v>437441</v>
      </c>
      <c r="D174" t="str">
        <f>"М 4.2.6"</f>
        <v>М 4.2.6</v>
      </c>
      <c r="E174" t="str">
        <f t="shared" si="49"/>
        <v>Муфта оптическая</v>
      </c>
      <c r="F174" t="str">
        <f t="shared" si="63"/>
        <v>03.10.2012</v>
      </c>
      <c r="G174" t="str">
        <f>""</f>
        <v/>
      </c>
      <c r="H174" t="str">
        <f>"М 4.2.6"</f>
        <v>М 4.2.6</v>
      </c>
      <c r="I174" t="str">
        <f t="shared" si="64"/>
        <v>МС 4.2</v>
      </c>
      <c r="J174" t="str">
        <f>""</f>
        <v/>
      </c>
      <c r="K174" t="str">
        <f t="shared" si="50"/>
        <v>МТОК 96</v>
      </c>
      <c r="L174" t="str">
        <f t="shared" si="65"/>
        <v>Опора</v>
      </c>
      <c r="M174" t="str">
        <f>"19.07.2012"</f>
        <v>19.07.2012</v>
      </c>
      <c r="N174" t="str">
        <f>"EmptySerial&lt;43026&gt;"</f>
        <v>EmptySerial&lt;43026&gt;</v>
      </c>
      <c r="O174" t="str">
        <f t="shared" si="51"/>
        <v>Нет</v>
      </c>
      <c r="P174" t="str">
        <f>"М 4.2.6"</f>
        <v>М 4.2.6</v>
      </c>
      <c r="Q174" t="str">
        <f t="shared" si="52"/>
        <v>Нет</v>
      </c>
      <c r="R174" t="str">
        <f t="shared" si="53"/>
        <v>Основной</v>
      </c>
      <c r="S174" t="str">
        <f t="shared" si="54"/>
        <v>ГУТС</v>
      </c>
      <c r="T174" t="str">
        <f>""</f>
        <v/>
      </c>
      <c r="U174" t="str">
        <f t="shared" si="55"/>
        <v>Нет</v>
      </c>
      <c r="V174">
        <v>51.741743960000001</v>
      </c>
      <c r="W174">
        <v>36.250935939999998</v>
      </c>
      <c r="X174" t="str">
        <f>"20000004559656"</f>
        <v>20000004559656</v>
      </c>
    </row>
    <row r="175" spans="1:24" x14ac:dyDescent="0.25">
      <c r="A175">
        <v>907</v>
      </c>
      <c r="B175" t="str">
        <f t="shared" si="48"/>
        <v>Курск</v>
      </c>
      <c r="C175">
        <v>437445</v>
      </c>
      <c r="D175" t="str">
        <f>"М 4.2.5"</f>
        <v>М 4.2.5</v>
      </c>
      <c r="E175" t="str">
        <f t="shared" si="49"/>
        <v>Муфта оптическая</v>
      </c>
      <c r="F175" t="str">
        <f t="shared" si="63"/>
        <v>03.10.2012</v>
      </c>
      <c r="G175" t="str">
        <f>""</f>
        <v/>
      </c>
      <c r="H175" t="str">
        <f>"М 4.2.5"</f>
        <v>М 4.2.5</v>
      </c>
      <c r="I175" t="str">
        <f t="shared" si="64"/>
        <v>МС 4.2</v>
      </c>
      <c r="J175" t="str">
        <f>""</f>
        <v/>
      </c>
      <c r="K175" t="str">
        <f t="shared" si="50"/>
        <v>МТОК 96</v>
      </c>
      <c r="L175" t="str">
        <f t="shared" si="65"/>
        <v>Опора</v>
      </c>
      <c r="M175" t="str">
        <f>"17.07.2012"</f>
        <v>17.07.2012</v>
      </c>
      <c r="N175" t="str">
        <f>"EmptySerial&lt;43025&gt;"</f>
        <v>EmptySerial&lt;43025&gt;</v>
      </c>
      <c r="O175" t="str">
        <f t="shared" si="51"/>
        <v>Нет</v>
      </c>
      <c r="P175" t="str">
        <f>"М 4.2.5"</f>
        <v>М 4.2.5</v>
      </c>
      <c r="Q175" t="str">
        <f t="shared" si="52"/>
        <v>Нет</v>
      </c>
      <c r="R175" t="str">
        <f t="shared" si="53"/>
        <v>Основной</v>
      </c>
      <c r="S175" t="str">
        <f t="shared" si="54"/>
        <v>ГУТС</v>
      </c>
      <c r="T175" t="str">
        <f>""</f>
        <v/>
      </c>
      <c r="U175" t="str">
        <f t="shared" si="55"/>
        <v>Нет</v>
      </c>
      <c r="V175">
        <v>51.742151479999997</v>
      </c>
      <c r="W175">
        <v>36.258472609999998</v>
      </c>
      <c r="X175" t="str">
        <f>"20000004559655"</f>
        <v>20000004559655</v>
      </c>
    </row>
    <row r="176" spans="1:24" x14ac:dyDescent="0.25">
      <c r="A176">
        <v>907</v>
      </c>
      <c r="B176" t="str">
        <f t="shared" si="48"/>
        <v>Курск</v>
      </c>
      <c r="C176">
        <v>437449</v>
      </c>
      <c r="D176" t="str">
        <f>"М 4.2.4"</f>
        <v>М 4.2.4</v>
      </c>
      <c r="E176" t="str">
        <f t="shared" si="49"/>
        <v>Муфта оптическая</v>
      </c>
      <c r="F176" t="str">
        <f t="shared" si="63"/>
        <v>03.10.2012</v>
      </c>
      <c r="G176" t="str">
        <f>""</f>
        <v/>
      </c>
      <c r="H176" t="str">
        <f>"М 4.2.4"</f>
        <v>М 4.2.4</v>
      </c>
      <c r="I176" t="str">
        <f t="shared" si="64"/>
        <v>МС 4.2</v>
      </c>
      <c r="J176" t="str">
        <f>""</f>
        <v/>
      </c>
      <c r="K176" t="str">
        <f t="shared" si="50"/>
        <v>МТОК 96</v>
      </c>
      <c r="L176" t="str">
        <f t="shared" si="65"/>
        <v>Опора</v>
      </c>
      <c r="M176" t="str">
        <f>"15.07.2012"</f>
        <v>15.07.2012</v>
      </c>
      <c r="N176" t="str">
        <f>"EmptySerial&lt;43024&gt;"</f>
        <v>EmptySerial&lt;43024&gt;</v>
      </c>
      <c r="O176" t="str">
        <f t="shared" si="51"/>
        <v>Нет</v>
      </c>
      <c r="P176" t="str">
        <f>"М 4.2.4"</f>
        <v>М 4.2.4</v>
      </c>
      <c r="Q176" t="str">
        <f t="shared" si="52"/>
        <v>Нет</v>
      </c>
      <c r="R176" t="str">
        <f t="shared" si="53"/>
        <v>Основной</v>
      </c>
      <c r="S176" t="str">
        <f t="shared" si="54"/>
        <v>ГУТС</v>
      </c>
      <c r="T176" t="str">
        <f>""</f>
        <v/>
      </c>
      <c r="U176" t="str">
        <f t="shared" si="55"/>
        <v>Нет</v>
      </c>
      <c r="V176">
        <v>51.743962789999998</v>
      </c>
      <c r="W176">
        <v>36.259493519999999</v>
      </c>
      <c r="X176" t="str">
        <f>"20000004559654"</f>
        <v>20000004559654</v>
      </c>
    </row>
    <row r="177" spans="1:24" x14ac:dyDescent="0.25">
      <c r="A177">
        <v>907</v>
      </c>
      <c r="B177" t="str">
        <f t="shared" si="48"/>
        <v>Курск</v>
      </c>
      <c r="C177">
        <v>437453</v>
      </c>
      <c r="D177" t="str">
        <f>"М 4.2.3"</f>
        <v>М 4.2.3</v>
      </c>
      <c r="E177" t="str">
        <f t="shared" si="49"/>
        <v>Муфта оптическая</v>
      </c>
      <c r="F177" t="str">
        <f t="shared" si="63"/>
        <v>03.10.2012</v>
      </c>
      <c r="G177" t="str">
        <f>""</f>
        <v/>
      </c>
      <c r="H177" t="str">
        <f>"М 4.2.3"</f>
        <v>М 4.2.3</v>
      </c>
      <c r="I177" t="str">
        <f t="shared" si="64"/>
        <v>МС 4.2</v>
      </c>
      <c r="J177" t="str">
        <f>""</f>
        <v/>
      </c>
      <c r="K177" t="str">
        <f t="shared" si="50"/>
        <v>МТОК 96</v>
      </c>
      <c r="L177" t="str">
        <f t="shared" si="65"/>
        <v>Опора</v>
      </c>
      <c r="M177" t="str">
        <f>"15.07.2012"</f>
        <v>15.07.2012</v>
      </c>
      <c r="N177" t="str">
        <f>"EmptySerial&lt;43023&gt;"</f>
        <v>EmptySerial&lt;43023&gt;</v>
      </c>
      <c r="O177" t="str">
        <f t="shared" si="51"/>
        <v>Нет</v>
      </c>
      <c r="P177" t="str">
        <f>"М 4.2.3"</f>
        <v>М 4.2.3</v>
      </c>
      <c r="Q177" t="str">
        <f t="shared" si="52"/>
        <v>Нет</v>
      </c>
      <c r="R177" t="str">
        <f t="shared" si="53"/>
        <v>Основной</v>
      </c>
      <c r="S177" t="str">
        <f t="shared" si="54"/>
        <v>ГУТС</v>
      </c>
      <c r="T177" t="str">
        <f>""</f>
        <v/>
      </c>
      <c r="U177" t="str">
        <f t="shared" si="55"/>
        <v>Нет</v>
      </c>
      <c r="V177">
        <v>51.74551641</v>
      </c>
      <c r="W177">
        <v>36.258224849999998</v>
      </c>
      <c r="X177" t="str">
        <f>"20000004559653"</f>
        <v>20000004559653</v>
      </c>
    </row>
    <row r="178" spans="1:24" x14ac:dyDescent="0.25">
      <c r="A178">
        <v>907</v>
      </c>
      <c r="B178" t="str">
        <f t="shared" si="48"/>
        <v>Курск</v>
      </c>
      <c r="C178">
        <v>437457</v>
      </c>
      <c r="D178" t="str">
        <f>"М 4.2.2"</f>
        <v>М 4.2.2</v>
      </c>
      <c r="E178" t="str">
        <f t="shared" si="49"/>
        <v>Муфта оптическая</v>
      </c>
      <c r="F178" t="str">
        <f t="shared" si="63"/>
        <v>03.10.2012</v>
      </c>
      <c r="G178" t="str">
        <f>""</f>
        <v/>
      </c>
      <c r="H178" t="str">
        <f>"М 4.2.2"</f>
        <v>М 4.2.2</v>
      </c>
      <c r="I178" t="str">
        <f t="shared" si="64"/>
        <v>МС 4.2</v>
      </c>
      <c r="J178" t="str">
        <f>""</f>
        <v/>
      </c>
      <c r="K178" t="str">
        <f t="shared" si="50"/>
        <v>МТОК 96</v>
      </c>
      <c r="L178" t="str">
        <f t="shared" si="65"/>
        <v>Опора</v>
      </c>
      <c r="M178" t="str">
        <f>"14.07.2012"</f>
        <v>14.07.2012</v>
      </c>
      <c r="N178" t="str">
        <f>"EmptySerial&lt;43022&gt;"</f>
        <v>EmptySerial&lt;43022&gt;</v>
      </c>
      <c r="O178" t="str">
        <f t="shared" si="51"/>
        <v>Нет</v>
      </c>
      <c r="P178" t="str">
        <f>"М 4.2.2"</f>
        <v>М 4.2.2</v>
      </c>
      <c r="Q178" t="str">
        <f t="shared" si="52"/>
        <v>Нет</v>
      </c>
      <c r="R178" t="str">
        <f t="shared" si="53"/>
        <v>Основной</v>
      </c>
      <c r="S178" t="str">
        <f t="shared" si="54"/>
        <v>ГУТС</v>
      </c>
      <c r="T178" t="str">
        <f>""</f>
        <v/>
      </c>
      <c r="U178" t="str">
        <f t="shared" si="55"/>
        <v>Нет</v>
      </c>
      <c r="V178">
        <v>51.7457846098945</v>
      </c>
      <c r="W178">
        <v>36.255526542663603</v>
      </c>
      <c r="X178" t="str">
        <f>"20000004559652"</f>
        <v>20000004559652</v>
      </c>
    </row>
    <row r="179" spans="1:24" x14ac:dyDescent="0.25">
      <c r="A179">
        <v>907</v>
      </c>
      <c r="B179" t="str">
        <f t="shared" si="48"/>
        <v>Курск</v>
      </c>
      <c r="C179">
        <v>440437</v>
      </c>
      <c r="D179" t="str">
        <f>"М 2.5.13"</f>
        <v>М 2.5.13</v>
      </c>
      <c r="E179" t="str">
        <f t="shared" si="49"/>
        <v>Муфта оптическая</v>
      </c>
      <c r="F179" t="str">
        <f t="shared" ref="F179:F184" si="66">"04.10.2012"</f>
        <v>04.10.2012</v>
      </c>
      <c r="G179" t="str">
        <f>""</f>
        <v/>
      </c>
      <c r="H179" t="str">
        <f>"М 2.5.13"</f>
        <v>М 2.5.13</v>
      </c>
      <c r="I179" t="str">
        <f t="shared" ref="I179:I184" si="67">"МС 2.5"</f>
        <v>МС 2.5</v>
      </c>
      <c r="J179" t="str">
        <f>""</f>
        <v/>
      </c>
      <c r="K179" t="str">
        <f t="shared" si="50"/>
        <v>МТОК 96</v>
      </c>
      <c r="L179" t="str">
        <f>"Подвал"</f>
        <v>Подвал</v>
      </c>
      <c r="M179" t="str">
        <f>"16.06.2012"</f>
        <v>16.06.2012</v>
      </c>
      <c r="N179" t="str">
        <f>"EmptySerial&lt;43187&gt;"</f>
        <v>EmptySerial&lt;43187&gt;</v>
      </c>
      <c r="O179" t="str">
        <f t="shared" si="51"/>
        <v>Нет</v>
      </c>
      <c r="P179" t="str">
        <f>"М 2.5.13"</f>
        <v>М 2.5.13</v>
      </c>
      <c r="Q179" t="str">
        <f t="shared" si="52"/>
        <v>Нет</v>
      </c>
      <c r="R179" t="str">
        <f t="shared" si="53"/>
        <v>Основной</v>
      </c>
      <c r="S179" t="str">
        <f t="shared" si="54"/>
        <v>ГУТС</v>
      </c>
      <c r="T179" t="str">
        <f>""</f>
        <v/>
      </c>
      <c r="U179" t="str">
        <f t="shared" si="55"/>
        <v>Нет</v>
      </c>
      <c r="V179">
        <v>51.7263204020256</v>
      </c>
      <c r="W179">
        <v>36.1403457820415</v>
      </c>
      <c r="X179" t="str">
        <f>"20000004559785"</f>
        <v>20000004559785</v>
      </c>
    </row>
    <row r="180" spans="1:24" x14ac:dyDescent="0.25">
      <c r="A180">
        <v>907</v>
      </c>
      <c r="B180" t="str">
        <f t="shared" si="48"/>
        <v>Курск</v>
      </c>
      <c r="C180">
        <v>440445</v>
      </c>
      <c r="D180" t="str">
        <f>"М 2.5.11"</f>
        <v>М 2.5.11</v>
      </c>
      <c r="E180" t="str">
        <f t="shared" si="49"/>
        <v>Муфта оптическая</v>
      </c>
      <c r="F180" t="str">
        <f t="shared" si="66"/>
        <v>04.10.2012</v>
      </c>
      <c r="G180" t="str">
        <f>""</f>
        <v/>
      </c>
      <c r="H180" t="str">
        <f>"М 2.5.11"</f>
        <v>М 2.5.11</v>
      </c>
      <c r="I180" t="str">
        <f t="shared" si="67"/>
        <v>МС 2.5</v>
      </c>
      <c r="J180" t="str">
        <f>""</f>
        <v/>
      </c>
      <c r="K180" t="str">
        <f t="shared" si="50"/>
        <v>МТОК 96</v>
      </c>
      <c r="L180" t="str">
        <f>"Чердак"</f>
        <v>Чердак</v>
      </c>
      <c r="M180" t="str">
        <f>"24.06.2012"</f>
        <v>24.06.2012</v>
      </c>
      <c r="N180" t="str">
        <f>"EmptySerial&lt;43185&gt;"</f>
        <v>EmptySerial&lt;43185&gt;</v>
      </c>
      <c r="O180" t="str">
        <f t="shared" si="51"/>
        <v>Нет</v>
      </c>
      <c r="P180" t="str">
        <f>"М 2.5.11"</f>
        <v>М 2.5.11</v>
      </c>
      <c r="Q180" t="str">
        <f t="shared" si="52"/>
        <v>Нет</v>
      </c>
      <c r="R180" t="str">
        <f t="shared" si="53"/>
        <v>Основной</v>
      </c>
      <c r="S180" t="str">
        <f t="shared" si="54"/>
        <v>ГУТС</v>
      </c>
      <c r="T180" t="str">
        <f>""</f>
        <v/>
      </c>
      <c r="U180" t="str">
        <f t="shared" si="55"/>
        <v>Нет</v>
      </c>
      <c r="V180">
        <v>51.7230090910858</v>
      </c>
      <c r="W180">
        <v>36.1376984417439</v>
      </c>
      <c r="X180" t="str">
        <f>"20000004559783"</f>
        <v>20000004559783</v>
      </c>
    </row>
    <row r="181" spans="1:24" x14ac:dyDescent="0.25">
      <c r="A181">
        <v>907</v>
      </c>
      <c r="B181" t="str">
        <f t="shared" si="48"/>
        <v>Курск</v>
      </c>
      <c r="C181">
        <v>440449</v>
      </c>
      <c r="D181" t="str">
        <f>"М 2.5.14"</f>
        <v>М 2.5.14</v>
      </c>
      <c r="E181" t="str">
        <f t="shared" si="49"/>
        <v>Муфта оптическая</v>
      </c>
      <c r="F181" t="str">
        <f t="shared" si="66"/>
        <v>04.10.2012</v>
      </c>
      <c r="G181" t="str">
        <f>""</f>
        <v/>
      </c>
      <c r="H181" t="str">
        <f>"М 2.5.14"</f>
        <v>М 2.5.14</v>
      </c>
      <c r="I181" t="str">
        <f t="shared" si="67"/>
        <v>МС 2.5</v>
      </c>
      <c r="J181" t="str">
        <f>""</f>
        <v/>
      </c>
      <c r="K181" t="str">
        <f t="shared" si="50"/>
        <v>МТОК 96</v>
      </c>
      <c r="L181" t="str">
        <f>"Чердак"</f>
        <v>Чердак</v>
      </c>
      <c r="M181" t="str">
        <f>"22.06.2012"</f>
        <v>22.06.2012</v>
      </c>
      <c r="N181" t="str">
        <f>"EmptySerial&lt;43184&gt;"</f>
        <v>EmptySerial&lt;43184&gt;</v>
      </c>
      <c r="O181" t="str">
        <f t="shared" si="51"/>
        <v>Нет</v>
      </c>
      <c r="P181" t="str">
        <f>"М 2.5.14"</f>
        <v>М 2.5.14</v>
      </c>
      <c r="Q181" t="str">
        <f t="shared" si="52"/>
        <v>Нет</v>
      </c>
      <c r="R181" t="str">
        <f t="shared" si="53"/>
        <v>Основной</v>
      </c>
      <c r="S181" t="str">
        <f t="shared" si="54"/>
        <v>ГУТС</v>
      </c>
      <c r="T181" t="str">
        <f>""</f>
        <v/>
      </c>
      <c r="U181" t="str">
        <f t="shared" si="55"/>
        <v>Нет</v>
      </c>
      <c r="V181">
        <v>51.723341400000002</v>
      </c>
      <c r="W181">
        <v>36.135818209999996</v>
      </c>
      <c r="X181" t="str">
        <f>"20000004559782"</f>
        <v>20000004559782</v>
      </c>
    </row>
    <row r="182" spans="1:24" x14ac:dyDescent="0.25">
      <c r="A182">
        <v>907</v>
      </c>
      <c r="B182" t="str">
        <f t="shared" si="48"/>
        <v>Курск</v>
      </c>
      <c r="C182">
        <v>440453</v>
      </c>
      <c r="D182" t="str">
        <f>"М 2.5.10"</f>
        <v>М 2.5.10</v>
      </c>
      <c r="E182" t="str">
        <f t="shared" si="49"/>
        <v>Муфта оптическая</v>
      </c>
      <c r="F182" t="str">
        <f t="shared" si="66"/>
        <v>04.10.2012</v>
      </c>
      <c r="G182" t="str">
        <f>""</f>
        <v/>
      </c>
      <c r="H182" t="str">
        <f>"М 2.5.10"</f>
        <v>М 2.5.10</v>
      </c>
      <c r="I182" t="str">
        <f t="shared" si="67"/>
        <v>МС 2.5</v>
      </c>
      <c r="J182" t="str">
        <f>""</f>
        <v/>
      </c>
      <c r="K182" t="str">
        <f t="shared" si="50"/>
        <v>МТОК 96</v>
      </c>
      <c r="L182" t="str">
        <f>"Чердак"</f>
        <v>Чердак</v>
      </c>
      <c r="M182" t="str">
        <f>"15.06.2012"</f>
        <v>15.06.2012</v>
      </c>
      <c r="N182" t="str">
        <f>"EmptySerial&lt;43183&gt;"</f>
        <v>EmptySerial&lt;43183&gt;</v>
      </c>
      <c r="O182" t="str">
        <f t="shared" si="51"/>
        <v>Нет</v>
      </c>
      <c r="P182" t="str">
        <f>"М 2.5.10"</f>
        <v>М 2.5.10</v>
      </c>
      <c r="Q182" t="str">
        <f t="shared" si="52"/>
        <v>Нет</v>
      </c>
      <c r="R182" t="str">
        <f t="shared" si="53"/>
        <v>Основной</v>
      </c>
      <c r="S182" t="str">
        <f t="shared" si="54"/>
        <v>ГУТС</v>
      </c>
      <c r="T182" t="str">
        <f>""</f>
        <v/>
      </c>
      <c r="U182" t="str">
        <f t="shared" si="55"/>
        <v>Нет</v>
      </c>
      <c r="V182">
        <v>51.722656010000001</v>
      </c>
      <c r="W182">
        <v>36.1334971</v>
      </c>
      <c r="X182" t="str">
        <f>"20000004559781"</f>
        <v>20000004559781</v>
      </c>
    </row>
    <row r="183" spans="1:24" x14ac:dyDescent="0.25">
      <c r="A183">
        <v>907</v>
      </c>
      <c r="B183" t="str">
        <f t="shared" si="48"/>
        <v>Курск</v>
      </c>
      <c r="C183">
        <v>440457</v>
      </c>
      <c r="D183" t="str">
        <f>"М 2.5.9"</f>
        <v>М 2.5.9</v>
      </c>
      <c r="E183" t="str">
        <f t="shared" si="49"/>
        <v>Муфта оптическая</v>
      </c>
      <c r="F183" t="str">
        <f t="shared" si="66"/>
        <v>04.10.2012</v>
      </c>
      <c r="G183" t="str">
        <f>""</f>
        <v/>
      </c>
      <c r="H183" t="str">
        <f>"М 2.5.9"</f>
        <v>М 2.5.9</v>
      </c>
      <c r="I183" t="str">
        <f t="shared" si="67"/>
        <v>МС 2.5</v>
      </c>
      <c r="J183" t="str">
        <f>""</f>
        <v/>
      </c>
      <c r="K183" t="str">
        <f t="shared" si="50"/>
        <v>МТОК 96</v>
      </c>
      <c r="L183" t="str">
        <f>"Чердак"</f>
        <v>Чердак</v>
      </c>
      <c r="M183" t="str">
        <f>"06.06.2012"</f>
        <v>06.06.2012</v>
      </c>
      <c r="N183" t="str">
        <f>"EmptySerial&lt;43182&gt;"</f>
        <v>EmptySerial&lt;43182&gt;</v>
      </c>
      <c r="O183" t="str">
        <f t="shared" si="51"/>
        <v>Нет</v>
      </c>
      <c r="P183" t="str">
        <f>"М 2.5.9"</f>
        <v>М 2.5.9</v>
      </c>
      <c r="Q183" t="str">
        <f t="shared" si="52"/>
        <v>Нет</v>
      </c>
      <c r="R183" t="str">
        <f t="shared" si="53"/>
        <v>Основной</v>
      </c>
      <c r="S183" t="str">
        <f t="shared" si="54"/>
        <v>ГУТС</v>
      </c>
      <c r="T183" t="str">
        <f>""</f>
        <v/>
      </c>
      <c r="U183" t="str">
        <f t="shared" si="55"/>
        <v>Нет</v>
      </c>
      <c r="V183">
        <v>51.721129650000002</v>
      </c>
      <c r="W183">
        <v>36.131370099999998</v>
      </c>
      <c r="X183" t="str">
        <f>"20000004559780"</f>
        <v>20000004559780</v>
      </c>
    </row>
    <row r="184" spans="1:24" x14ac:dyDescent="0.25">
      <c r="A184">
        <v>907</v>
      </c>
      <c r="B184" t="str">
        <f t="shared" si="48"/>
        <v>Курск</v>
      </c>
      <c r="C184">
        <v>440461</v>
      </c>
      <c r="D184" t="str">
        <f>"М 2.5.8"</f>
        <v>М 2.5.8</v>
      </c>
      <c r="E184" t="str">
        <f t="shared" si="49"/>
        <v>Муфта оптическая</v>
      </c>
      <c r="F184" t="str">
        <f t="shared" si="66"/>
        <v>04.10.2012</v>
      </c>
      <c r="G184" t="str">
        <f>""</f>
        <v/>
      </c>
      <c r="H184" t="str">
        <f>"М 2.5.8"</f>
        <v>М 2.5.8</v>
      </c>
      <c r="I184" t="str">
        <f t="shared" si="67"/>
        <v>МС 2.5</v>
      </c>
      <c r="J184" t="str">
        <f>""</f>
        <v/>
      </c>
      <c r="K184" t="str">
        <f t="shared" si="50"/>
        <v>МТОК 96</v>
      </c>
      <c r="L184" t="str">
        <f>"Чердак"</f>
        <v>Чердак</v>
      </c>
      <c r="M184" t="str">
        <f>"08.06.2012"</f>
        <v>08.06.2012</v>
      </c>
      <c r="N184" t="str">
        <f>"EmptySerial&lt;43181&gt;"</f>
        <v>EmptySerial&lt;43181&gt;</v>
      </c>
      <c r="O184" t="str">
        <f t="shared" si="51"/>
        <v>Нет</v>
      </c>
      <c r="P184" t="str">
        <f>"М 2.5.8"</f>
        <v>М 2.5.8</v>
      </c>
      <c r="Q184" t="str">
        <f t="shared" si="52"/>
        <v>Нет</v>
      </c>
      <c r="R184" t="str">
        <f t="shared" si="53"/>
        <v>Основной</v>
      </c>
      <c r="S184" t="str">
        <f t="shared" si="54"/>
        <v>ГУТС</v>
      </c>
      <c r="T184" t="str">
        <f>""</f>
        <v/>
      </c>
      <c r="U184" t="str">
        <f t="shared" si="55"/>
        <v>Нет</v>
      </c>
      <c r="V184">
        <v>51.722953840000002</v>
      </c>
      <c r="W184">
        <v>36.133041460000001</v>
      </c>
      <c r="X184" t="str">
        <f>"20000004559779"</f>
        <v>20000004559779</v>
      </c>
    </row>
    <row r="185" spans="1:24" x14ac:dyDescent="0.25">
      <c r="A185">
        <v>907</v>
      </c>
      <c r="B185" t="str">
        <f t="shared" si="48"/>
        <v>Курск</v>
      </c>
      <c r="C185">
        <v>443233</v>
      </c>
      <c r="D185" t="str">
        <f>"М 2.6.5  Муфты нет "</f>
        <v xml:space="preserve">М 2.6.5  Муфты нет </v>
      </c>
      <c r="E185" t="str">
        <f t="shared" si="49"/>
        <v>Муфта оптическая</v>
      </c>
      <c r="F185" t="str">
        <f t="shared" ref="F185:F191" si="68">"08.10.2012"</f>
        <v>08.10.2012</v>
      </c>
      <c r="G185" t="str">
        <f>"Этой муфты по факту нет"</f>
        <v>Этой муфты по факту нет</v>
      </c>
      <c r="H185" t="str">
        <f>"М 2.6.5  Муфты нет "</f>
        <v xml:space="preserve">М 2.6.5  Муфты нет </v>
      </c>
      <c r="I185" t="str">
        <f t="shared" ref="I185:I191" si="69">"МС 2.6"</f>
        <v>МС 2.6</v>
      </c>
      <c r="J185" t="str">
        <f>""</f>
        <v/>
      </c>
      <c r="K185" t="str">
        <f t="shared" si="50"/>
        <v>МТОК 96</v>
      </c>
      <c r="L185" t="str">
        <f t="shared" ref="L185:L197" si="70">"Опора"</f>
        <v>Опора</v>
      </c>
      <c r="M185" t="str">
        <f>"30.08.2012"</f>
        <v>30.08.2012</v>
      </c>
      <c r="N185" t="str">
        <f>"EmptySerial&lt;43288&gt;"</f>
        <v>EmptySerial&lt;43288&gt;</v>
      </c>
      <c r="O185" t="str">
        <f t="shared" si="51"/>
        <v>Нет</v>
      </c>
      <c r="P185" t="str">
        <f>"М 2.6.5"</f>
        <v>М 2.6.5</v>
      </c>
      <c r="Q185" t="str">
        <f t="shared" si="52"/>
        <v>Нет</v>
      </c>
      <c r="R185" t="str">
        <f t="shared" si="53"/>
        <v>Основной</v>
      </c>
      <c r="S185" t="str">
        <f t="shared" si="54"/>
        <v>ГУТС</v>
      </c>
      <c r="T185" t="str">
        <f>""</f>
        <v/>
      </c>
      <c r="U185" t="str">
        <f t="shared" si="55"/>
        <v>Нет</v>
      </c>
      <c r="V185">
        <v>51.755946916003801</v>
      </c>
      <c r="W185">
        <v>36.142444610595703</v>
      </c>
      <c r="X185" t="str">
        <f>"20000004559818"</f>
        <v>20000004559818</v>
      </c>
    </row>
    <row r="186" spans="1:24" x14ac:dyDescent="0.25">
      <c r="A186">
        <v>907</v>
      </c>
      <c r="B186" t="str">
        <f t="shared" si="48"/>
        <v>Курск</v>
      </c>
      <c r="C186">
        <v>443237</v>
      </c>
      <c r="D186" t="str">
        <f>"М 2.6.4"</f>
        <v>М 2.6.4</v>
      </c>
      <c r="E186" t="str">
        <f t="shared" si="49"/>
        <v>Муфта оптическая</v>
      </c>
      <c r="F186" t="str">
        <f t="shared" si="68"/>
        <v>08.10.2012</v>
      </c>
      <c r="G186" t="str">
        <f>""</f>
        <v/>
      </c>
      <c r="H186" t="str">
        <f>"М 2.6.4"</f>
        <v>М 2.6.4</v>
      </c>
      <c r="I186" t="str">
        <f t="shared" si="69"/>
        <v>МС 2.6</v>
      </c>
      <c r="J186" t="str">
        <f>""</f>
        <v/>
      </c>
      <c r="K186" t="str">
        <f t="shared" si="50"/>
        <v>МТОК 96</v>
      </c>
      <c r="L186" t="str">
        <f t="shared" si="70"/>
        <v>Опора</v>
      </c>
      <c r="M186" t="str">
        <f>"31.08.2012"</f>
        <v>31.08.2012</v>
      </c>
      <c r="N186" t="str">
        <f>"EmptySerial&lt;43287&gt;"</f>
        <v>EmptySerial&lt;43287&gt;</v>
      </c>
      <c r="O186" t="str">
        <f t="shared" si="51"/>
        <v>Нет</v>
      </c>
      <c r="P186" t="str">
        <f>"М 2.6.4"</f>
        <v>М 2.6.4</v>
      </c>
      <c r="Q186" t="str">
        <f t="shared" si="52"/>
        <v>Нет</v>
      </c>
      <c r="R186" t="str">
        <f t="shared" si="53"/>
        <v>Основной</v>
      </c>
      <c r="S186" t="str">
        <f t="shared" si="54"/>
        <v>ГУТС</v>
      </c>
      <c r="T186" t="str">
        <f>""</f>
        <v/>
      </c>
      <c r="U186" t="str">
        <f t="shared" si="55"/>
        <v>Нет</v>
      </c>
      <c r="V186">
        <v>51.754879317152302</v>
      </c>
      <c r="W186">
        <v>36.138638556003599</v>
      </c>
      <c r="X186" t="str">
        <f>"20000004559817"</f>
        <v>20000004559817</v>
      </c>
    </row>
    <row r="187" spans="1:24" x14ac:dyDescent="0.25">
      <c r="A187">
        <v>907</v>
      </c>
      <c r="B187" t="str">
        <f t="shared" si="48"/>
        <v>Курск</v>
      </c>
      <c r="C187">
        <v>443241</v>
      </c>
      <c r="D187" t="str">
        <f>"М 2.6.3"</f>
        <v>М 2.6.3</v>
      </c>
      <c r="E187" t="str">
        <f t="shared" si="49"/>
        <v>Муфта оптическая</v>
      </c>
      <c r="F187" t="str">
        <f t="shared" si="68"/>
        <v>08.10.2012</v>
      </c>
      <c r="G187" t="str">
        <f>""</f>
        <v/>
      </c>
      <c r="H187" t="str">
        <f>"М 2.6.3"</f>
        <v>М 2.6.3</v>
      </c>
      <c r="I187" t="str">
        <f t="shared" si="69"/>
        <v>МС 2.6</v>
      </c>
      <c r="J187" t="str">
        <f>""</f>
        <v/>
      </c>
      <c r="K187" t="str">
        <f t="shared" si="50"/>
        <v>МТОК 96</v>
      </c>
      <c r="L187" t="str">
        <f t="shared" si="70"/>
        <v>Опора</v>
      </c>
      <c r="M187" t="str">
        <f>"21.08.2012"</f>
        <v>21.08.2012</v>
      </c>
      <c r="N187" t="str">
        <f>"EmptySerial&lt;43286&gt;"</f>
        <v>EmptySerial&lt;43286&gt;</v>
      </c>
      <c r="O187" t="str">
        <f t="shared" si="51"/>
        <v>Нет</v>
      </c>
      <c r="P187" t="str">
        <f>"М 2.6.3"</f>
        <v>М 2.6.3</v>
      </c>
      <c r="Q187" t="str">
        <f t="shared" si="52"/>
        <v>Нет</v>
      </c>
      <c r="R187" t="str">
        <f t="shared" si="53"/>
        <v>Основной</v>
      </c>
      <c r="S187" t="str">
        <f t="shared" si="54"/>
        <v>ГУТС</v>
      </c>
      <c r="T187" t="str">
        <f>""</f>
        <v/>
      </c>
      <c r="U187" t="str">
        <f t="shared" si="55"/>
        <v>Нет</v>
      </c>
      <c r="V187">
        <v>51.751774337244498</v>
      </c>
      <c r="W187">
        <v>36.139512956142397</v>
      </c>
      <c r="X187" t="str">
        <f>"20000004559816"</f>
        <v>20000004559816</v>
      </c>
    </row>
    <row r="188" spans="1:24" x14ac:dyDescent="0.25">
      <c r="A188">
        <v>907</v>
      </c>
      <c r="B188" t="str">
        <f t="shared" si="48"/>
        <v>Курск</v>
      </c>
      <c r="C188">
        <v>443245</v>
      </c>
      <c r="D188" t="str">
        <f>"М 2.6.8"</f>
        <v>М 2.6.8</v>
      </c>
      <c r="E188" t="str">
        <f t="shared" si="49"/>
        <v>Муфта оптическая</v>
      </c>
      <c r="F188" t="str">
        <f t="shared" si="68"/>
        <v>08.10.2012</v>
      </c>
      <c r="G188" t="str">
        <f>""</f>
        <v/>
      </c>
      <c r="H188" t="str">
        <f>"М 2.6.8"</f>
        <v>М 2.6.8</v>
      </c>
      <c r="I188" t="str">
        <f t="shared" si="69"/>
        <v>МС 2.6</v>
      </c>
      <c r="J188" t="str">
        <f>""</f>
        <v/>
      </c>
      <c r="K188" t="str">
        <f t="shared" si="50"/>
        <v>МТОК 96</v>
      </c>
      <c r="L188" t="str">
        <f t="shared" si="70"/>
        <v>Опора</v>
      </c>
      <c r="M188" t="str">
        <f>"19.08.2012"</f>
        <v>19.08.2012</v>
      </c>
      <c r="N188" t="str">
        <f>"EmptySerial&lt;43285&gt;"</f>
        <v>EmptySerial&lt;43285&gt;</v>
      </c>
      <c r="O188" t="str">
        <f t="shared" si="51"/>
        <v>Нет</v>
      </c>
      <c r="P188" t="str">
        <f>"М 2.6.8"</f>
        <v>М 2.6.8</v>
      </c>
      <c r="Q188" t="str">
        <f t="shared" si="52"/>
        <v>Нет</v>
      </c>
      <c r="R188" t="str">
        <f t="shared" si="53"/>
        <v>Основной</v>
      </c>
      <c r="S188" t="str">
        <f t="shared" si="54"/>
        <v>ГУТС</v>
      </c>
      <c r="T188" t="str">
        <f>""</f>
        <v/>
      </c>
      <c r="U188" t="str">
        <f t="shared" si="55"/>
        <v>Нет</v>
      </c>
      <c r="V188">
        <v>51.740048420000001</v>
      </c>
      <c r="W188">
        <v>36.149304700000002</v>
      </c>
      <c r="X188" t="str">
        <f>"20000004559815"</f>
        <v>20000004559815</v>
      </c>
    </row>
    <row r="189" spans="1:24" x14ac:dyDescent="0.25">
      <c r="A189">
        <v>907</v>
      </c>
      <c r="B189" t="str">
        <f t="shared" si="48"/>
        <v>Курск</v>
      </c>
      <c r="C189">
        <v>443249</v>
      </c>
      <c r="D189" t="str">
        <f>"М 2.6.7"</f>
        <v>М 2.6.7</v>
      </c>
      <c r="E189" t="str">
        <f t="shared" si="49"/>
        <v>Муфта оптическая</v>
      </c>
      <c r="F189" t="str">
        <f t="shared" si="68"/>
        <v>08.10.2012</v>
      </c>
      <c r="G189" t="str">
        <f>""</f>
        <v/>
      </c>
      <c r="H189" t="str">
        <f>"М 2.6.7"</f>
        <v>М 2.6.7</v>
      </c>
      <c r="I189" t="str">
        <f t="shared" si="69"/>
        <v>МС 2.6</v>
      </c>
      <c r="J189" t="str">
        <f>""</f>
        <v/>
      </c>
      <c r="K189" t="str">
        <f t="shared" si="50"/>
        <v>МТОК 96</v>
      </c>
      <c r="L189" t="str">
        <f t="shared" si="70"/>
        <v>Опора</v>
      </c>
      <c r="M189" t="str">
        <f>"19.08.2012"</f>
        <v>19.08.2012</v>
      </c>
      <c r="N189" t="str">
        <f>"EmptySerial&lt;43284&gt;"</f>
        <v>EmptySerial&lt;43284&gt;</v>
      </c>
      <c r="O189" t="str">
        <f t="shared" si="51"/>
        <v>Нет</v>
      </c>
      <c r="P189" t="str">
        <f>"М 2.6.7"</f>
        <v>М 2.6.7</v>
      </c>
      <c r="Q189" t="str">
        <f t="shared" si="52"/>
        <v>Нет</v>
      </c>
      <c r="R189" t="str">
        <f t="shared" si="53"/>
        <v>Основной</v>
      </c>
      <c r="S189" t="str">
        <f t="shared" si="54"/>
        <v>ГУТС</v>
      </c>
      <c r="T189" t="str">
        <f>""</f>
        <v/>
      </c>
      <c r="U189" t="str">
        <f t="shared" si="55"/>
        <v>Нет</v>
      </c>
      <c r="V189">
        <v>51.74122577</v>
      </c>
      <c r="W189">
        <v>36.148389389999998</v>
      </c>
      <c r="X189" t="str">
        <f>"20000004559814"</f>
        <v>20000004559814</v>
      </c>
    </row>
    <row r="190" spans="1:24" x14ac:dyDescent="0.25">
      <c r="A190">
        <v>907</v>
      </c>
      <c r="B190" t="str">
        <f t="shared" si="48"/>
        <v>Курск</v>
      </c>
      <c r="C190">
        <v>443253</v>
      </c>
      <c r="D190" t="str">
        <f>"М 2.6.6"</f>
        <v>М 2.6.6</v>
      </c>
      <c r="E190" t="str">
        <f t="shared" si="49"/>
        <v>Муфта оптическая</v>
      </c>
      <c r="F190" t="str">
        <f t="shared" si="68"/>
        <v>08.10.2012</v>
      </c>
      <c r="G190" t="str">
        <f>""</f>
        <v/>
      </c>
      <c r="H190" t="str">
        <f>"М 2.6.6"</f>
        <v>М 2.6.6</v>
      </c>
      <c r="I190" t="str">
        <f t="shared" si="69"/>
        <v>МС 2.6</v>
      </c>
      <c r="J190" t="str">
        <f>""</f>
        <v/>
      </c>
      <c r="K190" t="str">
        <f t="shared" si="50"/>
        <v>МТОК 96</v>
      </c>
      <c r="L190" t="str">
        <f t="shared" si="70"/>
        <v>Опора</v>
      </c>
      <c r="M190" t="str">
        <f>"19.08.2012"</f>
        <v>19.08.2012</v>
      </c>
      <c r="N190" t="str">
        <f>"EmptySerial&lt;43283&gt;"</f>
        <v>EmptySerial&lt;43283&gt;</v>
      </c>
      <c r="O190" t="str">
        <f t="shared" si="51"/>
        <v>Нет</v>
      </c>
      <c r="P190" t="str">
        <f>"М 2.6.6"</f>
        <v>М 2.6.6</v>
      </c>
      <c r="Q190" t="str">
        <f t="shared" si="52"/>
        <v>Нет</v>
      </c>
      <c r="R190" t="str">
        <f t="shared" si="53"/>
        <v>Основной</v>
      </c>
      <c r="S190" t="str">
        <f t="shared" si="54"/>
        <v>ГУТС</v>
      </c>
      <c r="T190" t="str">
        <f>""</f>
        <v/>
      </c>
      <c r="U190" t="str">
        <f t="shared" si="55"/>
        <v>Нет</v>
      </c>
      <c r="V190">
        <v>51.744588894146297</v>
      </c>
      <c r="W190">
        <v>36.144810318946803</v>
      </c>
      <c r="X190" t="str">
        <f>"20000004559813"</f>
        <v>20000004559813</v>
      </c>
    </row>
    <row r="191" spans="1:24" x14ac:dyDescent="0.25">
      <c r="A191">
        <v>907</v>
      </c>
      <c r="B191" t="str">
        <f t="shared" si="48"/>
        <v>Курск</v>
      </c>
      <c r="C191">
        <v>443257</v>
      </c>
      <c r="D191" t="str">
        <f>"М 2.6.2"</f>
        <v>М 2.6.2</v>
      </c>
      <c r="E191" t="str">
        <f t="shared" si="49"/>
        <v>Муфта оптическая</v>
      </c>
      <c r="F191" t="str">
        <f t="shared" si="68"/>
        <v>08.10.2012</v>
      </c>
      <c r="G191" t="str">
        <f>""</f>
        <v/>
      </c>
      <c r="H191" t="str">
        <f>"М 2.6.2"</f>
        <v>М 2.6.2</v>
      </c>
      <c r="I191" t="str">
        <f t="shared" si="69"/>
        <v>МС 2.6</v>
      </c>
      <c r="J191" t="str">
        <f>""</f>
        <v/>
      </c>
      <c r="K191" t="str">
        <f t="shared" si="50"/>
        <v>МТОК 96</v>
      </c>
      <c r="L191" t="str">
        <f t="shared" si="70"/>
        <v>Опора</v>
      </c>
      <c r="M191" t="str">
        <f>"12.08.2012"</f>
        <v>12.08.2012</v>
      </c>
      <c r="N191" t="str">
        <f>"EmptySerial&lt;43282&gt;"</f>
        <v>EmptySerial&lt;43282&gt;</v>
      </c>
      <c r="O191" t="str">
        <f t="shared" si="51"/>
        <v>Нет</v>
      </c>
      <c r="P191" t="str">
        <f>"М 2.6.2"</f>
        <v>М 2.6.2</v>
      </c>
      <c r="Q191" t="str">
        <f t="shared" si="52"/>
        <v>Нет</v>
      </c>
      <c r="R191" t="str">
        <f t="shared" si="53"/>
        <v>Основной</v>
      </c>
      <c r="S191" t="str">
        <f t="shared" si="54"/>
        <v>ГУТС</v>
      </c>
      <c r="T191" t="str">
        <f>""</f>
        <v/>
      </c>
      <c r="U191" t="str">
        <f t="shared" si="55"/>
        <v>Нет</v>
      </c>
      <c r="V191">
        <v>51.747574802920298</v>
      </c>
      <c r="W191">
        <v>36.142358779907198</v>
      </c>
      <c r="X191" t="str">
        <f>"20000004559812"</f>
        <v>20000004559812</v>
      </c>
    </row>
    <row r="192" spans="1:24" x14ac:dyDescent="0.25">
      <c r="A192">
        <v>907</v>
      </c>
      <c r="B192" t="str">
        <f t="shared" si="48"/>
        <v>Курск</v>
      </c>
      <c r="C192">
        <v>444633</v>
      </c>
      <c r="D192" t="str">
        <f>"М 4.1.7"</f>
        <v>М 4.1.7</v>
      </c>
      <c r="E192" t="str">
        <f t="shared" si="49"/>
        <v>Муфта оптическая</v>
      </c>
      <c r="F192" t="str">
        <f t="shared" ref="F192:F198" si="71">"09.10.2012"</f>
        <v>09.10.2012</v>
      </c>
      <c r="G192" t="str">
        <f>""</f>
        <v/>
      </c>
      <c r="H192" t="str">
        <f>"М 4.1.7"</f>
        <v>М 4.1.7</v>
      </c>
      <c r="I192" t="str">
        <f t="shared" ref="I192:I198" si="72">"МС 4.1"</f>
        <v>МС 4.1</v>
      </c>
      <c r="J192" t="str">
        <f>""</f>
        <v/>
      </c>
      <c r="K192" t="str">
        <f t="shared" si="50"/>
        <v>МТОК 96</v>
      </c>
      <c r="L192" t="str">
        <f t="shared" si="70"/>
        <v>Опора</v>
      </c>
      <c r="M192" t="str">
        <f>"25.07.2012"</f>
        <v>25.07.2012</v>
      </c>
      <c r="N192" t="str">
        <f>"EmptySerial&lt;43367&gt;"</f>
        <v>EmptySerial&lt;43367&gt;</v>
      </c>
      <c r="O192" t="str">
        <f t="shared" si="51"/>
        <v>Нет</v>
      </c>
      <c r="P192" t="str">
        <f>"М 4.1.7"</f>
        <v>М 4.1.7</v>
      </c>
      <c r="Q192" t="str">
        <f t="shared" si="52"/>
        <v>Нет</v>
      </c>
      <c r="R192" t="str">
        <f t="shared" si="53"/>
        <v>Основной</v>
      </c>
      <c r="S192" t="str">
        <f t="shared" si="54"/>
        <v>ГУТС</v>
      </c>
      <c r="T192" t="str">
        <f>""</f>
        <v/>
      </c>
      <c r="U192" t="str">
        <f t="shared" si="55"/>
        <v>Нет</v>
      </c>
      <c r="V192">
        <v>51.746862389999997</v>
      </c>
      <c r="W192">
        <v>36.243987679999996</v>
      </c>
      <c r="X192" t="str">
        <f>"20000004559847"</f>
        <v>20000004559847</v>
      </c>
    </row>
    <row r="193" spans="1:24" x14ac:dyDescent="0.25">
      <c r="A193">
        <v>907</v>
      </c>
      <c r="B193" t="str">
        <f t="shared" si="48"/>
        <v>Курск</v>
      </c>
      <c r="C193">
        <v>444637</v>
      </c>
      <c r="D193" t="str">
        <f>"М 4.1.6"</f>
        <v>М 4.1.6</v>
      </c>
      <c r="E193" t="str">
        <f t="shared" si="49"/>
        <v>Муфта оптическая</v>
      </c>
      <c r="F193" t="str">
        <f t="shared" si="71"/>
        <v>09.10.2012</v>
      </c>
      <c r="G193" t="str">
        <f>""</f>
        <v/>
      </c>
      <c r="H193" t="str">
        <f>"М 4.1.6"</f>
        <v>М 4.1.6</v>
      </c>
      <c r="I193" t="str">
        <f t="shared" si="72"/>
        <v>МС 4.1</v>
      </c>
      <c r="J193" t="str">
        <f>""</f>
        <v/>
      </c>
      <c r="K193" t="str">
        <f t="shared" si="50"/>
        <v>МТОК 96</v>
      </c>
      <c r="L193" t="str">
        <f t="shared" si="70"/>
        <v>Опора</v>
      </c>
      <c r="M193" t="str">
        <f>"25.07.2012"</f>
        <v>25.07.2012</v>
      </c>
      <c r="N193" t="str">
        <f>"EmptySerial&lt;43366&gt;"</f>
        <v>EmptySerial&lt;43366&gt;</v>
      </c>
      <c r="O193" t="str">
        <f t="shared" si="51"/>
        <v>Нет</v>
      </c>
      <c r="P193" t="str">
        <f>"М 4.1.6"</f>
        <v>М 4.1.6</v>
      </c>
      <c r="Q193" t="str">
        <f t="shared" si="52"/>
        <v>Нет</v>
      </c>
      <c r="R193" t="str">
        <f t="shared" si="53"/>
        <v>Основной</v>
      </c>
      <c r="S193" t="str">
        <f t="shared" si="54"/>
        <v>ГУТС</v>
      </c>
      <c r="T193" t="str">
        <f>""</f>
        <v/>
      </c>
      <c r="U193" t="str">
        <f t="shared" si="55"/>
        <v>Нет</v>
      </c>
      <c r="V193">
        <v>51.74498518</v>
      </c>
      <c r="W193">
        <v>36.239603600000002</v>
      </c>
      <c r="X193" t="str">
        <f>"20000004559846"</f>
        <v>20000004559846</v>
      </c>
    </row>
    <row r="194" spans="1:24" x14ac:dyDescent="0.25">
      <c r="A194">
        <v>907</v>
      </c>
      <c r="B194" t="str">
        <f t="shared" ref="B194:B257" si="73">"Курск"</f>
        <v>Курск</v>
      </c>
      <c r="C194">
        <v>444641</v>
      </c>
      <c r="D194" t="str">
        <f>"М 4.1.5"</f>
        <v>М 4.1.5</v>
      </c>
      <c r="E194" t="str">
        <f t="shared" ref="E194:E257" si="74">"Муфта оптическая"</f>
        <v>Муфта оптическая</v>
      </c>
      <c r="F194" t="str">
        <f t="shared" si="71"/>
        <v>09.10.2012</v>
      </c>
      <c r="G194" t="str">
        <f>""</f>
        <v/>
      </c>
      <c r="H194" t="str">
        <f>"М 4.1.5"</f>
        <v>М 4.1.5</v>
      </c>
      <c r="I194" t="str">
        <f t="shared" si="72"/>
        <v>МС 4.1</v>
      </c>
      <c r="J194" t="str">
        <f>""</f>
        <v/>
      </c>
      <c r="K194" t="str">
        <f t="shared" ref="K194:K248" si="75">"МТОК 96"</f>
        <v>МТОК 96</v>
      </c>
      <c r="L194" t="str">
        <f t="shared" si="70"/>
        <v>Опора</v>
      </c>
      <c r="M194" t="str">
        <f>"20.07.2012"</f>
        <v>20.07.2012</v>
      </c>
      <c r="N194" t="str">
        <f>"EmptySerial&lt;43365&gt;"</f>
        <v>EmptySerial&lt;43365&gt;</v>
      </c>
      <c r="O194" t="str">
        <f t="shared" ref="O194:O207" si="76">"Нет"</f>
        <v>Нет</v>
      </c>
      <c r="P194" t="str">
        <f>"М 4.1.5"</f>
        <v>М 4.1.5</v>
      </c>
      <c r="Q194" t="str">
        <f t="shared" ref="Q194:Q236" si="77">"Нет"</f>
        <v>Нет</v>
      </c>
      <c r="R194" t="str">
        <f t="shared" ref="R194:R257" si="78">"Основной"</f>
        <v>Основной</v>
      </c>
      <c r="S194" t="str">
        <f t="shared" ref="S194:S257" si="79">"ГУТС"</f>
        <v>ГУТС</v>
      </c>
      <c r="T194" t="str">
        <f>""</f>
        <v/>
      </c>
      <c r="U194" t="str">
        <f t="shared" ref="U194:U257" si="80">"Нет"</f>
        <v>Нет</v>
      </c>
      <c r="V194">
        <v>51.74316967</v>
      </c>
      <c r="W194">
        <v>36.237252650000002</v>
      </c>
      <c r="X194" t="str">
        <f>"20000004559845"</f>
        <v>20000004559845</v>
      </c>
    </row>
    <row r="195" spans="1:24" x14ac:dyDescent="0.25">
      <c r="A195">
        <v>907</v>
      </c>
      <c r="B195" t="str">
        <f t="shared" si="73"/>
        <v>Курск</v>
      </c>
      <c r="C195">
        <v>444645</v>
      </c>
      <c r="D195" t="str">
        <f>"М 4.1.4"</f>
        <v>М 4.1.4</v>
      </c>
      <c r="E195" t="str">
        <f t="shared" si="74"/>
        <v>Муфта оптическая</v>
      </c>
      <c r="F195" t="str">
        <f t="shared" si="71"/>
        <v>09.10.2012</v>
      </c>
      <c r="G195" t="str">
        <f>""</f>
        <v/>
      </c>
      <c r="H195" t="str">
        <f>"М 4.1.4"</f>
        <v>М 4.1.4</v>
      </c>
      <c r="I195" t="str">
        <f t="shared" si="72"/>
        <v>МС 4.1</v>
      </c>
      <c r="J195" t="str">
        <f>""</f>
        <v/>
      </c>
      <c r="K195" t="str">
        <f t="shared" si="75"/>
        <v>МТОК 96</v>
      </c>
      <c r="L195" t="str">
        <f t="shared" si="70"/>
        <v>Опора</v>
      </c>
      <c r="M195" t="str">
        <f>"19.07.2012"</f>
        <v>19.07.2012</v>
      </c>
      <c r="N195" t="str">
        <f>"EmptySerial&lt;43364&gt;"</f>
        <v>EmptySerial&lt;43364&gt;</v>
      </c>
      <c r="O195" t="str">
        <f t="shared" si="76"/>
        <v>Нет</v>
      </c>
      <c r="P195" t="str">
        <f>"М 4.1.4"</f>
        <v>М 4.1.4</v>
      </c>
      <c r="Q195" t="str">
        <f t="shared" si="77"/>
        <v>Нет</v>
      </c>
      <c r="R195" t="str">
        <f t="shared" si="78"/>
        <v>Основной</v>
      </c>
      <c r="S195" t="str">
        <f t="shared" si="79"/>
        <v>ГУТС</v>
      </c>
      <c r="T195" t="str">
        <f>""</f>
        <v/>
      </c>
      <c r="U195" t="str">
        <f t="shared" si="80"/>
        <v>Нет</v>
      </c>
      <c r="V195">
        <v>51.747436140225297</v>
      </c>
      <c r="W195">
        <v>36.237648278474801</v>
      </c>
      <c r="X195" t="str">
        <f>"20000004559844"</f>
        <v>20000004559844</v>
      </c>
    </row>
    <row r="196" spans="1:24" x14ac:dyDescent="0.25">
      <c r="A196">
        <v>907</v>
      </c>
      <c r="B196" t="str">
        <f t="shared" si="73"/>
        <v>Курск</v>
      </c>
      <c r="C196">
        <v>444649</v>
      </c>
      <c r="D196" t="str">
        <f>"М 4.1.3"</f>
        <v>М 4.1.3</v>
      </c>
      <c r="E196" t="str">
        <f t="shared" si="74"/>
        <v>Муфта оптическая</v>
      </c>
      <c r="F196" t="str">
        <f t="shared" si="71"/>
        <v>09.10.2012</v>
      </c>
      <c r="G196" t="str">
        <f>""</f>
        <v/>
      </c>
      <c r="H196" t="str">
        <f>"М 4.1.3"</f>
        <v>М 4.1.3</v>
      </c>
      <c r="I196" t="str">
        <f t="shared" si="72"/>
        <v>МС 4.1</v>
      </c>
      <c r="J196" t="str">
        <f>""</f>
        <v/>
      </c>
      <c r="K196" t="str">
        <f t="shared" si="75"/>
        <v>МТОК 96</v>
      </c>
      <c r="L196" t="str">
        <f t="shared" si="70"/>
        <v>Опора</v>
      </c>
      <c r="M196" t="str">
        <f>"18.07.2012"</f>
        <v>18.07.2012</v>
      </c>
      <c r="N196" t="str">
        <f>"EmptySerial&lt;43363&gt;"</f>
        <v>EmptySerial&lt;43363&gt;</v>
      </c>
      <c r="O196" t="str">
        <f t="shared" si="76"/>
        <v>Нет</v>
      </c>
      <c r="P196" t="str">
        <f>"М 4.1.3"</f>
        <v>М 4.1.3</v>
      </c>
      <c r="Q196" t="str">
        <f t="shared" si="77"/>
        <v>Нет</v>
      </c>
      <c r="R196" t="str">
        <f t="shared" si="78"/>
        <v>Основной</v>
      </c>
      <c r="S196" t="str">
        <f t="shared" si="79"/>
        <v>ГУТС</v>
      </c>
      <c r="T196" t="str">
        <f>""</f>
        <v/>
      </c>
      <c r="U196" t="str">
        <f t="shared" si="80"/>
        <v>Нет</v>
      </c>
      <c r="V196">
        <v>51.749199699999998</v>
      </c>
      <c r="W196">
        <v>36.238597779999999</v>
      </c>
      <c r="X196" t="str">
        <f>"20000004559843"</f>
        <v>20000004559843</v>
      </c>
    </row>
    <row r="197" spans="1:24" x14ac:dyDescent="0.25">
      <c r="A197">
        <v>907</v>
      </c>
      <c r="B197" t="str">
        <f t="shared" si="73"/>
        <v>Курск</v>
      </c>
      <c r="C197">
        <v>444653</v>
      </c>
      <c r="D197" t="str">
        <f>"М 4.1.2"</f>
        <v>М 4.1.2</v>
      </c>
      <c r="E197" t="str">
        <f t="shared" si="74"/>
        <v>Муфта оптическая</v>
      </c>
      <c r="F197" t="str">
        <f t="shared" si="71"/>
        <v>09.10.2012</v>
      </c>
      <c r="G197" t="str">
        <f>""</f>
        <v/>
      </c>
      <c r="H197" t="str">
        <f>"М 4.1.2"</f>
        <v>М 4.1.2</v>
      </c>
      <c r="I197" t="str">
        <f t="shared" si="72"/>
        <v>МС 4.1</v>
      </c>
      <c r="J197" t="str">
        <f>""</f>
        <v/>
      </c>
      <c r="K197" t="str">
        <f t="shared" si="75"/>
        <v>МТОК 96</v>
      </c>
      <c r="L197" t="str">
        <f t="shared" si="70"/>
        <v>Опора</v>
      </c>
      <c r="M197" t="str">
        <f>"19.07.2012"</f>
        <v>19.07.2012</v>
      </c>
      <c r="N197" t="str">
        <f>"EmptySerial&lt;43362&gt;"</f>
        <v>EmptySerial&lt;43362&gt;</v>
      </c>
      <c r="O197" t="str">
        <f t="shared" si="76"/>
        <v>Нет</v>
      </c>
      <c r="P197" t="str">
        <f>"М 4.1.2"</f>
        <v>М 4.1.2</v>
      </c>
      <c r="Q197" t="str">
        <f t="shared" si="77"/>
        <v>Нет</v>
      </c>
      <c r="R197" t="str">
        <f t="shared" si="78"/>
        <v>Основной</v>
      </c>
      <c r="S197" t="str">
        <f t="shared" si="79"/>
        <v>ГУТС</v>
      </c>
      <c r="T197" t="str">
        <f>""</f>
        <v/>
      </c>
      <c r="U197" t="str">
        <f t="shared" si="80"/>
        <v>Нет</v>
      </c>
      <c r="V197">
        <v>51.751405499999997</v>
      </c>
      <c r="W197">
        <v>36.241440920000002</v>
      </c>
      <c r="X197" t="str">
        <f>"20000004559842"</f>
        <v>20000004559842</v>
      </c>
    </row>
    <row r="198" spans="1:24" x14ac:dyDescent="0.25">
      <c r="A198">
        <v>907</v>
      </c>
      <c r="B198" t="str">
        <f t="shared" si="73"/>
        <v>Курск</v>
      </c>
      <c r="C198">
        <v>444657</v>
      </c>
      <c r="D198" t="str">
        <f>"М 4.1.1"</f>
        <v>М 4.1.1</v>
      </c>
      <c r="E198" t="str">
        <f t="shared" si="74"/>
        <v>Муфта оптическая</v>
      </c>
      <c r="F198" t="str">
        <f t="shared" si="71"/>
        <v>09.10.2012</v>
      </c>
      <c r="G198" t="str">
        <f>""</f>
        <v/>
      </c>
      <c r="H198" t="str">
        <f>"М 4.1.1"</f>
        <v>М 4.1.1</v>
      </c>
      <c r="I198" t="str">
        <f t="shared" si="72"/>
        <v>МС 4.1</v>
      </c>
      <c r="J198" t="str">
        <f>""</f>
        <v/>
      </c>
      <c r="K198" t="str">
        <f t="shared" si="75"/>
        <v>МТОК 96</v>
      </c>
      <c r="L198" t="str">
        <f>"Чердак"</f>
        <v>Чердак</v>
      </c>
      <c r="M198" t="str">
        <f>"13.07.2012"</f>
        <v>13.07.2012</v>
      </c>
      <c r="N198" t="str">
        <f>"EmptySerial&lt;43361&gt;"</f>
        <v>EmptySerial&lt;43361&gt;</v>
      </c>
      <c r="O198" t="str">
        <f t="shared" si="76"/>
        <v>Нет</v>
      </c>
      <c r="P198" t="str">
        <f>"М 4.1.1"</f>
        <v>М 4.1.1</v>
      </c>
      <c r="Q198" t="str">
        <f t="shared" si="77"/>
        <v>Нет</v>
      </c>
      <c r="R198" t="str">
        <f t="shared" si="78"/>
        <v>Основной</v>
      </c>
      <c r="S198" t="str">
        <f t="shared" si="79"/>
        <v>ГУТС</v>
      </c>
      <c r="T198" t="str">
        <f>""</f>
        <v/>
      </c>
      <c r="U198" t="str">
        <f t="shared" si="80"/>
        <v>Нет</v>
      </c>
      <c r="V198">
        <v>51.749033850000004</v>
      </c>
      <c r="W198">
        <v>36.242152040000001</v>
      </c>
      <c r="X198" t="str">
        <f>"20000004559841"</f>
        <v>20000004559841</v>
      </c>
    </row>
    <row r="199" spans="1:24" x14ac:dyDescent="0.25">
      <c r="A199">
        <v>907</v>
      </c>
      <c r="B199" t="str">
        <f t="shared" si="73"/>
        <v>Курск</v>
      </c>
      <c r="C199">
        <v>447833</v>
      </c>
      <c r="D199" t="str">
        <f>"М 5.5.6"</f>
        <v>М 5.5.6</v>
      </c>
      <c r="E199" t="str">
        <f t="shared" si="74"/>
        <v>Муфта оптическая</v>
      </c>
      <c r="F199" t="str">
        <f t="shared" ref="F199:F204" si="81">"11.10.2012"</f>
        <v>11.10.2012</v>
      </c>
      <c r="G199" t="str">
        <f>""</f>
        <v/>
      </c>
      <c r="H199" t="str">
        <f>"М 5.5.6"</f>
        <v>М 5.5.6</v>
      </c>
      <c r="I199" t="str">
        <f t="shared" ref="I199:I204" si="82">"МС 5.5"</f>
        <v>МС 5.5</v>
      </c>
      <c r="J199" t="str">
        <f>""</f>
        <v/>
      </c>
      <c r="K199" t="str">
        <f t="shared" si="75"/>
        <v>МТОК 96</v>
      </c>
      <c r="L199" t="str">
        <f t="shared" ref="L199:L207" si="83">"Опора"</f>
        <v>Опора</v>
      </c>
      <c r="M199" t="str">
        <f>"22.07.2012"</f>
        <v>22.07.2012</v>
      </c>
      <c r="N199" t="str">
        <f>"EmptySerial&lt;43946&gt;"</f>
        <v>EmptySerial&lt;43946&gt;</v>
      </c>
      <c r="O199" t="str">
        <f t="shared" si="76"/>
        <v>Нет</v>
      </c>
      <c r="P199" t="str">
        <f>"М 5.5.6"</f>
        <v>М 5.5.6</v>
      </c>
      <c r="Q199" t="str">
        <f t="shared" si="77"/>
        <v>Нет</v>
      </c>
      <c r="R199" t="str">
        <f t="shared" si="78"/>
        <v>Основной</v>
      </c>
      <c r="S199" t="str">
        <f t="shared" si="79"/>
        <v>ГУТС</v>
      </c>
      <c r="T199" t="str">
        <f>""</f>
        <v/>
      </c>
      <c r="U199" t="str">
        <f t="shared" si="80"/>
        <v>Нет</v>
      </c>
      <c r="V199">
        <v>51.670837670838402</v>
      </c>
      <c r="W199">
        <v>36.072393357753803</v>
      </c>
      <c r="X199" t="str">
        <f>"20000004560413"</f>
        <v>20000004560413</v>
      </c>
    </row>
    <row r="200" spans="1:24" x14ac:dyDescent="0.25">
      <c r="A200">
        <v>907</v>
      </c>
      <c r="B200" t="str">
        <f t="shared" si="73"/>
        <v>Курск</v>
      </c>
      <c r="C200">
        <v>447837</v>
      </c>
      <c r="D200" t="str">
        <f>"М 5.5.5"</f>
        <v>М 5.5.5</v>
      </c>
      <c r="E200" t="str">
        <f t="shared" si="74"/>
        <v>Муфта оптическая</v>
      </c>
      <c r="F200" t="str">
        <f t="shared" si="81"/>
        <v>11.10.2012</v>
      </c>
      <c r="G200" t="str">
        <f>""</f>
        <v/>
      </c>
      <c r="H200" t="str">
        <f>"М 5.5.5"</f>
        <v>М 5.5.5</v>
      </c>
      <c r="I200" t="str">
        <f t="shared" si="82"/>
        <v>МС 5.5</v>
      </c>
      <c r="J200" t="str">
        <f>""</f>
        <v/>
      </c>
      <c r="K200" t="str">
        <f t="shared" si="75"/>
        <v>МТОК 96</v>
      </c>
      <c r="L200" t="str">
        <f t="shared" si="83"/>
        <v>Опора</v>
      </c>
      <c r="M200" t="str">
        <f>"26.07.2012"</f>
        <v>26.07.2012</v>
      </c>
      <c r="N200" t="str">
        <f>"EmptySerial&lt;43945&gt;"</f>
        <v>EmptySerial&lt;43945&gt;</v>
      </c>
      <c r="O200" t="str">
        <f t="shared" si="76"/>
        <v>Нет</v>
      </c>
      <c r="P200" t="str">
        <f>"М 5.5.5"</f>
        <v>М 5.5.5</v>
      </c>
      <c r="Q200" t="str">
        <f t="shared" si="77"/>
        <v>Нет</v>
      </c>
      <c r="R200" t="str">
        <f t="shared" si="78"/>
        <v>Основной</v>
      </c>
      <c r="S200" t="str">
        <f t="shared" si="79"/>
        <v>ГУТС</v>
      </c>
      <c r="T200" t="str">
        <f>""</f>
        <v/>
      </c>
      <c r="U200" t="str">
        <f t="shared" si="80"/>
        <v>Нет</v>
      </c>
      <c r="V200">
        <v>51.671937200000002</v>
      </c>
      <c r="W200">
        <v>36.071296670000002</v>
      </c>
      <c r="X200" t="str">
        <f>"20000004560412"</f>
        <v>20000004560412</v>
      </c>
    </row>
    <row r="201" spans="1:24" x14ac:dyDescent="0.25">
      <c r="A201">
        <v>907</v>
      </c>
      <c r="B201" t="str">
        <f t="shared" si="73"/>
        <v>Курск</v>
      </c>
      <c r="C201">
        <v>447841</v>
      </c>
      <c r="D201" t="str">
        <f>"М 5.5.4"</f>
        <v>М 5.5.4</v>
      </c>
      <c r="E201" t="str">
        <f t="shared" si="74"/>
        <v>Муфта оптическая</v>
      </c>
      <c r="F201" t="str">
        <f t="shared" si="81"/>
        <v>11.10.2012</v>
      </c>
      <c r="G201" t="str">
        <f>""</f>
        <v/>
      </c>
      <c r="H201" t="str">
        <f>"М 5.5.4"</f>
        <v>М 5.5.4</v>
      </c>
      <c r="I201" t="str">
        <f t="shared" si="82"/>
        <v>МС 5.5</v>
      </c>
      <c r="J201" t="str">
        <f>""</f>
        <v/>
      </c>
      <c r="K201" t="str">
        <f t="shared" si="75"/>
        <v>МТОК 96</v>
      </c>
      <c r="L201" t="str">
        <f t="shared" si="83"/>
        <v>Опора</v>
      </c>
      <c r="M201" t="str">
        <f>"22.07.2012"</f>
        <v>22.07.2012</v>
      </c>
      <c r="N201" t="str">
        <f>"EmptySerial&lt;43944&gt;"</f>
        <v>EmptySerial&lt;43944&gt;</v>
      </c>
      <c r="O201" t="str">
        <f t="shared" si="76"/>
        <v>Нет</v>
      </c>
      <c r="P201" t="str">
        <f>"М 5.5.4"</f>
        <v>М 5.5.4</v>
      </c>
      <c r="Q201" t="str">
        <f t="shared" si="77"/>
        <v>Нет</v>
      </c>
      <c r="R201" t="str">
        <f t="shared" si="78"/>
        <v>Основной</v>
      </c>
      <c r="S201" t="str">
        <f t="shared" si="79"/>
        <v>ГУТС</v>
      </c>
      <c r="T201" t="str">
        <f>""</f>
        <v/>
      </c>
      <c r="U201" t="str">
        <f t="shared" si="80"/>
        <v>Нет</v>
      </c>
      <c r="V201">
        <v>51.668606932066801</v>
      </c>
      <c r="W201">
        <v>36.065451800823197</v>
      </c>
      <c r="X201" t="str">
        <f>"20000004560411"</f>
        <v>20000004560411</v>
      </c>
    </row>
    <row r="202" spans="1:24" x14ac:dyDescent="0.25">
      <c r="A202">
        <v>907</v>
      </c>
      <c r="B202" t="str">
        <f t="shared" si="73"/>
        <v>Курск</v>
      </c>
      <c r="C202">
        <v>447845</v>
      </c>
      <c r="D202" t="str">
        <f>"М 5.5.3"</f>
        <v>М 5.5.3</v>
      </c>
      <c r="E202" t="str">
        <f t="shared" si="74"/>
        <v>Муфта оптическая</v>
      </c>
      <c r="F202" t="str">
        <f t="shared" si="81"/>
        <v>11.10.2012</v>
      </c>
      <c r="G202" t="str">
        <f>""</f>
        <v/>
      </c>
      <c r="H202" t="str">
        <f>"М 5.5.3"</f>
        <v>М 5.5.3</v>
      </c>
      <c r="I202" t="str">
        <f t="shared" si="82"/>
        <v>МС 5.5</v>
      </c>
      <c r="J202" t="str">
        <f>""</f>
        <v/>
      </c>
      <c r="K202" t="str">
        <f t="shared" si="75"/>
        <v>МТОК 96</v>
      </c>
      <c r="L202" t="str">
        <f t="shared" si="83"/>
        <v>Опора</v>
      </c>
      <c r="M202" t="str">
        <f>"20.07.2012"</f>
        <v>20.07.2012</v>
      </c>
      <c r="N202" t="str">
        <f>"EmptySerial&lt;43943&gt;"</f>
        <v>EmptySerial&lt;43943&gt;</v>
      </c>
      <c r="O202" t="str">
        <f t="shared" si="76"/>
        <v>Нет</v>
      </c>
      <c r="P202" t="str">
        <f>"М 5.5.3"</f>
        <v>М 5.5.3</v>
      </c>
      <c r="Q202" t="str">
        <f t="shared" si="77"/>
        <v>Нет</v>
      </c>
      <c r="R202" t="str">
        <f t="shared" si="78"/>
        <v>Основной</v>
      </c>
      <c r="S202" t="str">
        <f t="shared" si="79"/>
        <v>ГУТС</v>
      </c>
      <c r="T202" t="str">
        <f>""</f>
        <v/>
      </c>
      <c r="U202" t="str">
        <f t="shared" si="80"/>
        <v>Нет</v>
      </c>
      <c r="V202">
        <v>51.666046690000002</v>
      </c>
      <c r="W202">
        <v>36.065792440000003</v>
      </c>
      <c r="X202" t="str">
        <f>"20000004560410"</f>
        <v>20000004560410</v>
      </c>
    </row>
    <row r="203" spans="1:24" x14ac:dyDescent="0.25">
      <c r="A203">
        <v>907</v>
      </c>
      <c r="B203" t="str">
        <f t="shared" si="73"/>
        <v>Курск</v>
      </c>
      <c r="C203">
        <v>447849</v>
      </c>
      <c r="D203" t="str">
        <f>"М 5.5.2"</f>
        <v>М 5.5.2</v>
      </c>
      <c r="E203" t="str">
        <f t="shared" si="74"/>
        <v>Муфта оптическая</v>
      </c>
      <c r="F203" t="str">
        <f t="shared" si="81"/>
        <v>11.10.2012</v>
      </c>
      <c r="G203" t="str">
        <f>""</f>
        <v/>
      </c>
      <c r="H203" t="str">
        <f>"М 5.5.2"</f>
        <v>М 5.5.2</v>
      </c>
      <c r="I203" t="str">
        <f t="shared" si="82"/>
        <v>МС 5.5</v>
      </c>
      <c r="J203" t="str">
        <f>""</f>
        <v/>
      </c>
      <c r="K203" t="str">
        <f t="shared" si="75"/>
        <v>МТОК 96</v>
      </c>
      <c r="L203" t="str">
        <f t="shared" si="83"/>
        <v>Опора</v>
      </c>
      <c r="M203" t="str">
        <f>"14.07.2012"</f>
        <v>14.07.2012</v>
      </c>
      <c r="N203" t="str">
        <f>"EmptySerial&lt;43942&gt;"</f>
        <v>EmptySerial&lt;43942&gt;</v>
      </c>
      <c r="O203" t="str">
        <f t="shared" si="76"/>
        <v>Нет</v>
      </c>
      <c r="P203" t="str">
        <f>"М 5.5.2"</f>
        <v>М 5.5.2</v>
      </c>
      <c r="Q203" t="str">
        <f t="shared" si="77"/>
        <v>Нет</v>
      </c>
      <c r="R203" t="str">
        <f t="shared" si="78"/>
        <v>Основной</v>
      </c>
      <c r="S203" t="str">
        <f t="shared" si="79"/>
        <v>ГУТС</v>
      </c>
      <c r="T203" t="str">
        <f>""</f>
        <v/>
      </c>
      <c r="U203" t="str">
        <f t="shared" si="80"/>
        <v>Нет</v>
      </c>
      <c r="V203">
        <v>51.666444291477603</v>
      </c>
      <c r="W203">
        <v>36.066878736019099</v>
      </c>
      <c r="X203" t="str">
        <f>"20000004560409"</f>
        <v>20000004560409</v>
      </c>
    </row>
    <row r="204" spans="1:24" x14ac:dyDescent="0.25">
      <c r="A204">
        <v>907</v>
      </c>
      <c r="B204" t="str">
        <f t="shared" si="73"/>
        <v>Курск</v>
      </c>
      <c r="C204">
        <v>447853</v>
      </c>
      <c r="D204" t="str">
        <f>"М 5.5.1"</f>
        <v>М 5.5.1</v>
      </c>
      <c r="E204" t="str">
        <f t="shared" si="74"/>
        <v>Муфта оптическая</v>
      </c>
      <c r="F204" t="str">
        <f t="shared" si="81"/>
        <v>11.10.2012</v>
      </c>
      <c r="G204" t="str">
        <f>""</f>
        <v/>
      </c>
      <c r="H204" t="str">
        <f>"М 5.5.1"</f>
        <v>М 5.5.1</v>
      </c>
      <c r="I204" t="str">
        <f t="shared" si="82"/>
        <v>МС 5.5</v>
      </c>
      <c r="J204" t="str">
        <f>""</f>
        <v/>
      </c>
      <c r="K204" t="str">
        <f t="shared" si="75"/>
        <v>МТОК 96</v>
      </c>
      <c r="L204" t="str">
        <f t="shared" si="83"/>
        <v>Опора</v>
      </c>
      <c r="M204" t="str">
        <f>"13.07.2012"</f>
        <v>13.07.2012</v>
      </c>
      <c r="N204" t="str">
        <f>"EmptySerial&lt;43941&gt;"</f>
        <v>EmptySerial&lt;43941&gt;</v>
      </c>
      <c r="O204" t="str">
        <f t="shared" si="76"/>
        <v>Нет</v>
      </c>
      <c r="P204" t="str">
        <f>"М 5.5.1"</f>
        <v>М 5.5.1</v>
      </c>
      <c r="Q204" t="str">
        <f t="shared" si="77"/>
        <v>Нет</v>
      </c>
      <c r="R204" t="str">
        <f t="shared" si="78"/>
        <v>Основной</v>
      </c>
      <c r="S204" t="str">
        <f t="shared" si="79"/>
        <v>ГУТС</v>
      </c>
      <c r="T204" t="str">
        <f>""</f>
        <v/>
      </c>
      <c r="U204" t="str">
        <f t="shared" si="80"/>
        <v>Нет</v>
      </c>
      <c r="V204">
        <v>51.668859787917498</v>
      </c>
      <c r="W204">
        <v>36.073426008224502</v>
      </c>
      <c r="X204" t="str">
        <f>"20000004560408"</f>
        <v>20000004560408</v>
      </c>
    </row>
    <row r="205" spans="1:24" x14ac:dyDescent="0.25">
      <c r="A205">
        <v>907</v>
      </c>
      <c r="B205" t="str">
        <f t="shared" si="73"/>
        <v>Курск</v>
      </c>
      <c r="C205">
        <v>454850</v>
      </c>
      <c r="D205" t="str">
        <f>"Т 1.19"</f>
        <v>Т 1.19</v>
      </c>
      <c r="E205" t="str">
        <f t="shared" si="74"/>
        <v>Муфта оптическая</v>
      </c>
      <c r="F205" t="str">
        <f>"17.10.2012"</f>
        <v>17.10.2012</v>
      </c>
      <c r="G205" t="str">
        <f>"Муфты нет"</f>
        <v>Муфты нет</v>
      </c>
      <c r="H205" t="str">
        <f>"Т 1.19"</f>
        <v>Т 1.19</v>
      </c>
      <c r="I205" t="str">
        <f>"ТС"</f>
        <v>ТС</v>
      </c>
      <c r="J205" t="str">
        <f>""</f>
        <v/>
      </c>
      <c r="K205" t="str">
        <f t="shared" si="75"/>
        <v>МТОК 96</v>
      </c>
      <c r="L205" t="str">
        <f t="shared" si="83"/>
        <v>Опора</v>
      </c>
      <c r="M205" t="str">
        <f>"09.07.2024"</f>
        <v>09.07.2024</v>
      </c>
      <c r="N205" t="str">
        <f>"EmptySerial&lt;44705&gt;"</f>
        <v>EmptySerial&lt;44705&gt;</v>
      </c>
      <c r="O205" t="str">
        <f t="shared" si="76"/>
        <v>Нет</v>
      </c>
      <c r="P205" t="str">
        <f>"Т 6.3"</f>
        <v>Т 6.3</v>
      </c>
      <c r="Q205" t="str">
        <f t="shared" si="77"/>
        <v>Нет</v>
      </c>
      <c r="R205" t="str">
        <f t="shared" si="78"/>
        <v>Основной</v>
      </c>
      <c r="S205" t="str">
        <f t="shared" si="79"/>
        <v>ГУТС</v>
      </c>
      <c r="T205" t="str">
        <f>""</f>
        <v/>
      </c>
      <c r="U205" t="str">
        <f t="shared" si="80"/>
        <v>Нет</v>
      </c>
      <c r="V205">
        <v>51.758716870000001</v>
      </c>
      <c r="W205">
        <v>36.236812100000002</v>
      </c>
      <c r="X205" t="str">
        <f>"20000004560975"</f>
        <v>20000004560975</v>
      </c>
    </row>
    <row r="206" spans="1:24" x14ac:dyDescent="0.25">
      <c r="A206">
        <v>907</v>
      </c>
      <c r="B206" t="str">
        <f t="shared" si="73"/>
        <v>Курск</v>
      </c>
      <c r="C206">
        <v>464850</v>
      </c>
      <c r="D206" t="str">
        <f>"М 1.5.8"</f>
        <v>М 1.5.8</v>
      </c>
      <c r="E206" t="str">
        <f t="shared" si="74"/>
        <v>Муфта оптическая</v>
      </c>
      <c r="F206" t="str">
        <f>"27.11.2012"</f>
        <v>27.11.2012</v>
      </c>
      <c r="G206" t="str">
        <f>""</f>
        <v/>
      </c>
      <c r="H206" t="str">
        <f>"М 1.5.8"</f>
        <v>М 1.5.8</v>
      </c>
      <c r="I206" t="str">
        <f>"МС 1.5"</f>
        <v>МС 1.5</v>
      </c>
      <c r="J206" t="str">
        <f>""</f>
        <v/>
      </c>
      <c r="K206" t="str">
        <f t="shared" si="75"/>
        <v>МТОК 96</v>
      </c>
      <c r="L206" t="str">
        <f t="shared" si="83"/>
        <v>Опора</v>
      </c>
      <c r="M206" t="str">
        <f>"18.10.2012"</f>
        <v>18.10.2012</v>
      </c>
      <c r="N206" t="str">
        <f>"EmptySerial&lt;46658&gt;"</f>
        <v>EmptySerial&lt;46658&gt;</v>
      </c>
      <c r="O206" t="str">
        <f t="shared" si="76"/>
        <v>Нет</v>
      </c>
      <c r="P206" t="str">
        <f>"М 1.5.8"</f>
        <v>М 1.5.8</v>
      </c>
      <c r="Q206" t="str">
        <f t="shared" si="77"/>
        <v>Нет</v>
      </c>
      <c r="R206" t="str">
        <f t="shared" si="78"/>
        <v>Основной</v>
      </c>
      <c r="S206" t="str">
        <f t="shared" si="79"/>
        <v>ГУТС</v>
      </c>
      <c r="T206" t="str">
        <f>""</f>
        <v/>
      </c>
      <c r="U206" t="str">
        <f t="shared" si="80"/>
        <v>Нет</v>
      </c>
      <c r="V206">
        <v>51.726705019999997</v>
      </c>
      <c r="W206">
        <v>36.184433919999996</v>
      </c>
      <c r="X206" t="str">
        <f>"20000004561958"</f>
        <v>20000004561958</v>
      </c>
    </row>
    <row r="207" spans="1:24" x14ac:dyDescent="0.25">
      <c r="A207">
        <v>907</v>
      </c>
      <c r="B207" t="str">
        <f t="shared" si="73"/>
        <v>Курск</v>
      </c>
      <c r="C207">
        <v>464854</v>
      </c>
      <c r="D207" t="str">
        <f>"М 1.5.9"</f>
        <v>М 1.5.9</v>
      </c>
      <c r="E207" t="str">
        <f t="shared" si="74"/>
        <v>Муфта оптическая</v>
      </c>
      <c r="F207" t="str">
        <f>"27.11.2012"</f>
        <v>27.11.2012</v>
      </c>
      <c r="G207" t="str">
        <f>""</f>
        <v/>
      </c>
      <c r="H207" t="str">
        <f>"М 1.5.9"</f>
        <v>М 1.5.9</v>
      </c>
      <c r="I207" t="str">
        <f>"МС 1.5"</f>
        <v>МС 1.5</v>
      </c>
      <c r="J207" t="str">
        <f>""</f>
        <v/>
      </c>
      <c r="K207" t="str">
        <f t="shared" si="75"/>
        <v>МТОК 96</v>
      </c>
      <c r="L207" t="str">
        <f t="shared" si="83"/>
        <v>Опора</v>
      </c>
      <c r="M207" t="str">
        <f>"18.10.2012"</f>
        <v>18.10.2012</v>
      </c>
      <c r="N207" t="str">
        <f>"EmptySerial&lt;46659&gt;"</f>
        <v>EmptySerial&lt;46659&gt;</v>
      </c>
      <c r="O207" t="str">
        <f t="shared" si="76"/>
        <v>Нет</v>
      </c>
      <c r="P207" t="str">
        <f>"М 1.5.9"</f>
        <v>М 1.5.9</v>
      </c>
      <c r="Q207" t="str">
        <f t="shared" si="77"/>
        <v>Нет</v>
      </c>
      <c r="R207" t="str">
        <f t="shared" si="78"/>
        <v>Основной</v>
      </c>
      <c r="S207" t="str">
        <f t="shared" si="79"/>
        <v>ГУТС</v>
      </c>
      <c r="T207" t="str">
        <f>""</f>
        <v/>
      </c>
      <c r="U207" t="str">
        <f t="shared" si="80"/>
        <v>Нет</v>
      </c>
      <c r="V207">
        <v>51.7277176260503</v>
      </c>
      <c r="W207">
        <v>36.183925643563299</v>
      </c>
      <c r="X207" t="str">
        <f>"20000004561959"</f>
        <v>20000004561959</v>
      </c>
    </row>
    <row r="208" spans="1:24" x14ac:dyDescent="0.25">
      <c r="A208">
        <v>907</v>
      </c>
      <c r="B208" t="str">
        <f t="shared" si="73"/>
        <v>Курск</v>
      </c>
      <c r="C208">
        <v>465675</v>
      </c>
      <c r="D208" t="str">
        <f>"ФСБ"</f>
        <v>ФСБ</v>
      </c>
      <c r="E208" t="str">
        <f t="shared" si="74"/>
        <v>Муфта оптическая</v>
      </c>
      <c r="F208" t="str">
        <f>"04.12.2012"</f>
        <v>04.12.2012</v>
      </c>
      <c r="G208" t="str">
        <f>""</f>
        <v/>
      </c>
      <c r="H208" t="str">
        <f>"ФСБ"</f>
        <v>ФСБ</v>
      </c>
      <c r="I208" t="str">
        <f t="shared" ref="I208:I215" si="84">"ТС"</f>
        <v>ТС</v>
      </c>
      <c r="J208" t="str">
        <f>""</f>
        <v/>
      </c>
      <c r="K208" t="str">
        <f t="shared" si="75"/>
        <v>МТОК 96</v>
      </c>
      <c r="L208" t="str">
        <f>"Колодец"</f>
        <v>Колодец</v>
      </c>
      <c r="M208" t="str">
        <f>"24.08.2011"</f>
        <v>24.08.2011</v>
      </c>
      <c r="N208" t="str">
        <f>"EmptySerial&lt;46704&gt;"</f>
        <v>EmptySerial&lt;46704&gt;</v>
      </c>
      <c r="O208" t="str">
        <f>"Да"</f>
        <v>Да</v>
      </c>
      <c r="P208" t="str">
        <f>"ФСБ"</f>
        <v>ФСБ</v>
      </c>
      <c r="Q208" t="str">
        <f t="shared" si="77"/>
        <v>Нет</v>
      </c>
      <c r="R208" t="str">
        <f t="shared" si="78"/>
        <v>Основной</v>
      </c>
      <c r="S208" t="str">
        <f t="shared" si="79"/>
        <v>ГУТС</v>
      </c>
      <c r="T208" t="str">
        <f>""</f>
        <v/>
      </c>
      <c r="U208" t="str">
        <f t="shared" si="80"/>
        <v>Нет</v>
      </c>
      <c r="V208">
        <v>51.725526033499598</v>
      </c>
      <c r="W208">
        <v>36.185487359762199</v>
      </c>
      <c r="X208" t="str">
        <f>"20000004561966"</f>
        <v>20000004561966</v>
      </c>
    </row>
    <row r="209" spans="1:24" x14ac:dyDescent="0.25">
      <c r="A209">
        <v>907</v>
      </c>
      <c r="B209" t="str">
        <f t="shared" si="73"/>
        <v>Курск</v>
      </c>
      <c r="C209">
        <v>466033</v>
      </c>
      <c r="D209" t="str">
        <f>"Т5.1"</f>
        <v>Т5.1</v>
      </c>
      <c r="E209" t="str">
        <f t="shared" si="74"/>
        <v>Муфта оптическая</v>
      </c>
      <c r="F209" t="str">
        <f>"07.12.2012"</f>
        <v>07.12.2012</v>
      </c>
      <c r="G209" t="str">
        <f>""</f>
        <v/>
      </c>
      <c r="H209" t="str">
        <f>"Т5.1"</f>
        <v>Т5.1</v>
      </c>
      <c r="I209" t="str">
        <f t="shared" si="84"/>
        <v>ТС</v>
      </c>
      <c r="J209" t="str">
        <f>""</f>
        <v/>
      </c>
      <c r="K209" t="str">
        <f t="shared" si="75"/>
        <v>МТОК 96</v>
      </c>
      <c r="L209" t="str">
        <f t="shared" ref="L209:L217" si="85">"Опора"</f>
        <v>Опора</v>
      </c>
      <c r="M209" t="str">
        <f>"07.12.2012"</f>
        <v>07.12.2012</v>
      </c>
      <c r="N209" t="str">
        <f>"EmptySerial&lt;46764&gt;"</f>
        <v>EmptySerial&lt;46764&gt;</v>
      </c>
      <c r="O209" t="str">
        <f t="shared" ref="O209:O218" si="86">"Нет"</f>
        <v>Нет</v>
      </c>
      <c r="P209" t="str">
        <f>"Т5.1"</f>
        <v>Т5.1</v>
      </c>
      <c r="Q209" t="str">
        <f t="shared" si="77"/>
        <v>Нет</v>
      </c>
      <c r="R209" t="str">
        <f t="shared" si="78"/>
        <v>Основной</v>
      </c>
      <c r="S209" t="str">
        <f t="shared" si="79"/>
        <v>ГУТС</v>
      </c>
      <c r="T209" t="str">
        <f>""</f>
        <v/>
      </c>
      <c r="U209" t="str">
        <f t="shared" si="80"/>
        <v>Нет</v>
      </c>
      <c r="V209">
        <v>51.731576169999997</v>
      </c>
      <c r="W209">
        <v>36.180442120000002</v>
      </c>
      <c r="X209" t="str">
        <f>"20000004561976"</f>
        <v>20000004561976</v>
      </c>
    </row>
    <row r="210" spans="1:24" x14ac:dyDescent="0.25">
      <c r="A210">
        <v>907</v>
      </c>
      <c r="B210" t="str">
        <f t="shared" si="73"/>
        <v>Курск</v>
      </c>
      <c r="C210">
        <v>466041</v>
      </c>
      <c r="D210" t="str">
        <f>"Т5.2"</f>
        <v>Т5.2</v>
      </c>
      <c r="E210" t="str">
        <f t="shared" si="74"/>
        <v>Муфта оптическая</v>
      </c>
      <c r="F210" t="str">
        <f>"07.12.2012"</f>
        <v>07.12.2012</v>
      </c>
      <c r="G210" t="str">
        <f>""</f>
        <v/>
      </c>
      <c r="H210" t="str">
        <f>"Т5.2"</f>
        <v>Т5.2</v>
      </c>
      <c r="I210" t="str">
        <f t="shared" si="84"/>
        <v>ТС</v>
      </c>
      <c r="J210" t="str">
        <f>""</f>
        <v/>
      </c>
      <c r="K210" t="str">
        <f t="shared" si="75"/>
        <v>МТОК 96</v>
      </c>
      <c r="L210" t="str">
        <f t="shared" si="85"/>
        <v>Опора</v>
      </c>
      <c r="M210" t="str">
        <f>"07.12.2012"</f>
        <v>07.12.2012</v>
      </c>
      <c r="N210" t="str">
        <f>"EmptySerial&lt;46762&gt;"</f>
        <v>EmptySerial&lt;46762&gt;</v>
      </c>
      <c r="O210" t="str">
        <f t="shared" si="86"/>
        <v>Нет</v>
      </c>
      <c r="P210" t="str">
        <f>"Т5.2"</f>
        <v>Т5.2</v>
      </c>
      <c r="Q210" t="str">
        <f t="shared" si="77"/>
        <v>Нет</v>
      </c>
      <c r="R210" t="str">
        <f t="shared" si="78"/>
        <v>Основной</v>
      </c>
      <c r="S210" t="str">
        <f t="shared" si="79"/>
        <v>ГУТС</v>
      </c>
      <c r="T210" t="str">
        <f>""</f>
        <v/>
      </c>
      <c r="U210" t="str">
        <f t="shared" si="80"/>
        <v>Нет</v>
      </c>
      <c r="V210">
        <v>51.744897167640502</v>
      </c>
      <c r="W210">
        <v>36.168396323919303</v>
      </c>
      <c r="X210" t="str">
        <f>"20000004561974"</f>
        <v>20000004561974</v>
      </c>
    </row>
    <row r="211" spans="1:24" x14ac:dyDescent="0.25">
      <c r="A211">
        <v>907</v>
      </c>
      <c r="B211" t="str">
        <f t="shared" si="73"/>
        <v>Курск</v>
      </c>
      <c r="C211">
        <v>466045</v>
      </c>
      <c r="D211" t="str">
        <f>"Т5.3"</f>
        <v>Т5.3</v>
      </c>
      <c r="E211" t="str">
        <f t="shared" si="74"/>
        <v>Муфта оптическая</v>
      </c>
      <c r="F211" t="str">
        <f>"07.12.2012"</f>
        <v>07.12.2012</v>
      </c>
      <c r="G211" t="str">
        <f>""</f>
        <v/>
      </c>
      <c r="H211" t="str">
        <f>"Т5.3"</f>
        <v>Т5.3</v>
      </c>
      <c r="I211" t="str">
        <f t="shared" si="84"/>
        <v>ТС</v>
      </c>
      <c r="J211" t="str">
        <f>""</f>
        <v/>
      </c>
      <c r="K211" t="str">
        <f t="shared" si="75"/>
        <v>МТОК 96</v>
      </c>
      <c r="L211" t="str">
        <f t="shared" si="85"/>
        <v>Опора</v>
      </c>
      <c r="M211" t="str">
        <f>"07.12.2012"</f>
        <v>07.12.2012</v>
      </c>
      <c r="N211" t="str">
        <f>"EmptySerial&lt;46761&gt;"</f>
        <v>EmptySerial&lt;46761&gt;</v>
      </c>
      <c r="O211" t="str">
        <f t="shared" si="86"/>
        <v>Нет</v>
      </c>
      <c r="P211" t="str">
        <f>"Т5.3"</f>
        <v>Т5.3</v>
      </c>
      <c r="Q211" t="str">
        <f t="shared" si="77"/>
        <v>Нет</v>
      </c>
      <c r="R211" t="str">
        <f t="shared" si="78"/>
        <v>Основной</v>
      </c>
      <c r="S211" t="str">
        <f t="shared" si="79"/>
        <v>ГУТС</v>
      </c>
      <c r="T211" t="str">
        <f>""</f>
        <v/>
      </c>
      <c r="U211" t="str">
        <f t="shared" si="80"/>
        <v>Нет</v>
      </c>
      <c r="V211">
        <v>51.753210209432702</v>
      </c>
      <c r="W211">
        <v>36.1823133006692</v>
      </c>
      <c r="X211" t="str">
        <f>"20000004561973"</f>
        <v>20000004561973</v>
      </c>
    </row>
    <row r="212" spans="1:24" x14ac:dyDescent="0.25">
      <c r="A212">
        <v>907</v>
      </c>
      <c r="B212" t="str">
        <f t="shared" si="73"/>
        <v>Курск</v>
      </c>
      <c r="C212">
        <v>466633</v>
      </c>
      <c r="D212" t="str">
        <f>"Т 2.5"</f>
        <v>Т 2.5</v>
      </c>
      <c r="E212" t="str">
        <f t="shared" si="74"/>
        <v>Муфта оптическая</v>
      </c>
      <c r="F212" t="str">
        <f>"12.12.2012"</f>
        <v>12.12.2012</v>
      </c>
      <c r="G212" t="str">
        <f>""</f>
        <v/>
      </c>
      <c r="H212" t="str">
        <f>"Т 2.5"</f>
        <v>Т 2.5</v>
      </c>
      <c r="I212" t="str">
        <f t="shared" si="84"/>
        <v>ТС</v>
      </c>
      <c r="J212" t="str">
        <f>""</f>
        <v/>
      </c>
      <c r="K212" t="str">
        <f t="shared" si="75"/>
        <v>МТОК 96</v>
      </c>
      <c r="L212" t="str">
        <f t="shared" si="85"/>
        <v>Опора</v>
      </c>
      <c r="M212" t="str">
        <f>"30.05.2012"</f>
        <v>30.05.2012</v>
      </c>
      <c r="N212" t="str">
        <f>"EmptySerial&lt;46961&gt;"</f>
        <v>EmptySerial&lt;46961&gt;</v>
      </c>
      <c r="O212" t="str">
        <f t="shared" si="86"/>
        <v>Нет</v>
      </c>
      <c r="P212" t="str">
        <f>"Т 2.5"</f>
        <v>Т 2.5</v>
      </c>
      <c r="Q212" t="str">
        <f t="shared" si="77"/>
        <v>Нет</v>
      </c>
      <c r="R212" t="str">
        <f t="shared" si="78"/>
        <v>Основной</v>
      </c>
      <c r="S212" t="str">
        <f t="shared" si="79"/>
        <v>ГУТС</v>
      </c>
      <c r="T212" t="str">
        <f>""</f>
        <v/>
      </c>
      <c r="U212" t="str">
        <f t="shared" si="80"/>
        <v>Нет</v>
      </c>
      <c r="V212">
        <v>51.763464020000001</v>
      </c>
      <c r="W212">
        <v>36.172962779999999</v>
      </c>
      <c r="X212" t="str">
        <f>"20000004562133"</f>
        <v>20000004562133</v>
      </c>
    </row>
    <row r="213" spans="1:24" x14ac:dyDescent="0.25">
      <c r="A213">
        <v>907</v>
      </c>
      <c r="B213" t="str">
        <f t="shared" si="73"/>
        <v>Курск</v>
      </c>
      <c r="C213">
        <v>469446</v>
      </c>
      <c r="D213" t="str">
        <f>"Т3.6"</f>
        <v>Т3.6</v>
      </c>
      <c r="E213" t="str">
        <f t="shared" si="74"/>
        <v>Муфта оптическая</v>
      </c>
      <c r="F213" t="str">
        <f>"30.01.2013"</f>
        <v>30.01.2013</v>
      </c>
      <c r="G213" t="str">
        <f>""</f>
        <v/>
      </c>
      <c r="H213" t="str">
        <f>"Т3.6"</f>
        <v>Т3.6</v>
      </c>
      <c r="I213" t="str">
        <f t="shared" si="84"/>
        <v>ТС</v>
      </c>
      <c r="J213" t="str">
        <f>""</f>
        <v/>
      </c>
      <c r="K213" t="str">
        <f t="shared" si="75"/>
        <v>МТОК 96</v>
      </c>
      <c r="L213" t="str">
        <f t="shared" si="85"/>
        <v>Опора</v>
      </c>
      <c r="M213" t="str">
        <f>"24.01.2013"</f>
        <v>24.01.2013</v>
      </c>
      <c r="N213" t="str">
        <f>"EmptySerial&lt;47407&gt;"</f>
        <v>EmptySerial&lt;47407&gt;</v>
      </c>
      <c r="O213" t="str">
        <f t="shared" si="86"/>
        <v>Нет</v>
      </c>
      <c r="P213" t="str">
        <f>"Т3.6"</f>
        <v>Т3.6</v>
      </c>
      <c r="Q213" t="str">
        <f t="shared" si="77"/>
        <v>Нет</v>
      </c>
      <c r="R213" t="str">
        <f t="shared" si="78"/>
        <v>Основной</v>
      </c>
      <c r="S213" t="str">
        <f t="shared" si="79"/>
        <v>ГУТС</v>
      </c>
      <c r="T213" t="str">
        <f>""</f>
        <v/>
      </c>
      <c r="U213" t="str">
        <f t="shared" si="80"/>
        <v>Нет</v>
      </c>
      <c r="V213">
        <v>51.709642587434402</v>
      </c>
      <c r="W213">
        <v>36.182660311460502</v>
      </c>
      <c r="X213" t="str">
        <f>"20000004562279"</f>
        <v>20000004562279</v>
      </c>
    </row>
    <row r="214" spans="1:24" x14ac:dyDescent="0.25">
      <c r="A214">
        <v>907</v>
      </c>
      <c r="B214" t="str">
        <f t="shared" si="73"/>
        <v>Курск</v>
      </c>
      <c r="C214">
        <v>469450</v>
      </c>
      <c r="D214" t="str">
        <f>"Т3.5"</f>
        <v>Т3.5</v>
      </c>
      <c r="E214" t="str">
        <f t="shared" si="74"/>
        <v>Муфта оптическая</v>
      </c>
      <c r="F214" t="str">
        <f>"30.01.2013"</f>
        <v>30.01.2013</v>
      </c>
      <c r="G214" t="str">
        <f>""</f>
        <v/>
      </c>
      <c r="H214" t="str">
        <f>"Т3.5"</f>
        <v>Т3.5</v>
      </c>
      <c r="I214" t="str">
        <f t="shared" si="84"/>
        <v>ТС</v>
      </c>
      <c r="J214" t="str">
        <f>""</f>
        <v/>
      </c>
      <c r="K214" t="str">
        <f t="shared" si="75"/>
        <v>МТОК 96</v>
      </c>
      <c r="L214" t="str">
        <f t="shared" si="85"/>
        <v>Опора</v>
      </c>
      <c r="M214" t="str">
        <f>"01.08.2012"</f>
        <v>01.08.2012</v>
      </c>
      <c r="N214" t="str">
        <f>"EmptySerial&lt;47406&gt;"</f>
        <v>EmptySerial&lt;47406&gt;</v>
      </c>
      <c r="O214" t="str">
        <f t="shared" si="86"/>
        <v>Нет</v>
      </c>
      <c r="P214" t="str">
        <f>"Т3.5"</f>
        <v>Т3.5</v>
      </c>
      <c r="Q214" t="str">
        <f t="shared" si="77"/>
        <v>Нет</v>
      </c>
      <c r="R214" t="str">
        <f t="shared" si="78"/>
        <v>Основной</v>
      </c>
      <c r="S214" t="str">
        <f t="shared" si="79"/>
        <v>ГУТС</v>
      </c>
      <c r="T214" t="str">
        <f>""</f>
        <v/>
      </c>
      <c r="U214" t="str">
        <f t="shared" si="80"/>
        <v>Нет</v>
      </c>
      <c r="V214">
        <v>51.668227229758401</v>
      </c>
      <c r="W214">
        <v>36.137966327369199</v>
      </c>
      <c r="X214" t="str">
        <f>"20000004562278"</f>
        <v>20000004562278</v>
      </c>
    </row>
    <row r="215" spans="1:24" x14ac:dyDescent="0.25">
      <c r="A215">
        <v>907</v>
      </c>
      <c r="B215" t="str">
        <f t="shared" si="73"/>
        <v>Курск</v>
      </c>
      <c r="C215">
        <v>469466</v>
      </c>
      <c r="D215" t="str">
        <f>"Т3.1"</f>
        <v>Т3.1</v>
      </c>
      <c r="E215" t="str">
        <f t="shared" si="74"/>
        <v>Муфта оптическая</v>
      </c>
      <c r="F215" t="str">
        <f>"30.01.2013"</f>
        <v>30.01.2013</v>
      </c>
      <c r="G215" t="str">
        <f>""</f>
        <v/>
      </c>
      <c r="H215" t="str">
        <f>"Т3.1"</f>
        <v>Т3.1</v>
      </c>
      <c r="I215" t="str">
        <f t="shared" si="84"/>
        <v>ТС</v>
      </c>
      <c r="J215" t="str">
        <f>""</f>
        <v/>
      </c>
      <c r="K215" t="str">
        <f t="shared" si="75"/>
        <v>МТОК 96</v>
      </c>
      <c r="L215" t="str">
        <f t="shared" si="85"/>
        <v>Опора</v>
      </c>
      <c r="M215" t="str">
        <f>"01.08.2012"</f>
        <v>01.08.2012</v>
      </c>
      <c r="N215" t="str">
        <f>"EmptySerial&lt;47402&gt;"</f>
        <v>EmptySerial&lt;47402&gt;</v>
      </c>
      <c r="O215" t="str">
        <f t="shared" si="86"/>
        <v>Нет</v>
      </c>
      <c r="P215" t="str">
        <f>"Т3.1"</f>
        <v>Т3.1</v>
      </c>
      <c r="Q215" t="str">
        <f t="shared" si="77"/>
        <v>Нет</v>
      </c>
      <c r="R215" t="str">
        <f t="shared" si="78"/>
        <v>Основной</v>
      </c>
      <c r="S215" t="str">
        <f t="shared" si="79"/>
        <v>ГУТС</v>
      </c>
      <c r="T215" t="str">
        <f>""</f>
        <v/>
      </c>
      <c r="U215" t="str">
        <f t="shared" si="80"/>
        <v>Нет</v>
      </c>
      <c r="V215">
        <v>51.711929472765902</v>
      </c>
      <c r="W215">
        <v>36.186308786273003</v>
      </c>
      <c r="X215" t="str">
        <f>"20000004562274"</f>
        <v>20000004562274</v>
      </c>
    </row>
    <row r="216" spans="1:24" x14ac:dyDescent="0.25">
      <c r="A216">
        <v>907</v>
      </c>
      <c r="B216" t="str">
        <f t="shared" si="73"/>
        <v>Курск</v>
      </c>
      <c r="C216">
        <v>473033</v>
      </c>
      <c r="D216" t="str">
        <f>"М 1.2.9"</f>
        <v>М 1.2.9</v>
      </c>
      <c r="E216" t="str">
        <f t="shared" si="74"/>
        <v>Муфта оптическая</v>
      </c>
      <c r="F216" t="str">
        <f>"18.03.2013"</f>
        <v>18.03.2013</v>
      </c>
      <c r="G216" t="str">
        <f>""</f>
        <v/>
      </c>
      <c r="H216" t="str">
        <f>"М 1.2.9"</f>
        <v>М 1.2.9</v>
      </c>
      <c r="I216" t="str">
        <f>"МС 1.2"</f>
        <v>МС 1.2</v>
      </c>
      <c r="J216" t="str">
        <f>""</f>
        <v/>
      </c>
      <c r="K216" t="str">
        <f t="shared" si="75"/>
        <v>МТОК 96</v>
      </c>
      <c r="L216" t="str">
        <f t="shared" si="85"/>
        <v>Опора</v>
      </c>
      <c r="M216" t="str">
        <f>"05.03.2013"</f>
        <v>05.03.2013</v>
      </c>
      <c r="N216" t="str">
        <f>"EmptySerial&lt;47861&gt;"</f>
        <v>EmptySerial&lt;47861&gt;</v>
      </c>
      <c r="O216" t="str">
        <f t="shared" si="86"/>
        <v>Нет</v>
      </c>
      <c r="P216" t="str">
        <f>""</f>
        <v/>
      </c>
      <c r="Q216" t="str">
        <f t="shared" si="77"/>
        <v>Нет</v>
      </c>
      <c r="R216" t="str">
        <f t="shared" si="78"/>
        <v>Основной</v>
      </c>
      <c r="S216" t="str">
        <f t="shared" si="79"/>
        <v>ГУТС</v>
      </c>
      <c r="T216" t="str">
        <f>""</f>
        <v/>
      </c>
      <c r="U216" t="str">
        <f t="shared" si="80"/>
        <v>Нет</v>
      </c>
      <c r="V216">
        <v>51.702776669999999</v>
      </c>
      <c r="W216">
        <v>36.159909810000002</v>
      </c>
      <c r="X216" t="str">
        <f>"20000004562422"</f>
        <v>20000004562422</v>
      </c>
    </row>
    <row r="217" spans="1:24" x14ac:dyDescent="0.25">
      <c r="A217">
        <v>907</v>
      </c>
      <c r="B217" t="str">
        <f t="shared" si="73"/>
        <v>Курск</v>
      </c>
      <c r="C217">
        <v>473050</v>
      </c>
      <c r="D217" t="str">
        <f>"М 3.4.12"</f>
        <v>М 3.4.12</v>
      </c>
      <c r="E217" t="str">
        <f t="shared" si="74"/>
        <v>Муфта оптическая</v>
      </c>
      <c r="F217" t="str">
        <f>"18.03.2013"</f>
        <v>18.03.2013</v>
      </c>
      <c r="G217" t="str">
        <f>""</f>
        <v/>
      </c>
      <c r="H217" t="str">
        <f>"М 3.4.12"</f>
        <v>М 3.4.12</v>
      </c>
      <c r="I217" t="str">
        <f>"МС 3.4"</f>
        <v>МС 3.4</v>
      </c>
      <c r="J217" t="str">
        <f>""</f>
        <v/>
      </c>
      <c r="K217" t="str">
        <f t="shared" si="75"/>
        <v>МТОК 96</v>
      </c>
      <c r="L217" t="str">
        <f t="shared" si="85"/>
        <v>Опора</v>
      </c>
      <c r="M217" t="str">
        <f>"21.01.2013"</f>
        <v>21.01.2013</v>
      </c>
      <c r="N217" t="str">
        <f>"EmptySerial&lt;47884&gt;"</f>
        <v>EmptySerial&lt;47884&gt;</v>
      </c>
      <c r="O217" t="str">
        <f t="shared" si="86"/>
        <v>Нет</v>
      </c>
      <c r="P217" t="str">
        <f>""</f>
        <v/>
      </c>
      <c r="Q217" t="str">
        <f t="shared" si="77"/>
        <v>Нет</v>
      </c>
      <c r="R217" t="str">
        <f t="shared" si="78"/>
        <v>Основной</v>
      </c>
      <c r="S217" t="str">
        <f t="shared" si="79"/>
        <v>ГУТС</v>
      </c>
      <c r="T217" t="str">
        <f>""</f>
        <v/>
      </c>
      <c r="U217" t="str">
        <f t="shared" si="80"/>
        <v>Нет</v>
      </c>
      <c r="V217">
        <v>51.746049280000001</v>
      </c>
      <c r="W217">
        <v>36.193701959999999</v>
      </c>
      <c r="X217" t="str">
        <f>"20000004562446"</f>
        <v>20000004562446</v>
      </c>
    </row>
    <row r="218" spans="1:24" x14ac:dyDescent="0.25">
      <c r="A218">
        <v>907</v>
      </c>
      <c r="B218" t="str">
        <f t="shared" si="73"/>
        <v>Курск</v>
      </c>
      <c r="C218">
        <v>473433</v>
      </c>
      <c r="D218" t="str">
        <f>"М 5.2.13"</f>
        <v>М 5.2.13</v>
      </c>
      <c r="E218" t="str">
        <f t="shared" si="74"/>
        <v>Муфта оптическая</v>
      </c>
      <c r="F218" t="str">
        <f>"21.03.2013"</f>
        <v>21.03.2013</v>
      </c>
      <c r="G218" t="str">
        <f>""</f>
        <v/>
      </c>
      <c r="H218" t="str">
        <f>"М 5.2.13"</f>
        <v>М 5.2.13</v>
      </c>
      <c r="I218" t="str">
        <f>"МС 5.2"</f>
        <v>МС 5.2</v>
      </c>
      <c r="J218" t="str">
        <f>""</f>
        <v/>
      </c>
      <c r="K218" t="str">
        <f t="shared" si="75"/>
        <v>МТОК 96</v>
      </c>
      <c r="L218" t="str">
        <f>"Серверная"</f>
        <v>Серверная</v>
      </c>
      <c r="M218" t="str">
        <f>"21.11.2012"</f>
        <v>21.11.2012</v>
      </c>
      <c r="N218" t="str">
        <f>"EmptySerial&lt;47901&gt;"</f>
        <v>EmptySerial&lt;47901&gt;</v>
      </c>
      <c r="O218" t="str">
        <f t="shared" si="86"/>
        <v>Нет</v>
      </c>
      <c r="P218" t="str">
        <f>""</f>
        <v/>
      </c>
      <c r="Q218" t="str">
        <f t="shared" si="77"/>
        <v>Нет</v>
      </c>
      <c r="R218" t="str">
        <f t="shared" si="78"/>
        <v>Основной</v>
      </c>
      <c r="S218" t="str">
        <f t="shared" si="79"/>
        <v>ГУТС</v>
      </c>
      <c r="T218" t="str">
        <f>""</f>
        <v/>
      </c>
      <c r="U218" t="str">
        <f t="shared" si="80"/>
        <v>Нет</v>
      </c>
      <c r="V218">
        <v>51.671641940834</v>
      </c>
      <c r="W218">
        <v>36.148073561489603</v>
      </c>
      <c r="X218" t="str">
        <f>"20000004562447"</f>
        <v>20000004562447</v>
      </c>
    </row>
    <row r="219" spans="1:24" x14ac:dyDescent="0.25">
      <c r="A219">
        <v>907</v>
      </c>
      <c r="B219" t="str">
        <f t="shared" si="73"/>
        <v>Курск</v>
      </c>
      <c r="C219">
        <v>473646</v>
      </c>
      <c r="D219" t="str">
        <f>"Т 1.1 ТТК"</f>
        <v>Т 1.1 ТТК</v>
      </c>
      <c r="E219" t="str">
        <f t="shared" si="74"/>
        <v>Муфта оптическая</v>
      </c>
      <c r="F219" t="str">
        <f t="shared" ref="F219:F231" si="87">"25.03.2013"</f>
        <v>25.03.2013</v>
      </c>
      <c r="G219" t="str">
        <f>""</f>
        <v/>
      </c>
      <c r="H219" t="str">
        <f>"Т 1.1 ТТК"</f>
        <v>Т 1.1 ТТК</v>
      </c>
      <c r="I219" t="str">
        <f t="shared" ref="I219:I232" si="88">"ТС"</f>
        <v>ТС</v>
      </c>
      <c r="J219" t="str">
        <f>""</f>
        <v/>
      </c>
      <c r="K219" t="str">
        <f t="shared" si="75"/>
        <v>МТОК 96</v>
      </c>
      <c r="L219" t="str">
        <f t="shared" ref="L219:L235" si="89">"Опора"</f>
        <v>Опора</v>
      </c>
      <c r="M219" t="str">
        <f t="shared" ref="M219:M227" si="90">"01.12.2012"</f>
        <v>01.12.2012</v>
      </c>
      <c r="N219" t="str">
        <f>"EmptySerial&lt;47950&gt;"</f>
        <v>EmptySerial&lt;47950&gt;</v>
      </c>
      <c r="O219" t="str">
        <f t="shared" ref="O219:O231" si="91">"Да"</f>
        <v>Да</v>
      </c>
      <c r="P219" t="str">
        <f>""</f>
        <v/>
      </c>
      <c r="Q219" t="str">
        <f t="shared" si="77"/>
        <v>Нет</v>
      </c>
      <c r="R219" t="str">
        <f t="shared" si="78"/>
        <v>Основной</v>
      </c>
      <c r="S219" t="str">
        <f t="shared" si="79"/>
        <v>ГУТС</v>
      </c>
      <c r="T219" t="str">
        <f>""</f>
        <v/>
      </c>
      <c r="U219" t="str">
        <f t="shared" si="80"/>
        <v>Нет</v>
      </c>
      <c r="V219">
        <v>51.748869867029399</v>
      </c>
      <c r="W219">
        <v>36.222140081226797</v>
      </c>
      <c r="X219" t="str">
        <f>"20000004562461"</f>
        <v>20000004562461</v>
      </c>
    </row>
    <row r="220" spans="1:24" x14ac:dyDescent="0.25">
      <c r="A220">
        <v>907</v>
      </c>
      <c r="B220" t="str">
        <f t="shared" si="73"/>
        <v>Курск</v>
      </c>
      <c r="C220">
        <v>473650</v>
      </c>
      <c r="D220" t="str">
        <f>"Т 1.2 ТТК"</f>
        <v>Т 1.2 ТТК</v>
      </c>
      <c r="E220" t="str">
        <f t="shared" si="74"/>
        <v>Муфта оптическая</v>
      </c>
      <c r="F220" t="str">
        <f t="shared" si="87"/>
        <v>25.03.2013</v>
      </c>
      <c r="G220" t="str">
        <f>""</f>
        <v/>
      </c>
      <c r="H220" t="str">
        <f>"Т 1.2 ТТК"</f>
        <v>Т 1.2 ТТК</v>
      </c>
      <c r="I220" t="str">
        <f t="shared" si="88"/>
        <v>ТС</v>
      </c>
      <c r="J220" t="str">
        <f>""</f>
        <v/>
      </c>
      <c r="K220" t="str">
        <f t="shared" si="75"/>
        <v>МТОК 96</v>
      </c>
      <c r="L220" t="str">
        <f t="shared" si="89"/>
        <v>Опора</v>
      </c>
      <c r="M220" t="str">
        <f t="shared" si="90"/>
        <v>01.12.2012</v>
      </c>
      <c r="N220" t="str">
        <f>"EmptySerial&lt;47949&gt;"</f>
        <v>EmptySerial&lt;47949&gt;</v>
      </c>
      <c r="O220" t="str">
        <f t="shared" si="91"/>
        <v>Да</v>
      </c>
      <c r="P220" t="str">
        <f>""</f>
        <v/>
      </c>
      <c r="Q220" t="str">
        <f t="shared" si="77"/>
        <v>Нет</v>
      </c>
      <c r="R220" t="str">
        <f t="shared" si="78"/>
        <v>Основной</v>
      </c>
      <c r="S220" t="str">
        <f t="shared" si="79"/>
        <v>ГУТС</v>
      </c>
      <c r="T220" t="str">
        <f>""</f>
        <v/>
      </c>
      <c r="U220" t="str">
        <f t="shared" si="80"/>
        <v>Нет</v>
      </c>
      <c r="V220">
        <v>51.741108060184999</v>
      </c>
      <c r="W220">
        <v>36.227338872849899</v>
      </c>
      <c r="X220" t="str">
        <f>"20000004562460"</f>
        <v>20000004562460</v>
      </c>
    </row>
    <row r="221" spans="1:24" x14ac:dyDescent="0.25">
      <c r="A221">
        <v>907</v>
      </c>
      <c r="B221" t="str">
        <f t="shared" si="73"/>
        <v>Курск</v>
      </c>
      <c r="C221">
        <v>473654</v>
      </c>
      <c r="D221" t="str">
        <f>"Т 1.3 ТТК"</f>
        <v>Т 1.3 ТТК</v>
      </c>
      <c r="E221" t="str">
        <f t="shared" si="74"/>
        <v>Муфта оптическая</v>
      </c>
      <c r="F221" t="str">
        <f t="shared" si="87"/>
        <v>25.03.2013</v>
      </c>
      <c r="G221" t="str">
        <f>""</f>
        <v/>
      </c>
      <c r="H221" t="str">
        <f>"Т 1.3 ТТК"</f>
        <v>Т 1.3 ТТК</v>
      </c>
      <c r="I221" t="str">
        <f t="shared" si="88"/>
        <v>ТС</v>
      </c>
      <c r="J221" t="str">
        <f>""</f>
        <v/>
      </c>
      <c r="K221" t="str">
        <f t="shared" si="75"/>
        <v>МТОК 96</v>
      </c>
      <c r="L221" t="str">
        <f t="shared" si="89"/>
        <v>Опора</v>
      </c>
      <c r="M221" t="str">
        <f t="shared" si="90"/>
        <v>01.12.2012</v>
      </c>
      <c r="N221" t="str">
        <f>"EmptySerial&lt;47948&gt;"</f>
        <v>EmptySerial&lt;47948&gt;</v>
      </c>
      <c r="O221" t="str">
        <f t="shared" si="91"/>
        <v>Да</v>
      </c>
      <c r="P221" t="str">
        <f>""</f>
        <v/>
      </c>
      <c r="Q221" t="str">
        <f t="shared" si="77"/>
        <v>Нет</v>
      </c>
      <c r="R221" t="str">
        <f t="shared" si="78"/>
        <v>Основной</v>
      </c>
      <c r="S221" t="str">
        <f t="shared" si="79"/>
        <v>ГУТС</v>
      </c>
      <c r="T221" t="str">
        <f>""</f>
        <v/>
      </c>
      <c r="U221" t="str">
        <f t="shared" si="80"/>
        <v>Нет</v>
      </c>
      <c r="V221">
        <v>51.740215750981697</v>
      </c>
      <c r="W221">
        <v>36.227150112390603</v>
      </c>
      <c r="X221" t="str">
        <f>"20000004562459"</f>
        <v>20000004562459</v>
      </c>
    </row>
    <row r="222" spans="1:24" x14ac:dyDescent="0.25">
      <c r="A222">
        <v>907</v>
      </c>
      <c r="B222" t="str">
        <f t="shared" si="73"/>
        <v>Курск</v>
      </c>
      <c r="C222">
        <v>473658</v>
      </c>
      <c r="D222" t="str">
        <f>"Т 1.4 ТТК"</f>
        <v>Т 1.4 ТТК</v>
      </c>
      <c r="E222" t="str">
        <f t="shared" si="74"/>
        <v>Муфта оптическая</v>
      </c>
      <c r="F222" t="str">
        <f t="shared" si="87"/>
        <v>25.03.2013</v>
      </c>
      <c r="G222" t="str">
        <f>""</f>
        <v/>
      </c>
      <c r="H222" t="str">
        <f>"Т 1.4 ТТК"</f>
        <v>Т 1.4 ТТК</v>
      </c>
      <c r="I222" t="str">
        <f t="shared" si="88"/>
        <v>ТС</v>
      </c>
      <c r="J222" t="str">
        <f>""</f>
        <v/>
      </c>
      <c r="K222" t="str">
        <f t="shared" si="75"/>
        <v>МТОК 96</v>
      </c>
      <c r="L222" t="str">
        <f t="shared" si="89"/>
        <v>Опора</v>
      </c>
      <c r="M222" t="str">
        <f t="shared" si="90"/>
        <v>01.12.2012</v>
      </c>
      <c r="N222" t="str">
        <f>"EmptySerial&lt;47947&gt;"</f>
        <v>EmptySerial&lt;47947&gt;</v>
      </c>
      <c r="O222" t="str">
        <f t="shared" si="91"/>
        <v>Да</v>
      </c>
      <c r="P222" t="str">
        <f>""</f>
        <v/>
      </c>
      <c r="Q222" t="str">
        <f t="shared" si="77"/>
        <v>Нет</v>
      </c>
      <c r="R222" t="str">
        <f t="shared" si="78"/>
        <v>Основной</v>
      </c>
      <c r="S222" t="str">
        <f t="shared" si="79"/>
        <v>ГУТС</v>
      </c>
      <c r="T222" t="str">
        <f>""</f>
        <v/>
      </c>
      <c r="U222" t="str">
        <f t="shared" si="80"/>
        <v>Нет</v>
      </c>
      <c r="V222">
        <v>51.727303530567298</v>
      </c>
      <c r="W222">
        <v>36.220847591757902</v>
      </c>
      <c r="X222" t="str">
        <f>"20000004562458"</f>
        <v>20000004562458</v>
      </c>
    </row>
    <row r="223" spans="1:24" x14ac:dyDescent="0.25">
      <c r="A223">
        <v>907</v>
      </c>
      <c r="B223" t="str">
        <f t="shared" si="73"/>
        <v>Курск</v>
      </c>
      <c r="C223">
        <v>473662</v>
      </c>
      <c r="D223" t="str">
        <f>"Т 1.5 ТТК"</f>
        <v>Т 1.5 ТТК</v>
      </c>
      <c r="E223" t="str">
        <f t="shared" si="74"/>
        <v>Муфта оптическая</v>
      </c>
      <c r="F223" t="str">
        <f t="shared" si="87"/>
        <v>25.03.2013</v>
      </c>
      <c r="G223" t="str">
        <f>""</f>
        <v/>
      </c>
      <c r="H223" t="str">
        <f>"Т 1.5 ТТК"</f>
        <v>Т 1.5 ТТК</v>
      </c>
      <c r="I223" t="str">
        <f t="shared" si="88"/>
        <v>ТС</v>
      </c>
      <c r="J223" t="str">
        <f>""</f>
        <v/>
      </c>
      <c r="K223" t="str">
        <f t="shared" si="75"/>
        <v>МТОК 96</v>
      </c>
      <c r="L223" t="str">
        <f t="shared" si="89"/>
        <v>Опора</v>
      </c>
      <c r="M223" t="str">
        <f t="shared" si="90"/>
        <v>01.12.2012</v>
      </c>
      <c r="N223" t="str">
        <f>"EmptySerial&lt;47946&gt;"</f>
        <v>EmptySerial&lt;47946&gt;</v>
      </c>
      <c r="O223" t="str">
        <f t="shared" si="91"/>
        <v>Да</v>
      </c>
      <c r="P223" t="str">
        <f>""</f>
        <v/>
      </c>
      <c r="Q223" t="str">
        <f t="shared" si="77"/>
        <v>Нет</v>
      </c>
      <c r="R223" t="str">
        <f t="shared" si="78"/>
        <v>Основной</v>
      </c>
      <c r="S223" t="str">
        <f t="shared" si="79"/>
        <v>ГУТС</v>
      </c>
      <c r="T223" t="str">
        <f>""</f>
        <v/>
      </c>
      <c r="U223" t="str">
        <f t="shared" si="80"/>
        <v>Нет</v>
      </c>
      <c r="V223">
        <v>51.726670335104302</v>
      </c>
      <c r="W223">
        <v>36.2202249839902</v>
      </c>
      <c r="X223" t="str">
        <f>"20000004562457"</f>
        <v>20000004562457</v>
      </c>
    </row>
    <row r="224" spans="1:24" x14ac:dyDescent="0.25">
      <c r="A224">
        <v>907</v>
      </c>
      <c r="B224" t="str">
        <f t="shared" si="73"/>
        <v>Курск</v>
      </c>
      <c r="C224">
        <v>473666</v>
      </c>
      <c r="D224" t="str">
        <f>"Т 1.6 ТТК"</f>
        <v>Т 1.6 ТТК</v>
      </c>
      <c r="E224" t="str">
        <f t="shared" si="74"/>
        <v>Муфта оптическая</v>
      </c>
      <c r="F224" t="str">
        <f t="shared" si="87"/>
        <v>25.03.2013</v>
      </c>
      <c r="G224" t="str">
        <f>""</f>
        <v/>
      </c>
      <c r="H224" t="str">
        <f>"Т 1.6 ТТК"</f>
        <v>Т 1.6 ТТК</v>
      </c>
      <c r="I224" t="str">
        <f t="shared" si="88"/>
        <v>ТС</v>
      </c>
      <c r="J224" t="str">
        <f>""</f>
        <v/>
      </c>
      <c r="K224" t="str">
        <f t="shared" si="75"/>
        <v>МТОК 96</v>
      </c>
      <c r="L224" t="str">
        <f t="shared" si="89"/>
        <v>Опора</v>
      </c>
      <c r="M224" t="str">
        <f t="shared" si="90"/>
        <v>01.12.2012</v>
      </c>
      <c r="N224" t="str">
        <f>"EmptySerial&lt;47945&gt;"</f>
        <v>EmptySerial&lt;47945&gt;</v>
      </c>
      <c r="O224" t="str">
        <f t="shared" si="91"/>
        <v>Да</v>
      </c>
      <c r="P224" t="str">
        <f>""</f>
        <v/>
      </c>
      <c r="Q224" t="str">
        <f t="shared" si="77"/>
        <v>Нет</v>
      </c>
      <c r="R224" t="str">
        <f t="shared" si="78"/>
        <v>Основной</v>
      </c>
      <c r="S224" t="str">
        <f t="shared" si="79"/>
        <v>ГУТС</v>
      </c>
      <c r="T224" t="str">
        <f>""</f>
        <v/>
      </c>
      <c r="U224" t="str">
        <f t="shared" si="80"/>
        <v>Нет</v>
      </c>
      <c r="V224">
        <v>51.722009045776502</v>
      </c>
      <c r="W224">
        <v>36.212131418287797</v>
      </c>
      <c r="X224" t="str">
        <f>"20000004562456"</f>
        <v>20000004562456</v>
      </c>
    </row>
    <row r="225" spans="1:24" x14ac:dyDescent="0.25">
      <c r="A225">
        <v>907</v>
      </c>
      <c r="B225" t="str">
        <f t="shared" si="73"/>
        <v>Курск</v>
      </c>
      <c r="C225">
        <v>473670</v>
      </c>
      <c r="D225" t="str">
        <f>"Т 1.7 ТТК"</f>
        <v>Т 1.7 ТТК</v>
      </c>
      <c r="E225" t="str">
        <f t="shared" si="74"/>
        <v>Муфта оптическая</v>
      </c>
      <c r="F225" t="str">
        <f t="shared" si="87"/>
        <v>25.03.2013</v>
      </c>
      <c r="G225" t="str">
        <f>""</f>
        <v/>
      </c>
      <c r="H225" t="str">
        <f>"Т 1.7 ТТК"</f>
        <v>Т 1.7 ТТК</v>
      </c>
      <c r="I225" t="str">
        <f t="shared" si="88"/>
        <v>ТС</v>
      </c>
      <c r="J225" t="str">
        <f>""</f>
        <v/>
      </c>
      <c r="K225" t="str">
        <f t="shared" si="75"/>
        <v>МТОК 96</v>
      </c>
      <c r="L225" t="str">
        <f t="shared" si="89"/>
        <v>Опора</v>
      </c>
      <c r="M225" t="str">
        <f t="shared" si="90"/>
        <v>01.12.2012</v>
      </c>
      <c r="N225" t="str">
        <f>"EmptySerial&lt;47944&gt;"</f>
        <v>EmptySerial&lt;47944&gt;</v>
      </c>
      <c r="O225" t="str">
        <f t="shared" si="91"/>
        <v>Да</v>
      </c>
      <c r="P225" t="str">
        <f>""</f>
        <v/>
      </c>
      <c r="Q225" t="str">
        <f t="shared" si="77"/>
        <v>Нет</v>
      </c>
      <c r="R225" t="str">
        <f t="shared" si="78"/>
        <v>Основной</v>
      </c>
      <c r="S225" t="str">
        <f t="shared" si="79"/>
        <v>ГУТС</v>
      </c>
      <c r="T225" t="str">
        <f>""</f>
        <v/>
      </c>
      <c r="U225" t="str">
        <f t="shared" si="80"/>
        <v>Нет</v>
      </c>
      <c r="V225">
        <v>51.721641006918901</v>
      </c>
      <c r="W225">
        <v>36.210829876363299</v>
      </c>
      <c r="X225" t="str">
        <f>"20000004562455"</f>
        <v>20000004562455</v>
      </c>
    </row>
    <row r="226" spans="1:24" x14ac:dyDescent="0.25">
      <c r="A226">
        <v>907</v>
      </c>
      <c r="B226" t="str">
        <f t="shared" si="73"/>
        <v>Курск</v>
      </c>
      <c r="C226">
        <v>473678</v>
      </c>
      <c r="D226" t="str">
        <f>"Т 1.8 ТТК"</f>
        <v>Т 1.8 ТТК</v>
      </c>
      <c r="E226" t="str">
        <f t="shared" si="74"/>
        <v>Муфта оптическая</v>
      </c>
      <c r="F226" t="str">
        <f t="shared" si="87"/>
        <v>25.03.2013</v>
      </c>
      <c r="G226" t="str">
        <f>""</f>
        <v/>
      </c>
      <c r="H226" t="str">
        <f>"Т 1.8 ТТК"</f>
        <v>Т 1.8 ТТК</v>
      </c>
      <c r="I226" t="str">
        <f t="shared" si="88"/>
        <v>ТС</v>
      </c>
      <c r="J226" t="str">
        <f>""</f>
        <v/>
      </c>
      <c r="K226" t="str">
        <f t="shared" si="75"/>
        <v>МТОК 96</v>
      </c>
      <c r="L226" t="str">
        <f t="shared" si="89"/>
        <v>Опора</v>
      </c>
      <c r="M226" t="str">
        <f t="shared" si="90"/>
        <v>01.12.2012</v>
      </c>
      <c r="N226" t="str">
        <f>"EmptySerial&lt;47956&gt;"</f>
        <v>EmptySerial&lt;47956&gt;</v>
      </c>
      <c r="O226" t="str">
        <f t="shared" si="91"/>
        <v>Да</v>
      </c>
      <c r="P226" t="str">
        <f>""</f>
        <v/>
      </c>
      <c r="Q226" t="str">
        <f t="shared" si="77"/>
        <v>Нет</v>
      </c>
      <c r="R226" t="str">
        <f t="shared" si="78"/>
        <v>Основной</v>
      </c>
      <c r="S226" t="str">
        <f t="shared" si="79"/>
        <v>ГУТС</v>
      </c>
      <c r="T226" t="str">
        <f>""</f>
        <v/>
      </c>
      <c r="U226" t="str">
        <f t="shared" si="80"/>
        <v>Нет</v>
      </c>
      <c r="V226">
        <v>51.720381302714799</v>
      </c>
      <c r="W226">
        <v>36.205886229872704</v>
      </c>
      <c r="X226" t="str">
        <f>"20000004562467"</f>
        <v>20000004562467</v>
      </c>
    </row>
    <row r="227" spans="1:24" x14ac:dyDescent="0.25">
      <c r="A227">
        <v>907</v>
      </c>
      <c r="B227" t="str">
        <f t="shared" si="73"/>
        <v>Курск</v>
      </c>
      <c r="C227">
        <v>473682</v>
      </c>
      <c r="D227" t="str">
        <f>"Т 2.2 ТТК"</f>
        <v>Т 2.2 ТТК</v>
      </c>
      <c r="E227" t="str">
        <f t="shared" si="74"/>
        <v>Муфта оптическая</v>
      </c>
      <c r="F227" t="str">
        <f t="shared" si="87"/>
        <v>25.03.2013</v>
      </c>
      <c r="G227" t="str">
        <f>""</f>
        <v/>
      </c>
      <c r="H227" t="str">
        <f>"Т 2.2 ТТК"</f>
        <v>Т 2.2 ТТК</v>
      </c>
      <c r="I227" t="str">
        <f t="shared" si="88"/>
        <v>ТС</v>
      </c>
      <c r="J227" t="str">
        <f>""</f>
        <v/>
      </c>
      <c r="K227" t="str">
        <f t="shared" si="75"/>
        <v>МТОК 96</v>
      </c>
      <c r="L227" t="str">
        <f t="shared" si="89"/>
        <v>Опора</v>
      </c>
      <c r="M227" t="str">
        <f t="shared" si="90"/>
        <v>01.12.2012</v>
      </c>
      <c r="N227" t="str">
        <f>"EmptySerial&lt;47955&gt;"</f>
        <v>EmptySerial&lt;47955&gt;</v>
      </c>
      <c r="O227" t="str">
        <f t="shared" si="91"/>
        <v>Да</v>
      </c>
      <c r="P227" t="str">
        <f>""</f>
        <v/>
      </c>
      <c r="Q227" t="str">
        <f t="shared" si="77"/>
        <v>Нет</v>
      </c>
      <c r="R227" t="str">
        <f t="shared" si="78"/>
        <v>Основной</v>
      </c>
      <c r="S227" t="str">
        <f t="shared" si="79"/>
        <v>ГУТС</v>
      </c>
      <c r="T227" t="str">
        <f>""</f>
        <v/>
      </c>
      <c r="U227" t="str">
        <f t="shared" si="80"/>
        <v>Нет</v>
      </c>
      <c r="V227">
        <v>51.743157315054702</v>
      </c>
      <c r="W227">
        <v>36.213091984391198</v>
      </c>
      <c r="X227" t="str">
        <f>"20000004562466"</f>
        <v>20000004562466</v>
      </c>
    </row>
    <row r="228" spans="1:24" x14ac:dyDescent="0.25">
      <c r="A228">
        <v>907</v>
      </c>
      <c r="B228" t="str">
        <f t="shared" si="73"/>
        <v>Курск</v>
      </c>
      <c r="C228">
        <v>473686</v>
      </c>
      <c r="D228" t="str">
        <f>"Т 2.3 ТТК"</f>
        <v>Т 2.3 ТТК</v>
      </c>
      <c r="E228" t="str">
        <f t="shared" si="74"/>
        <v>Муфта оптическая</v>
      </c>
      <c r="F228" t="str">
        <f t="shared" si="87"/>
        <v>25.03.2013</v>
      </c>
      <c r="G228" t="str">
        <f>""</f>
        <v/>
      </c>
      <c r="H228" t="str">
        <f>"Т 2.3 ТТК"</f>
        <v>Т 2.3 ТТК</v>
      </c>
      <c r="I228" t="str">
        <f t="shared" si="88"/>
        <v>ТС</v>
      </c>
      <c r="J228" t="str">
        <f>""</f>
        <v/>
      </c>
      <c r="K228" t="str">
        <f t="shared" si="75"/>
        <v>МТОК 96</v>
      </c>
      <c r="L228" t="str">
        <f t="shared" si="89"/>
        <v>Опора</v>
      </c>
      <c r="M228" t="str">
        <f>"01.01.2013"</f>
        <v>01.01.2013</v>
      </c>
      <c r="N228" t="str">
        <f>"EmptySerial&lt;47954&gt;"</f>
        <v>EmptySerial&lt;47954&gt;</v>
      </c>
      <c r="O228" t="str">
        <f t="shared" si="91"/>
        <v>Да</v>
      </c>
      <c r="P228" t="str">
        <f>""</f>
        <v/>
      </c>
      <c r="Q228" t="str">
        <f t="shared" si="77"/>
        <v>Нет</v>
      </c>
      <c r="R228" t="str">
        <f t="shared" si="78"/>
        <v>Основной</v>
      </c>
      <c r="S228" t="str">
        <f t="shared" si="79"/>
        <v>ГУТС</v>
      </c>
      <c r="T228" t="str">
        <f>""</f>
        <v/>
      </c>
      <c r="U228" t="str">
        <f t="shared" si="80"/>
        <v>Нет</v>
      </c>
      <c r="V228">
        <v>51.741355320971302</v>
      </c>
      <c r="W228">
        <v>36.2030772864819</v>
      </c>
      <c r="X228" t="str">
        <f>"20000004562465"</f>
        <v>20000004562465</v>
      </c>
    </row>
    <row r="229" spans="1:24" x14ac:dyDescent="0.25">
      <c r="A229">
        <v>907</v>
      </c>
      <c r="B229" t="str">
        <f t="shared" si="73"/>
        <v>Курск</v>
      </c>
      <c r="C229">
        <v>473690</v>
      </c>
      <c r="D229" t="str">
        <f>"Т 2.4 ТТК"</f>
        <v>Т 2.4 ТТК</v>
      </c>
      <c r="E229" t="str">
        <f t="shared" si="74"/>
        <v>Муфта оптическая</v>
      </c>
      <c r="F229" t="str">
        <f t="shared" si="87"/>
        <v>25.03.2013</v>
      </c>
      <c r="G229" t="str">
        <f>""</f>
        <v/>
      </c>
      <c r="H229" t="str">
        <f>"Т 2.4 ТТК"</f>
        <v>Т 2.4 ТТК</v>
      </c>
      <c r="I229" t="str">
        <f t="shared" si="88"/>
        <v>ТС</v>
      </c>
      <c r="J229" t="str">
        <f>""</f>
        <v/>
      </c>
      <c r="K229" t="str">
        <f t="shared" si="75"/>
        <v>МТОК 96</v>
      </c>
      <c r="L229" t="str">
        <f t="shared" si="89"/>
        <v>Опора</v>
      </c>
      <c r="M229" t="str">
        <f>"01.12.2012"</f>
        <v>01.12.2012</v>
      </c>
      <c r="N229" t="str">
        <f>"EmptySerial&lt;47953&gt;"</f>
        <v>EmptySerial&lt;47953&gt;</v>
      </c>
      <c r="O229" t="str">
        <f t="shared" si="91"/>
        <v>Да</v>
      </c>
      <c r="P229" t="str">
        <f>""</f>
        <v/>
      </c>
      <c r="Q229" t="str">
        <f t="shared" si="77"/>
        <v>Нет</v>
      </c>
      <c r="R229" t="str">
        <f t="shared" si="78"/>
        <v>Основной</v>
      </c>
      <c r="S229" t="str">
        <f t="shared" si="79"/>
        <v>ГУТС</v>
      </c>
      <c r="T229" t="str">
        <f>""</f>
        <v/>
      </c>
      <c r="U229" t="str">
        <f t="shared" si="80"/>
        <v>Нет</v>
      </c>
      <c r="V229">
        <v>51.735848413496399</v>
      </c>
      <c r="W229">
        <v>36.200191229581797</v>
      </c>
      <c r="X229" t="str">
        <f>"20000004562464"</f>
        <v>20000004562464</v>
      </c>
    </row>
    <row r="230" spans="1:24" x14ac:dyDescent="0.25">
      <c r="A230">
        <v>907</v>
      </c>
      <c r="B230" t="str">
        <f t="shared" si="73"/>
        <v>Курск</v>
      </c>
      <c r="C230">
        <v>473694</v>
      </c>
      <c r="D230" t="str">
        <f>"Т 2.5 ТТК"</f>
        <v>Т 2.5 ТТК</v>
      </c>
      <c r="E230" t="str">
        <f t="shared" si="74"/>
        <v>Муфта оптическая</v>
      </c>
      <c r="F230" t="str">
        <f t="shared" si="87"/>
        <v>25.03.2013</v>
      </c>
      <c r="G230" t="str">
        <f>""</f>
        <v/>
      </c>
      <c r="H230" t="str">
        <f>"Т 2.5 ТТК"</f>
        <v>Т 2.5 ТТК</v>
      </c>
      <c r="I230" t="str">
        <f t="shared" si="88"/>
        <v>ТС</v>
      </c>
      <c r="J230" t="str">
        <f>""</f>
        <v/>
      </c>
      <c r="K230" t="str">
        <f t="shared" si="75"/>
        <v>МТОК 96</v>
      </c>
      <c r="L230" t="str">
        <f t="shared" si="89"/>
        <v>Опора</v>
      </c>
      <c r="M230" t="str">
        <f>"01.12.2012"</f>
        <v>01.12.2012</v>
      </c>
      <c r="N230" t="str">
        <f>"EmptySerial&lt;47952&gt;"</f>
        <v>EmptySerial&lt;47952&gt;</v>
      </c>
      <c r="O230" t="str">
        <f t="shared" si="91"/>
        <v>Да</v>
      </c>
      <c r="P230" t="str">
        <f>""</f>
        <v/>
      </c>
      <c r="Q230" t="str">
        <f t="shared" si="77"/>
        <v>Нет</v>
      </c>
      <c r="R230" t="str">
        <f t="shared" si="78"/>
        <v>Основной</v>
      </c>
      <c r="S230" t="str">
        <f t="shared" si="79"/>
        <v>ГУТС</v>
      </c>
      <c r="T230" t="str">
        <f>""</f>
        <v/>
      </c>
      <c r="U230" t="str">
        <f t="shared" si="80"/>
        <v>Нет</v>
      </c>
      <c r="V230">
        <v>51.724238607650399</v>
      </c>
      <c r="W230">
        <v>36.190307289362003</v>
      </c>
      <c r="X230" t="str">
        <f>"20000004562463"</f>
        <v>20000004562463</v>
      </c>
    </row>
    <row r="231" spans="1:24" x14ac:dyDescent="0.25">
      <c r="A231">
        <v>907</v>
      </c>
      <c r="B231" t="str">
        <f t="shared" si="73"/>
        <v>Курск</v>
      </c>
      <c r="C231">
        <v>473698</v>
      </c>
      <c r="D231" t="str">
        <f>"Т 2.6 ТТК"</f>
        <v>Т 2.6 ТТК</v>
      </c>
      <c r="E231" t="str">
        <f t="shared" si="74"/>
        <v>Муфта оптическая</v>
      </c>
      <c r="F231" t="str">
        <f t="shared" si="87"/>
        <v>25.03.2013</v>
      </c>
      <c r="G231" t="str">
        <f>""</f>
        <v/>
      </c>
      <c r="H231" t="str">
        <f>"Т 2.6 ТТК"</f>
        <v>Т 2.6 ТТК</v>
      </c>
      <c r="I231" t="str">
        <f t="shared" si="88"/>
        <v>ТС</v>
      </c>
      <c r="J231" t="str">
        <f>""</f>
        <v/>
      </c>
      <c r="K231" t="str">
        <f t="shared" si="75"/>
        <v>МТОК 96</v>
      </c>
      <c r="L231" t="str">
        <f t="shared" si="89"/>
        <v>Опора</v>
      </c>
      <c r="M231" t="str">
        <f>"01.12.2012"</f>
        <v>01.12.2012</v>
      </c>
      <c r="N231" t="str">
        <f>"EmptySerial&lt;47951&gt;"</f>
        <v>EmptySerial&lt;47951&gt;</v>
      </c>
      <c r="O231" t="str">
        <f t="shared" si="91"/>
        <v>Да</v>
      </c>
      <c r="P231" t="str">
        <f>""</f>
        <v/>
      </c>
      <c r="Q231" t="str">
        <f t="shared" si="77"/>
        <v>Нет</v>
      </c>
      <c r="R231" t="str">
        <f t="shared" si="78"/>
        <v>Основной</v>
      </c>
      <c r="S231" t="str">
        <f t="shared" si="79"/>
        <v>ГУТС</v>
      </c>
      <c r="T231" t="str">
        <f>""</f>
        <v/>
      </c>
      <c r="U231" t="str">
        <f t="shared" si="80"/>
        <v>Нет</v>
      </c>
      <c r="V231">
        <v>51.723177110000002</v>
      </c>
      <c r="W231">
        <v>36.188217510000001</v>
      </c>
      <c r="X231" t="str">
        <f>"20000004562462"</f>
        <v>20000004562462</v>
      </c>
    </row>
    <row r="232" spans="1:24" x14ac:dyDescent="0.25">
      <c r="A232">
        <v>907</v>
      </c>
      <c r="B232" t="str">
        <f t="shared" si="73"/>
        <v>Курск</v>
      </c>
      <c r="C232">
        <v>474646</v>
      </c>
      <c r="D232" t="str">
        <f>"Т3.7"</f>
        <v>Т3.7</v>
      </c>
      <c r="E232" t="str">
        <f t="shared" si="74"/>
        <v>Муфта оптическая</v>
      </c>
      <c r="F232" t="str">
        <f>"29.04.2013"</f>
        <v>29.04.2013</v>
      </c>
      <c r="G232" t="str">
        <f>""</f>
        <v/>
      </c>
      <c r="H232" t="str">
        <f>"Т3.7"</f>
        <v>Т3.7</v>
      </c>
      <c r="I232" t="str">
        <f t="shared" si="88"/>
        <v>ТС</v>
      </c>
      <c r="J232" t="str">
        <f>""</f>
        <v/>
      </c>
      <c r="K232" t="str">
        <f t="shared" si="75"/>
        <v>МТОК 96</v>
      </c>
      <c r="L232" t="str">
        <f t="shared" si="89"/>
        <v>Опора</v>
      </c>
      <c r="M232" t="str">
        <f>"01.04.2013"</f>
        <v>01.04.2013</v>
      </c>
      <c r="N232" t="str">
        <f>"EmptySerial&lt;48242&gt;"</f>
        <v>EmptySerial&lt;48242&gt;</v>
      </c>
      <c r="O232" t="str">
        <f t="shared" ref="O232:O263" si="92">"Нет"</f>
        <v>Нет</v>
      </c>
      <c r="P232" t="str">
        <f>""</f>
        <v/>
      </c>
      <c r="Q232" t="str">
        <f t="shared" si="77"/>
        <v>Нет</v>
      </c>
      <c r="R232" t="str">
        <f t="shared" si="78"/>
        <v>Основной</v>
      </c>
      <c r="S232" t="str">
        <f t="shared" si="79"/>
        <v>ГУТС</v>
      </c>
      <c r="T232" t="str">
        <f>""</f>
        <v/>
      </c>
      <c r="U232" t="str">
        <f t="shared" si="80"/>
        <v>Нет</v>
      </c>
      <c r="V232">
        <v>51.7138558263281</v>
      </c>
      <c r="W232">
        <v>36.186587736010601</v>
      </c>
      <c r="X232" t="str">
        <f>"20000004562548"</f>
        <v>20000004562548</v>
      </c>
    </row>
    <row r="233" spans="1:24" x14ac:dyDescent="0.25">
      <c r="A233">
        <v>907</v>
      </c>
      <c r="B233" t="str">
        <f t="shared" si="73"/>
        <v>Курск</v>
      </c>
      <c r="C233">
        <v>483246</v>
      </c>
      <c r="D233" t="str">
        <f>"М 1.3.22"</f>
        <v>М 1.3.22</v>
      </c>
      <c r="E233" t="str">
        <f t="shared" si="74"/>
        <v>Муфта оптическая</v>
      </c>
      <c r="F233" t="str">
        <f>"14.08.2013"</f>
        <v>14.08.2013</v>
      </c>
      <c r="G233" t="str">
        <f>""</f>
        <v/>
      </c>
      <c r="H233" t="str">
        <f>"М 1.3.22"</f>
        <v>М 1.3.22</v>
      </c>
      <c r="I233" t="str">
        <f>"МС 1.3"</f>
        <v>МС 1.3</v>
      </c>
      <c r="J233" t="str">
        <f>""</f>
        <v/>
      </c>
      <c r="K233" t="str">
        <f t="shared" si="75"/>
        <v>МТОК 96</v>
      </c>
      <c r="L233" t="str">
        <f t="shared" si="89"/>
        <v>Опора</v>
      </c>
      <c r="M233" t="str">
        <f>"08.05.2013"</f>
        <v>08.05.2013</v>
      </c>
      <c r="N233" t="str">
        <f>"EmptySerial&lt;52062&gt;"</f>
        <v>EmptySerial&lt;52062&gt;</v>
      </c>
      <c r="O233" t="str">
        <f t="shared" si="92"/>
        <v>Нет</v>
      </c>
      <c r="P233" t="str">
        <f>""</f>
        <v/>
      </c>
      <c r="Q233" t="str">
        <f t="shared" si="77"/>
        <v>Нет</v>
      </c>
      <c r="R233" t="str">
        <f t="shared" si="78"/>
        <v>Основной</v>
      </c>
      <c r="S233" t="str">
        <f t="shared" si="79"/>
        <v>ГУТС</v>
      </c>
      <c r="T233" t="str">
        <f>""</f>
        <v/>
      </c>
      <c r="U233" t="str">
        <f t="shared" si="80"/>
        <v>Нет</v>
      </c>
      <c r="V233">
        <v>51.708190790000003</v>
      </c>
      <c r="W233">
        <v>36.15570847</v>
      </c>
      <c r="X233" t="str">
        <f>"20000004565513"</f>
        <v>20000004565513</v>
      </c>
    </row>
    <row r="234" spans="1:24" x14ac:dyDescent="0.25">
      <c r="A234">
        <v>907</v>
      </c>
      <c r="B234" t="str">
        <f t="shared" si="73"/>
        <v>Курск</v>
      </c>
      <c r="C234">
        <v>483250</v>
      </c>
      <c r="D234" t="str">
        <f>"Т4.6"</f>
        <v>Т4.6</v>
      </c>
      <c r="E234" t="str">
        <f t="shared" si="74"/>
        <v>Муфта оптическая</v>
      </c>
      <c r="F234" t="str">
        <f>"14.08.2013"</f>
        <v>14.08.2013</v>
      </c>
      <c r="G234" t="str">
        <f>""</f>
        <v/>
      </c>
      <c r="H234" t="str">
        <f>"Т4.6"</f>
        <v>Т4.6</v>
      </c>
      <c r="I234" t="str">
        <f>"ТС"</f>
        <v>ТС</v>
      </c>
      <c r="J234" t="str">
        <f>""</f>
        <v/>
      </c>
      <c r="K234" t="str">
        <f t="shared" si="75"/>
        <v>МТОК 96</v>
      </c>
      <c r="L234" t="str">
        <f t="shared" si="89"/>
        <v>Опора</v>
      </c>
      <c r="M234" t="str">
        <f>"25.05.2013"</f>
        <v>25.05.2013</v>
      </c>
      <c r="N234" t="str">
        <f>"EmptySerial&lt;52063&gt;"</f>
        <v>EmptySerial&lt;52063&gt;</v>
      </c>
      <c r="O234" t="str">
        <f t="shared" si="92"/>
        <v>Нет</v>
      </c>
      <c r="P234" t="str">
        <f>""</f>
        <v/>
      </c>
      <c r="Q234" t="str">
        <f t="shared" si="77"/>
        <v>Нет</v>
      </c>
      <c r="R234" t="str">
        <f t="shared" si="78"/>
        <v>Основной</v>
      </c>
      <c r="S234" t="str">
        <f t="shared" si="79"/>
        <v>ГУТС</v>
      </c>
      <c r="T234" t="str">
        <f>""</f>
        <v/>
      </c>
      <c r="U234" t="str">
        <f t="shared" si="80"/>
        <v>Нет</v>
      </c>
      <c r="V234">
        <v>51.6968905837698</v>
      </c>
      <c r="W234">
        <v>36.158873811364202</v>
      </c>
      <c r="X234" t="str">
        <f>"20000004565514"</f>
        <v>20000004565514</v>
      </c>
    </row>
    <row r="235" spans="1:24" x14ac:dyDescent="0.25">
      <c r="A235">
        <v>907</v>
      </c>
      <c r="B235" t="str">
        <f t="shared" si="73"/>
        <v>Курск</v>
      </c>
      <c r="C235">
        <v>485446</v>
      </c>
      <c r="D235" t="str">
        <f>"Т4.7"</f>
        <v>Т4.7</v>
      </c>
      <c r="E235" t="str">
        <f t="shared" si="74"/>
        <v>Муфта оптическая</v>
      </c>
      <c r="F235" t="str">
        <f>"22.08.2013"</f>
        <v>22.08.2013</v>
      </c>
      <c r="G235" t="str">
        <f>""</f>
        <v/>
      </c>
      <c r="H235" t="str">
        <f>"Т4.7"</f>
        <v>Т4.7</v>
      </c>
      <c r="I235" t="str">
        <f>"ТС"</f>
        <v>ТС</v>
      </c>
      <c r="J235" t="str">
        <f>""</f>
        <v/>
      </c>
      <c r="K235" t="str">
        <f t="shared" si="75"/>
        <v>МТОК 96</v>
      </c>
      <c r="L235" t="str">
        <f t="shared" si="89"/>
        <v>Опора</v>
      </c>
      <c r="M235" t="str">
        <f>"11.05.2013"</f>
        <v>11.05.2013</v>
      </c>
      <c r="N235" t="str">
        <f>"EmptySerial&lt;52362&gt;"</f>
        <v>EmptySerial&lt;52362&gt;</v>
      </c>
      <c r="O235" t="str">
        <f t="shared" si="92"/>
        <v>Нет</v>
      </c>
      <c r="P235" t="str">
        <f>""</f>
        <v/>
      </c>
      <c r="Q235" t="str">
        <f t="shared" si="77"/>
        <v>Нет</v>
      </c>
      <c r="R235" t="str">
        <f t="shared" si="78"/>
        <v>Основной</v>
      </c>
      <c r="S235" t="str">
        <f t="shared" si="79"/>
        <v>ГУТС</v>
      </c>
      <c r="T235" t="str">
        <f>""</f>
        <v/>
      </c>
      <c r="U235" t="str">
        <f t="shared" si="80"/>
        <v>Нет</v>
      </c>
      <c r="V235">
        <v>51.696352245156298</v>
      </c>
      <c r="W235">
        <v>36.159346550702999</v>
      </c>
      <c r="X235" t="str">
        <f>"20000004565641"</f>
        <v>20000004565641</v>
      </c>
    </row>
    <row r="236" spans="1:24" x14ac:dyDescent="0.25">
      <c r="A236">
        <v>907</v>
      </c>
      <c r="B236" t="str">
        <f t="shared" si="73"/>
        <v>Курск</v>
      </c>
      <c r="C236">
        <v>486846</v>
      </c>
      <c r="D236" t="str">
        <f>"М 2.2.9"</f>
        <v>М 2.2.9</v>
      </c>
      <c r="E236" t="str">
        <f t="shared" si="74"/>
        <v>Муфта оптическая</v>
      </c>
      <c r="F236" t="str">
        <f>"30.09.2013"</f>
        <v>30.09.2013</v>
      </c>
      <c r="G236" t="str">
        <f>""</f>
        <v/>
      </c>
      <c r="H236" t="str">
        <f>"М 2.2.9"</f>
        <v>М 2.2.9</v>
      </c>
      <c r="I236" t="str">
        <f>"МС 2.2"</f>
        <v>МС 2.2</v>
      </c>
      <c r="J236" t="str">
        <f>""</f>
        <v/>
      </c>
      <c r="K236" t="str">
        <f t="shared" si="75"/>
        <v>МТОК 96</v>
      </c>
      <c r="L236" t="str">
        <f>"Крыша"</f>
        <v>Крыша</v>
      </c>
      <c r="M236" t="str">
        <f>"01.06.2013"</f>
        <v>01.06.2013</v>
      </c>
      <c r="N236" t="str">
        <f>"EmptySerial&lt;53061&gt;"</f>
        <v>EmptySerial&lt;53061&gt;</v>
      </c>
      <c r="O236" t="str">
        <f t="shared" si="92"/>
        <v>Нет</v>
      </c>
      <c r="P236" t="str">
        <f>""</f>
        <v/>
      </c>
      <c r="Q236" t="str">
        <f t="shared" si="77"/>
        <v>Нет</v>
      </c>
      <c r="R236" t="str">
        <f t="shared" si="78"/>
        <v>Основной</v>
      </c>
      <c r="S236" t="str">
        <f t="shared" si="79"/>
        <v>ГУТС</v>
      </c>
      <c r="T236" t="str">
        <f>""</f>
        <v/>
      </c>
      <c r="U236" t="str">
        <f t="shared" si="80"/>
        <v>Нет</v>
      </c>
      <c r="V236">
        <v>51.742554028725301</v>
      </c>
      <c r="W236">
        <v>36.1400500684977</v>
      </c>
      <c r="X236" t="str">
        <f>"20000004565997"</f>
        <v>20000004565997</v>
      </c>
    </row>
    <row r="237" spans="1:24" x14ac:dyDescent="0.25">
      <c r="A237">
        <v>907</v>
      </c>
      <c r="B237" t="str">
        <f t="shared" si="73"/>
        <v>Курск</v>
      </c>
      <c r="C237">
        <v>490446</v>
      </c>
      <c r="D237" t="str">
        <f>"М 1.5.10"</f>
        <v>М 1.5.10</v>
      </c>
      <c r="E237" t="str">
        <f t="shared" si="74"/>
        <v>Муфта оптическая</v>
      </c>
      <c r="F237" t="str">
        <f>"30.10.2013"</f>
        <v>30.10.2013</v>
      </c>
      <c r="G237" t="str">
        <f>""</f>
        <v/>
      </c>
      <c r="H237" t="str">
        <f>"М 1.5.10"</f>
        <v>М 1.5.10</v>
      </c>
      <c r="I237" t="str">
        <f>"МС 1.5"</f>
        <v>МС 1.5</v>
      </c>
      <c r="J237" t="str">
        <f>""</f>
        <v/>
      </c>
      <c r="K237" t="str">
        <f t="shared" si="75"/>
        <v>МТОК 96</v>
      </c>
      <c r="L237" t="str">
        <f t="shared" ref="L237:L256" si="93">"Опора"</f>
        <v>Опора</v>
      </c>
      <c r="M237" t="str">
        <f>"14.09.2013"</f>
        <v>14.09.2013</v>
      </c>
      <c r="N237" t="str">
        <f>"EmptySerial&lt;54082&gt;"</f>
        <v>EmptySerial&lt;54082&gt;</v>
      </c>
      <c r="O237" t="str">
        <f t="shared" si="92"/>
        <v>Нет</v>
      </c>
      <c r="P237" t="str">
        <f>""</f>
        <v/>
      </c>
      <c r="Q237" t="str">
        <f>"Да"</f>
        <v>Да</v>
      </c>
      <c r="R237" t="str">
        <f t="shared" si="78"/>
        <v>Основной</v>
      </c>
      <c r="S237" t="str">
        <f t="shared" si="79"/>
        <v>ГУТС</v>
      </c>
      <c r="T237" t="str">
        <f>""</f>
        <v/>
      </c>
      <c r="U237" t="str">
        <f t="shared" si="80"/>
        <v>Нет</v>
      </c>
      <c r="V237">
        <v>51.724522100000002</v>
      </c>
      <c r="W237">
        <v>36.1866786</v>
      </c>
      <c r="X237" t="str">
        <f>"20000004566603"</f>
        <v>20000004566603</v>
      </c>
    </row>
    <row r="238" spans="1:24" x14ac:dyDescent="0.25">
      <c r="A238">
        <v>907</v>
      </c>
      <c r="B238" t="str">
        <f t="shared" si="73"/>
        <v>Курск</v>
      </c>
      <c r="C238">
        <v>490450</v>
      </c>
      <c r="D238" t="str">
        <f>"М 1.5.11"</f>
        <v>М 1.5.11</v>
      </c>
      <c r="E238" t="str">
        <f t="shared" si="74"/>
        <v>Муфта оптическая</v>
      </c>
      <c r="F238" t="str">
        <f>"30.10.2013"</f>
        <v>30.10.2013</v>
      </c>
      <c r="G238" t="str">
        <f>""</f>
        <v/>
      </c>
      <c r="H238" t="str">
        <f>"М 1.5.11"</f>
        <v>М 1.5.11</v>
      </c>
      <c r="I238" t="str">
        <f>"МС 1.5"</f>
        <v>МС 1.5</v>
      </c>
      <c r="J238" t="str">
        <f>""</f>
        <v/>
      </c>
      <c r="K238" t="str">
        <f t="shared" si="75"/>
        <v>МТОК 96</v>
      </c>
      <c r="L238" t="str">
        <f t="shared" si="93"/>
        <v>Опора</v>
      </c>
      <c r="M238" t="str">
        <f>"30.10.2013"</f>
        <v>30.10.2013</v>
      </c>
      <c r="N238" t="str">
        <f>"EmptySerial&lt;54083&gt;"</f>
        <v>EmptySerial&lt;54083&gt;</v>
      </c>
      <c r="O238" t="str">
        <f t="shared" si="92"/>
        <v>Нет</v>
      </c>
      <c r="P238" t="str">
        <f>""</f>
        <v/>
      </c>
      <c r="Q238" t="str">
        <f>"Да"</f>
        <v>Да</v>
      </c>
      <c r="R238" t="str">
        <f t="shared" si="78"/>
        <v>Основной</v>
      </c>
      <c r="S238" t="str">
        <f t="shared" si="79"/>
        <v>ГУТС</v>
      </c>
      <c r="T238" t="str">
        <f>""</f>
        <v/>
      </c>
      <c r="U238" t="str">
        <f t="shared" si="80"/>
        <v>Нет</v>
      </c>
      <c r="V238">
        <v>51.724977959999997</v>
      </c>
      <c r="W238">
        <v>36.186226310000002</v>
      </c>
      <c r="X238" t="str">
        <f>"20000004566604"</f>
        <v>20000004566604</v>
      </c>
    </row>
    <row r="239" spans="1:24" x14ac:dyDescent="0.25">
      <c r="A239">
        <v>907</v>
      </c>
      <c r="B239" t="str">
        <f t="shared" si="73"/>
        <v>Курск</v>
      </c>
      <c r="C239">
        <v>491846</v>
      </c>
      <c r="D239" t="str">
        <f>"Т5.5"</f>
        <v>Т5.5</v>
      </c>
      <c r="E239" t="str">
        <f t="shared" si="74"/>
        <v>Муфта оптическая</v>
      </c>
      <c r="F239" t="str">
        <f>"03.12.2013"</f>
        <v>03.12.2013</v>
      </c>
      <c r="G239" t="str">
        <f>""</f>
        <v/>
      </c>
      <c r="H239" t="str">
        <f>"Т5.5"</f>
        <v>Т5.5</v>
      </c>
      <c r="I239" t="str">
        <f>"ТС"</f>
        <v>ТС</v>
      </c>
      <c r="J239" t="str">
        <f>""</f>
        <v/>
      </c>
      <c r="K239" t="str">
        <f t="shared" si="75"/>
        <v>МТОК 96</v>
      </c>
      <c r="L239" t="str">
        <f t="shared" si="93"/>
        <v>Опора</v>
      </c>
      <c r="M239" t="str">
        <f>"21.11.2013"</f>
        <v>21.11.2013</v>
      </c>
      <c r="N239" t="str">
        <f>"EmptySerial&lt;54403&gt;"</f>
        <v>EmptySerial&lt;54403&gt;</v>
      </c>
      <c r="O239" t="str">
        <f t="shared" si="92"/>
        <v>Нет</v>
      </c>
      <c r="P239" t="str">
        <f>""</f>
        <v/>
      </c>
      <c r="Q239" t="str">
        <f>"Нет"</f>
        <v>Нет</v>
      </c>
      <c r="R239" t="str">
        <f t="shared" si="78"/>
        <v>Основной</v>
      </c>
      <c r="S239" t="str">
        <f t="shared" si="79"/>
        <v>ГУТС</v>
      </c>
      <c r="T239" t="str">
        <f>""</f>
        <v/>
      </c>
      <c r="U239" t="str">
        <f t="shared" si="80"/>
        <v>Нет</v>
      </c>
      <c r="V239">
        <v>51.72975228</v>
      </c>
      <c r="W239">
        <v>36.186286629999998</v>
      </c>
      <c r="X239" t="str">
        <f>"20000004566699"</f>
        <v>20000004566699</v>
      </c>
    </row>
    <row r="240" spans="1:24" x14ac:dyDescent="0.25">
      <c r="A240">
        <v>907</v>
      </c>
      <c r="B240" t="str">
        <f t="shared" si="73"/>
        <v>Курск</v>
      </c>
      <c r="C240">
        <v>491850</v>
      </c>
      <c r="D240" t="str">
        <f>"Т5.6"</f>
        <v>Т5.6</v>
      </c>
      <c r="E240" t="str">
        <f t="shared" si="74"/>
        <v>Муфта оптическая</v>
      </c>
      <c r="F240" t="str">
        <f>"03.12.2013"</f>
        <v>03.12.2013</v>
      </c>
      <c r="G240" t="str">
        <f>""</f>
        <v/>
      </c>
      <c r="H240" t="str">
        <f>"Т5.6"</f>
        <v>Т5.6</v>
      </c>
      <c r="I240" t="str">
        <f>"ТС"</f>
        <v>ТС</v>
      </c>
      <c r="J240" t="str">
        <f>""</f>
        <v/>
      </c>
      <c r="K240" t="str">
        <f t="shared" si="75"/>
        <v>МТОК 96</v>
      </c>
      <c r="L240" t="str">
        <f t="shared" si="93"/>
        <v>Опора</v>
      </c>
      <c r="M240" t="str">
        <f>"21.11.2013"</f>
        <v>21.11.2013</v>
      </c>
      <c r="N240" t="str">
        <f>"EmptySerial&lt;54404&gt;"</f>
        <v>EmptySerial&lt;54404&gt;</v>
      </c>
      <c r="O240" t="str">
        <f t="shared" si="92"/>
        <v>Нет</v>
      </c>
      <c r="P240" t="str">
        <f>""</f>
        <v/>
      </c>
      <c r="Q240" t="str">
        <f>"Нет"</f>
        <v>Нет</v>
      </c>
      <c r="R240" t="str">
        <f t="shared" si="78"/>
        <v>Основной</v>
      </c>
      <c r="S240" t="str">
        <f t="shared" si="79"/>
        <v>ГУТС</v>
      </c>
      <c r="T240" t="str">
        <f>""</f>
        <v/>
      </c>
      <c r="U240" t="str">
        <f t="shared" si="80"/>
        <v>Нет</v>
      </c>
      <c r="V240">
        <v>51.730239186296998</v>
      </c>
      <c r="W240">
        <v>36.190234534442403</v>
      </c>
      <c r="X240" t="str">
        <f>"20000004566700"</f>
        <v>20000004566700</v>
      </c>
    </row>
    <row r="241" spans="1:24" x14ac:dyDescent="0.25">
      <c r="A241">
        <v>907</v>
      </c>
      <c r="B241" t="str">
        <f t="shared" si="73"/>
        <v>Курск</v>
      </c>
      <c r="C241">
        <v>491854</v>
      </c>
      <c r="D241" t="str">
        <f>"М2.3.15"</f>
        <v>М2.3.15</v>
      </c>
      <c r="E241" t="str">
        <f t="shared" si="74"/>
        <v>Муфта оптическая</v>
      </c>
      <c r="F241" t="str">
        <f>"03.12.2013"</f>
        <v>03.12.2013</v>
      </c>
      <c r="G241" t="str">
        <f>""</f>
        <v/>
      </c>
      <c r="H241" t="str">
        <f>"М2.3.15"</f>
        <v>М2.3.15</v>
      </c>
      <c r="I241" t="str">
        <f>"МС 2.3"</f>
        <v>МС 2.3</v>
      </c>
      <c r="J241" t="str">
        <f>""</f>
        <v/>
      </c>
      <c r="K241" t="str">
        <f t="shared" si="75"/>
        <v>МТОК 96</v>
      </c>
      <c r="L241" t="str">
        <f t="shared" si="93"/>
        <v>Опора</v>
      </c>
      <c r="M241" t="str">
        <f>"02.10.2012"</f>
        <v>02.10.2012</v>
      </c>
      <c r="N241" t="str">
        <f>"EmptySerial&lt;54405&gt;"</f>
        <v>EmptySerial&lt;54405&gt;</v>
      </c>
      <c r="O241" t="str">
        <f t="shared" si="92"/>
        <v>Нет</v>
      </c>
      <c r="P241" t="str">
        <f>""</f>
        <v/>
      </c>
      <c r="Q241" t="str">
        <f>"Да"</f>
        <v>Да</v>
      </c>
      <c r="R241" t="str">
        <f t="shared" si="78"/>
        <v>Основной</v>
      </c>
      <c r="S241" t="str">
        <f t="shared" si="79"/>
        <v>ГУТС</v>
      </c>
      <c r="T241" t="str">
        <f>""</f>
        <v/>
      </c>
      <c r="U241" t="str">
        <f t="shared" si="80"/>
        <v>Нет</v>
      </c>
      <c r="V241">
        <v>51.729370029999998</v>
      </c>
      <c r="W241">
        <v>36.145346089999997</v>
      </c>
      <c r="X241" t="str">
        <f>"20000004566701"</f>
        <v>20000004566701</v>
      </c>
    </row>
    <row r="242" spans="1:24" x14ac:dyDescent="0.25">
      <c r="A242">
        <v>907</v>
      </c>
      <c r="B242" t="str">
        <f t="shared" si="73"/>
        <v>Курск</v>
      </c>
      <c r="C242">
        <v>492250</v>
      </c>
      <c r="D242" t="str">
        <f>"Т3.8"</f>
        <v>Т3.8</v>
      </c>
      <c r="E242" t="str">
        <f t="shared" si="74"/>
        <v>Муфта оптическая</v>
      </c>
      <c r="F242" t="str">
        <f>"06.12.2013"</f>
        <v>06.12.2013</v>
      </c>
      <c r="G242" t="str">
        <f>""</f>
        <v/>
      </c>
      <c r="H242" t="str">
        <f>"Т3.8"</f>
        <v>Т3.8</v>
      </c>
      <c r="I242" t="str">
        <f>"ТС"</f>
        <v>ТС</v>
      </c>
      <c r="J242" t="str">
        <f>""</f>
        <v/>
      </c>
      <c r="K242" t="str">
        <f t="shared" si="75"/>
        <v>МТОК 96</v>
      </c>
      <c r="L242" t="str">
        <f t="shared" si="93"/>
        <v>Опора</v>
      </c>
      <c r="M242" t="str">
        <f>"02.12.2013"</f>
        <v>02.12.2013</v>
      </c>
      <c r="N242" t="str">
        <f>"EmptySerial&lt;54465&gt;"</f>
        <v>EmptySerial&lt;54465&gt;</v>
      </c>
      <c r="O242" t="str">
        <f t="shared" si="92"/>
        <v>Нет</v>
      </c>
      <c r="P242" t="str">
        <f>""</f>
        <v/>
      </c>
      <c r="Q242" t="str">
        <f>"Нет"</f>
        <v>Нет</v>
      </c>
      <c r="R242" t="str">
        <f t="shared" si="78"/>
        <v>Основной</v>
      </c>
      <c r="S242" t="str">
        <f t="shared" si="79"/>
        <v>ГУТС</v>
      </c>
      <c r="T242" t="str">
        <f>""</f>
        <v/>
      </c>
      <c r="U242" t="str">
        <f t="shared" si="80"/>
        <v>Нет</v>
      </c>
      <c r="V242">
        <v>51.718936599999999</v>
      </c>
      <c r="W242">
        <v>36.188326480000001</v>
      </c>
      <c r="X242" t="str">
        <f>"20000004566705"</f>
        <v>20000004566705</v>
      </c>
    </row>
    <row r="243" spans="1:24" x14ac:dyDescent="0.25">
      <c r="A243">
        <v>907</v>
      </c>
      <c r="B243" t="str">
        <f t="shared" si="73"/>
        <v>Курск</v>
      </c>
      <c r="C243">
        <v>492646</v>
      </c>
      <c r="D243" t="str">
        <f>"М2.7.1"</f>
        <v>М2.7.1</v>
      </c>
      <c r="E243" t="str">
        <f t="shared" si="74"/>
        <v>Муфта оптическая</v>
      </c>
      <c r="F243" t="str">
        <f>"11.12.2013"</f>
        <v>11.12.2013</v>
      </c>
      <c r="G243" t="str">
        <f>""</f>
        <v/>
      </c>
      <c r="H243" t="str">
        <f>"М2.7.1"</f>
        <v>М2.7.1</v>
      </c>
      <c r="I243" t="str">
        <f>"МС 2.7"</f>
        <v>МС 2.7</v>
      </c>
      <c r="J243" t="str">
        <f>""</f>
        <v/>
      </c>
      <c r="K243" t="str">
        <f t="shared" si="75"/>
        <v>МТОК 96</v>
      </c>
      <c r="L243" t="str">
        <f t="shared" si="93"/>
        <v>Опора</v>
      </c>
      <c r="M243" t="str">
        <f>"22.11.2013"</f>
        <v>22.11.2013</v>
      </c>
      <c r="N243" t="str">
        <f>"EmptySerial&lt;54502&gt;"</f>
        <v>EmptySerial&lt;54502&gt;</v>
      </c>
      <c r="O243" t="str">
        <f t="shared" si="92"/>
        <v>Нет</v>
      </c>
      <c r="P243" t="str">
        <f>""</f>
        <v/>
      </c>
      <c r="Q243" t="str">
        <f>"Нет"</f>
        <v>Нет</v>
      </c>
      <c r="R243" t="str">
        <f t="shared" si="78"/>
        <v>Основной</v>
      </c>
      <c r="S243" t="str">
        <f t="shared" si="79"/>
        <v>ГУТС</v>
      </c>
      <c r="T243" t="str">
        <f>""</f>
        <v/>
      </c>
      <c r="U243" t="str">
        <f t="shared" si="80"/>
        <v>Нет</v>
      </c>
      <c r="V243">
        <v>51.727643280000002</v>
      </c>
      <c r="W243">
        <v>36.14067301</v>
      </c>
      <c r="X243" t="str">
        <f>"20000004566711"</f>
        <v>20000004566711</v>
      </c>
    </row>
    <row r="244" spans="1:24" x14ac:dyDescent="0.25">
      <c r="A244">
        <v>907</v>
      </c>
      <c r="B244" t="str">
        <f t="shared" si="73"/>
        <v>Курск</v>
      </c>
      <c r="C244">
        <v>498666</v>
      </c>
      <c r="D244" t="str">
        <f>"М 3.2.10"</f>
        <v>М 3.2.10</v>
      </c>
      <c r="E244" t="str">
        <f t="shared" si="74"/>
        <v>Муфта оптическая</v>
      </c>
      <c r="F244" t="str">
        <f>"19.01.2015"</f>
        <v>19.01.2015</v>
      </c>
      <c r="G244" t="str">
        <f>""</f>
        <v/>
      </c>
      <c r="H244" t="str">
        <f>"М 3.2.10"</f>
        <v>М 3.2.10</v>
      </c>
      <c r="I244" t="str">
        <f>"МС 3.2"</f>
        <v>МС 3.2</v>
      </c>
      <c r="J244" t="str">
        <f>""</f>
        <v/>
      </c>
      <c r="K244" t="str">
        <f t="shared" si="75"/>
        <v>МТОК 96</v>
      </c>
      <c r="L244" t="str">
        <f t="shared" si="93"/>
        <v>Опора</v>
      </c>
      <c r="M244" t="str">
        <f>"19.01.2015"</f>
        <v>19.01.2015</v>
      </c>
      <c r="N244" t="str">
        <f>"EmptySerial&lt;56763&gt;"</f>
        <v>EmptySerial&lt;56763&gt;</v>
      </c>
      <c r="O244" t="str">
        <f t="shared" si="92"/>
        <v>Нет</v>
      </c>
      <c r="P244" t="str">
        <f>""</f>
        <v/>
      </c>
      <c r="Q244" t="str">
        <f>"Да"</f>
        <v>Да</v>
      </c>
      <c r="R244" t="str">
        <f t="shared" si="78"/>
        <v>Основной</v>
      </c>
      <c r="S244" t="str">
        <f t="shared" si="79"/>
        <v>ГУТС</v>
      </c>
      <c r="T244" t="str">
        <f>""</f>
        <v/>
      </c>
      <c r="U244" t="str">
        <f t="shared" si="80"/>
        <v>Нет</v>
      </c>
      <c r="V244">
        <v>51.761552020000003</v>
      </c>
      <c r="W244">
        <v>36.188124979999998</v>
      </c>
      <c r="X244" t="str">
        <f>"20000004567487"</f>
        <v>20000004567487</v>
      </c>
    </row>
    <row r="245" spans="1:24" x14ac:dyDescent="0.25">
      <c r="A245">
        <v>907</v>
      </c>
      <c r="B245" t="str">
        <f t="shared" si="73"/>
        <v>Курск</v>
      </c>
      <c r="C245">
        <v>498670</v>
      </c>
      <c r="D245" t="str">
        <f>"М 3.2.9"</f>
        <v>М 3.2.9</v>
      </c>
      <c r="E245" t="str">
        <f t="shared" si="74"/>
        <v>Муфта оптическая</v>
      </c>
      <c r="F245" t="str">
        <f>"19.01.2015"</f>
        <v>19.01.2015</v>
      </c>
      <c r="G245" t="str">
        <f>""</f>
        <v/>
      </c>
      <c r="H245" t="str">
        <f>"М 3.2.9"</f>
        <v>М 3.2.9</v>
      </c>
      <c r="I245" t="str">
        <f>"МС 3.2"</f>
        <v>МС 3.2</v>
      </c>
      <c r="J245" t="str">
        <f>""</f>
        <v/>
      </c>
      <c r="K245" t="str">
        <f t="shared" si="75"/>
        <v>МТОК 96</v>
      </c>
      <c r="L245" t="str">
        <f t="shared" si="93"/>
        <v>Опора</v>
      </c>
      <c r="M245" t="str">
        <f>"19.01.2015"</f>
        <v>19.01.2015</v>
      </c>
      <c r="N245" t="str">
        <f>"EmptySerial&lt;56764&gt;"</f>
        <v>EmptySerial&lt;56764&gt;</v>
      </c>
      <c r="O245" t="str">
        <f t="shared" si="92"/>
        <v>Нет</v>
      </c>
      <c r="P245" t="str">
        <f>""</f>
        <v/>
      </c>
      <c r="Q245" t="str">
        <f>"Да"</f>
        <v>Да</v>
      </c>
      <c r="R245" t="str">
        <f t="shared" si="78"/>
        <v>Основной</v>
      </c>
      <c r="S245" t="str">
        <f t="shared" si="79"/>
        <v>ГУТС</v>
      </c>
      <c r="T245" t="str">
        <f>""</f>
        <v/>
      </c>
      <c r="U245" t="str">
        <f t="shared" si="80"/>
        <v>Нет</v>
      </c>
      <c r="V245">
        <v>51.760347179999997</v>
      </c>
      <c r="W245">
        <v>36.186943130000003</v>
      </c>
      <c r="X245" t="str">
        <f>"20000004567488"</f>
        <v>20000004567488</v>
      </c>
    </row>
    <row r="246" spans="1:24" x14ac:dyDescent="0.25">
      <c r="A246">
        <v>907</v>
      </c>
      <c r="B246" t="str">
        <f t="shared" si="73"/>
        <v>Курск</v>
      </c>
      <c r="C246">
        <v>501271</v>
      </c>
      <c r="D246" t="str">
        <f>"М 5.3.10"</f>
        <v>М 5.3.10</v>
      </c>
      <c r="E246" t="str">
        <f t="shared" si="74"/>
        <v>Муфта оптическая</v>
      </c>
      <c r="F246" t="str">
        <f>"15.06.2015"</f>
        <v>15.06.2015</v>
      </c>
      <c r="G246" t="str">
        <f>""</f>
        <v/>
      </c>
      <c r="H246" t="str">
        <f>"М 5.3.10"</f>
        <v>М 5.3.10</v>
      </c>
      <c r="I246" t="str">
        <f>"МС 5.3"</f>
        <v>МС 5.3</v>
      </c>
      <c r="J246" t="str">
        <f>""</f>
        <v/>
      </c>
      <c r="K246" t="str">
        <f t="shared" si="75"/>
        <v>МТОК 96</v>
      </c>
      <c r="L246" t="str">
        <f t="shared" si="93"/>
        <v>Опора</v>
      </c>
      <c r="M246" t="str">
        <f>"15.06.2015"</f>
        <v>15.06.2015</v>
      </c>
      <c r="N246" t="str">
        <f>"EmptySerial&lt;57543&gt;"</f>
        <v>EmptySerial&lt;57543&gt;</v>
      </c>
      <c r="O246" t="str">
        <f t="shared" si="92"/>
        <v>Нет</v>
      </c>
      <c r="P246" t="str">
        <f>""</f>
        <v/>
      </c>
      <c r="Q246" t="str">
        <f>"Да"</f>
        <v>Да</v>
      </c>
      <c r="R246" t="str">
        <f t="shared" si="78"/>
        <v>Основной</v>
      </c>
      <c r="S246" t="str">
        <f t="shared" si="79"/>
        <v>ГУТС</v>
      </c>
      <c r="T246" t="str">
        <f>""</f>
        <v/>
      </c>
      <c r="U246" t="str">
        <f t="shared" si="80"/>
        <v>Нет</v>
      </c>
      <c r="V246">
        <v>51.670765099999997</v>
      </c>
      <c r="W246">
        <v>36.153484249999998</v>
      </c>
      <c r="X246" t="str">
        <f>"20000004567561"</f>
        <v>20000004567561</v>
      </c>
    </row>
    <row r="247" spans="1:24" x14ac:dyDescent="0.25">
      <c r="A247">
        <v>907</v>
      </c>
      <c r="B247" t="str">
        <f t="shared" si="73"/>
        <v>Курск</v>
      </c>
      <c r="C247">
        <v>501466</v>
      </c>
      <c r="D247" t="str">
        <f>"Т 3.11"</f>
        <v>Т 3.11</v>
      </c>
      <c r="E247" t="str">
        <f t="shared" si="74"/>
        <v>Муфта оптическая</v>
      </c>
      <c r="F247" t="str">
        <f>"16.06.2015"</f>
        <v>16.06.2015</v>
      </c>
      <c r="G247" t="str">
        <f>""</f>
        <v/>
      </c>
      <c r="H247" t="str">
        <f>"Т 3.11"</f>
        <v>Т 3.11</v>
      </c>
      <c r="I247" t="str">
        <f>"ТС"</f>
        <v>ТС</v>
      </c>
      <c r="J247" t="str">
        <f>""</f>
        <v/>
      </c>
      <c r="K247" t="str">
        <f t="shared" si="75"/>
        <v>МТОК 96</v>
      </c>
      <c r="L247" t="str">
        <f t="shared" si="93"/>
        <v>Опора</v>
      </c>
      <c r="M247" t="str">
        <f>"09.06.2015"</f>
        <v>09.06.2015</v>
      </c>
      <c r="N247" t="str">
        <f>"EmptySerial&lt;57563&gt;"</f>
        <v>EmptySerial&lt;57563&gt;</v>
      </c>
      <c r="O247" t="str">
        <f t="shared" si="92"/>
        <v>Нет</v>
      </c>
      <c r="P247" t="str">
        <f>""</f>
        <v/>
      </c>
      <c r="Q247" t="str">
        <f>"Да"</f>
        <v>Да</v>
      </c>
      <c r="R247" t="str">
        <f t="shared" si="78"/>
        <v>Основной</v>
      </c>
      <c r="S247" t="str">
        <f t="shared" si="79"/>
        <v>ГУТС</v>
      </c>
      <c r="T247" t="str">
        <f>""</f>
        <v/>
      </c>
      <c r="U247" t="str">
        <f t="shared" si="80"/>
        <v>Нет</v>
      </c>
      <c r="V247">
        <v>51.706355819999999</v>
      </c>
      <c r="W247">
        <v>36.17435485</v>
      </c>
      <c r="X247" t="str">
        <f>"20000004567563"</f>
        <v>20000004567563</v>
      </c>
    </row>
    <row r="248" spans="1:24" x14ac:dyDescent="0.25">
      <c r="A248">
        <v>907</v>
      </c>
      <c r="B248" t="str">
        <f t="shared" si="73"/>
        <v>Курск</v>
      </c>
      <c r="C248">
        <v>501470</v>
      </c>
      <c r="D248" t="str">
        <f>"Т 3.10"</f>
        <v>Т 3.10</v>
      </c>
      <c r="E248" t="str">
        <f t="shared" si="74"/>
        <v>Муфта оптическая</v>
      </c>
      <c r="F248" t="str">
        <f>"16.06.2015"</f>
        <v>16.06.2015</v>
      </c>
      <c r="G248" t="str">
        <f>""</f>
        <v/>
      </c>
      <c r="H248" t="str">
        <f>"Т 3.10"</f>
        <v>Т 3.10</v>
      </c>
      <c r="I248" t="str">
        <f>"ТС"</f>
        <v>ТС</v>
      </c>
      <c r="J248" t="str">
        <f>""</f>
        <v/>
      </c>
      <c r="K248" t="str">
        <f t="shared" si="75"/>
        <v>МТОК 96</v>
      </c>
      <c r="L248" t="str">
        <f t="shared" si="93"/>
        <v>Опора</v>
      </c>
      <c r="M248" t="str">
        <f>"09.06.2015"</f>
        <v>09.06.2015</v>
      </c>
      <c r="N248" t="str">
        <f>"EmptySerial&lt;57564&gt;"</f>
        <v>EmptySerial&lt;57564&gt;</v>
      </c>
      <c r="O248" t="str">
        <f t="shared" si="92"/>
        <v>Нет</v>
      </c>
      <c r="P248" t="str">
        <f>""</f>
        <v/>
      </c>
      <c r="Q248" t="str">
        <f>"Да"</f>
        <v>Да</v>
      </c>
      <c r="R248" t="str">
        <f t="shared" si="78"/>
        <v>Основной</v>
      </c>
      <c r="S248" t="str">
        <f t="shared" si="79"/>
        <v>ГУТС</v>
      </c>
      <c r="T248" t="str">
        <f>""</f>
        <v/>
      </c>
      <c r="U248" t="str">
        <f t="shared" si="80"/>
        <v>Нет</v>
      </c>
      <c r="V248">
        <v>51.706054969999997</v>
      </c>
      <c r="W248">
        <v>36.173513980000003</v>
      </c>
      <c r="X248" t="str">
        <f>"20000004567564"</f>
        <v>20000004567564</v>
      </c>
    </row>
    <row r="249" spans="1:24" x14ac:dyDescent="0.25">
      <c r="A249">
        <v>907</v>
      </c>
      <c r="B249" t="str">
        <f t="shared" si="73"/>
        <v>Курск</v>
      </c>
      <c r="C249">
        <v>502666</v>
      </c>
      <c r="D249" t="str">
        <f>"Т6.5"</f>
        <v>Т6.5</v>
      </c>
      <c r="E249" t="str">
        <f t="shared" si="74"/>
        <v>Муфта оптическая</v>
      </c>
      <c r="F249" t="str">
        <f>"18.08.2015"</f>
        <v>18.08.2015</v>
      </c>
      <c r="G249" t="str">
        <f>""</f>
        <v/>
      </c>
      <c r="H249" t="str">
        <f>"Т6.5"</f>
        <v>Т6.5</v>
      </c>
      <c r="I249" t="str">
        <f>"ТС"</f>
        <v>ТС</v>
      </c>
      <c r="J249" t="str">
        <f>""</f>
        <v/>
      </c>
      <c r="K249" t="str">
        <f>"МОГ-М"</f>
        <v>МОГ-М</v>
      </c>
      <c r="L249" t="str">
        <f t="shared" si="93"/>
        <v>Опора</v>
      </c>
      <c r="M249" t="str">
        <f>"18.02.2015"</f>
        <v>18.02.2015</v>
      </c>
      <c r="N249" t="str">
        <f>"EmptySerial&lt;58203&gt;"</f>
        <v>EmptySerial&lt;58203&gt;</v>
      </c>
      <c r="O249" t="str">
        <f t="shared" si="92"/>
        <v>Нет</v>
      </c>
      <c r="P249" t="str">
        <f>""</f>
        <v/>
      </c>
      <c r="Q249" t="str">
        <f>"Нет"</f>
        <v>Нет</v>
      </c>
      <c r="R249" t="str">
        <f t="shared" si="78"/>
        <v>Основной</v>
      </c>
      <c r="S249" t="str">
        <f t="shared" si="79"/>
        <v>ГУТС</v>
      </c>
      <c r="T249" t="str">
        <f>""</f>
        <v/>
      </c>
      <c r="U249" t="str">
        <f t="shared" si="80"/>
        <v>Нет</v>
      </c>
      <c r="V249">
        <v>51.747781770000003</v>
      </c>
      <c r="W249">
        <v>36.189248149999997</v>
      </c>
      <c r="X249" t="str">
        <f>"20000004567664"</f>
        <v>20000004567664</v>
      </c>
    </row>
    <row r="250" spans="1:24" x14ac:dyDescent="0.25">
      <c r="A250">
        <v>907</v>
      </c>
      <c r="B250" t="str">
        <f t="shared" si="73"/>
        <v>Курск</v>
      </c>
      <c r="C250">
        <v>502670</v>
      </c>
      <c r="D250" t="str">
        <f>"М 3.4.14"</f>
        <v>М 3.4.14</v>
      </c>
      <c r="E250" t="str">
        <f t="shared" si="74"/>
        <v>Муфта оптическая</v>
      </c>
      <c r="F250" t="str">
        <f>"18.08.2015"</f>
        <v>18.08.2015</v>
      </c>
      <c r="G250" t="str">
        <f>""</f>
        <v/>
      </c>
      <c r="H250" t="str">
        <f>"М 3.4.14"</f>
        <v>М 3.4.14</v>
      </c>
      <c r="I250" t="str">
        <f>"ТС"</f>
        <v>ТС</v>
      </c>
      <c r="J250" t="str">
        <f>""</f>
        <v/>
      </c>
      <c r="K250" t="str">
        <f>"МОГ-М"</f>
        <v>МОГ-М</v>
      </c>
      <c r="L250" t="str">
        <f t="shared" si="93"/>
        <v>Опора</v>
      </c>
      <c r="M250" t="str">
        <f>"18.02.2015"</f>
        <v>18.02.2015</v>
      </c>
      <c r="N250" t="str">
        <f>"EmptySerial&lt;58204&gt;"</f>
        <v>EmptySerial&lt;58204&gt;</v>
      </c>
      <c r="O250" t="str">
        <f t="shared" si="92"/>
        <v>Нет</v>
      </c>
      <c r="P250" t="str">
        <f>""</f>
        <v/>
      </c>
      <c r="Q250" t="str">
        <f>"Нет"</f>
        <v>Нет</v>
      </c>
      <c r="R250" t="str">
        <f t="shared" si="78"/>
        <v>Основной</v>
      </c>
      <c r="S250" t="str">
        <f t="shared" si="79"/>
        <v>ГУТС</v>
      </c>
      <c r="T250" t="str">
        <f>""</f>
        <v/>
      </c>
      <c r="U250" t="str">
        <f t="shared" si="80"/>
        <v>Нет</v>
      </c>
      <c r="V250">
        <v>51.749364309999997</v>
      </c>
      <c r="W250">
        <v>36.190034050000001</v>
      </c>
      <c r="X250" t="str">
        <f>"20000004567665"</f>
        <v>20000004567665</v>
      </c>
    </row>
    <row r="251" spans="1:24" x14ac:dyDescent="0.25">
      <c r="A251">
        <v>907</v>
      </c>
      <c r="B251" t="str">
        <f t="shared" si="73"/>
        <v>Курск</v>
      </c>
      <c r="C251">
        <v>506266</v>
      </c>
      <c r="D251" t="str">
        <f>"М 5.3.9"</f>
        <v>М 5.3.9</v>
      </c>
      <c r="E251" t="str">
        <f t="shared" si="74"/>
        <v>Муфта оптическая</v>
      </c>
      <c r="F251" t="str">
        <f>"12.11.2015"</f>
        <v>12.11.2015</v>
      </c>
      <c r="G251" t="str">
        <f>""</f>
        <v/>
      </c>
      <c r="H251" t="str">
        <f>"М 5.3.9"</f>
        <v>М 5.3.9</v>
      </c>
      <c r="I251" t="str">
        <f>"МС 5.3"</f>
        <v>МС 5.3</v>
      </c>
      <c r="J251" t="str">
        <f>""</f>
        <v/>
      </c>
      <c r="K251" t="str">
        <f t="shared" ref="K251:K276" si="94">"МТОК 96"</f>
        <v>МТОК 96</v>
      </c>
      <c r="L251" t="str">
        <f t="shared" si="93"/>
        <v>Опора</v>
      </c>
      <c r="M251" t="str">
        <f>"15.07.2015"</f>
        <v>15.07.2015</v>
      </c>
      <c r="N251" t="str">
        <f>"EmptySerial&lt;59588&gt;"</f>
        <v>EmptySerial&lt;59588&gt;</v>
      </c>
      <c r="O251" t="str">
        <f t="shared" si="92"/>
        <v>Нет</v>
      </c>
      <c r="P251" t="str">
        <f>""</f>
        <v/>
      </c>
      <c r="Q251" t="str">
        <f>"Нет"</f>
        <v>Нет</v>
      </c>
      <c r="R251" t="str">
        <f t="shared" si="78"/>
        <v>Основной</v>
      </c>
      <c r="S251" t="str">
        <f t="shared" si="79"/>
        <v>ГУТС</v>
      </c>
      <c r="T251" t="str">
        <f>""</f>
        <v/>
      </c>
      <c r="U251" t="str">
        <f t="shared" si="80"/>
        <v>Нет</v>
      </c>
      <c r="V251">
        <v>51.665774059999997</v>
      </c>
      <c r="W251">
        <v>36.139566270000003</v>
      </c>
      <c r="X251" t="str">
        <f>"20000004567885"</f>
        <v>20000004567885</v>
      </c>
    </row>
    <row r="252" spans="1:24" x14ac:dyDescent="0.25">
      <c r="A252">
        <v>907</v>
      </c>
      <c r="B252" t="str">
        <f t="shared" si="73"/>
        <v>Курск</v>
      </c>
      <c r="C252">
        <v>506273</v>
      </c>
      <c r="D252" t="str">
        <f>"Т 5.7"</f>
        <v>Т 5.7</v>
      </c>
      <c r="E252" t="str">
        <f t="shared" si="74"/>
        <v>Муфта оптическая</v>
      </c>
      <c r="F252" t="str">
        <f>"12.11.2015"</f>
        <v>12.11.2015</v>
      </c>
      <c r="G252" t="str">
        <f>""</f>
        <v/>
      </c>
      <c r="H252" t="str">
        <f>"Т 5.7"</f>
        <v>Т 5.7</v>
      </c>
      <c r="I252" t="str">
        <f>"ТС"</f>
        <v>ТС</v>
      </c>
      <c r="J252" t="str">
        <f>""</f>
        <v/>
      </c>
      <c r="K252" t="str">
        <f t="shared" si="94"/>
        <v>МТОК 96</v>
      </c>
      <c r="L252" t="str">
        <f t="shared" si="93"/>
        <v>Опора</v>
      </c>
      <c r="M252" t="str">
        <f>"25.12.2014"</f>
        <v>25.12.2014</v>
      </c>
      <c r="N252" t="str">
        <f>"EmptySerial&lt;59590&gt;"</f>
        <v>EmptySerial&lt;59590&gt;</v>
      </c>
      <c r="O252" t="str">
        <f t="shared" si="92"/>
        <v>Нет</v>
      </c>
      <c r="P252" t="str">
        <f>""</f>
        <v/>
      </c>
      <c r="Q252" t="str">
        <f>"Нет"</f>
        <v>Нет</v>
      </c>
      <c r="R252" t="str">
        <f t="shared" si="78"/>
        <v>Основной</v>
      </c>
      <c r="S252" t="str">
        <f t="shared" si="79"/>
        <v>ГУТС</v>
      </c>
      <c r="T252" t="str">
        <f>""</f>
        <v/>
      </c>
      <c r="U252" t="str">
        <f t="shared" si="80"/>
        <v>Нет</v>
      </c>
      <c r="V252">
        <v>51.73030533</v>
      </c>
      <c r="W252">
        <v>36.188327149999999</v>
      </c>
      <c r="X252" t="str">
        <f>"20000004567886"</f>
        <v>20000004567886</v>
      </c>
    </row>
    <row r="253" spans="1:24" x14ac:dyDescent="0.25">
      <c r="A253">
        <v>907</v>
      </c>
      <c r="B253" t="str">
        <f t="shared" si="73"/>
        <v>Курск</v>
      </c>
      <c r="C253">
        <v>506282</v>
      </c>
      <c r="D253" t="str">
        <f>"Т 8.3"</f>
        <v>Т 8.3</v>
      </c>
      <c r="E253" t="str">
        <f t="shared" si="74"/>
        <v>Муфта оптическая</v>
      </c>
      <c r="F253" t="str">
        <f>"12.11.2015"</f>
        <v>12.11.2015</v>
      </c>
      <c r="G253" t="str">
        <f>""</f>
        <v/>
      </c>
      <c r="H253" t="str">
        <f>"Т 8.3"</f>
        <v>Т 8.3</v>
      </c>
      <c r="I253" t="str">
        <f>"ТС"</f>
        <v>ТС</v>
      </c>
      <c r="J253" t="str">
        <f>""</f>
        <v/>
      </c>
      <c r="K253" t="str">
        <f t="shared" si="94"/>
        <v>МТОК 96</v>
      </c>
      <c r="L253" t="str">
        <f t="shared" si="93"/>
        <v>Опора</v>
      </c>
      <c r="M253" t="str">
        <f>"17.06.2015"</f>
        <v>17.06.2015</v>
      </c>
      <c r="N253" t="str">
        <f>"EmptySerial&lt;59591&gt;"</f>
        <v>EmptySerial&lt;59591&gt;</v>
      </c>
      <c r="O253" t="str">
        <f t="shared" si="92"/>
        <v>Нет</v>
      </c>
      <c r="P253" t="str">
        <f>""</f>
        <v/>
      </c>
      <c r="Q253" t="str">
        <f>"Да"</f>
        <v>Да</v>
      </c>
      <c r="R253" t="str">
        <f t="shared" si="78"/>
        <v>Основной</v>
      </c>
      <c r="S253" t="str">
        <f t="shared" si="79"/>
        <v>ГУТС</v>
      </c>
      <c r="T253" t="str">
        <f>""</f>
        <v/>
      </c>
      <c r="U253" t="str">
        <f t="shared" si="80"/>
        <v>Нет</v>
      </c>
      <c r="V253">
        <v>51.72564088</v>
      </c>
      <c r="W253">
        <v>36.182985530000003</v>
      </c>
      <c r="X253" t="str">
        <f>"20000004567887"</f>
        <v>20000004567887</v>
      </c>
    </row>
    <row r="254" spans="1:24" x14ac:dyDescent="0.25">
      <c r="A254">
        <v>907</v>
      </c>
      <c r="B254" t="str">
        <f t="shared" si="73"/>
        <v>Курск</v>
      </c>
      <c r="C254">
        <v>506286</v>
      </c>
      <c r="D254" t="str">
        <f>"Т 8.2"</f>
        <v>Т 8.2</v>
      </c>
      <c r="E254" t="str">
        <f t="shared" si="74"/>
        <v>Муфта оптическая</v>
      </c>
      <c r="F254" t="str">
        <f>"12.11.2015"</f>
        <v>12.11.2015</v>
      </c>
      <c r="G254" t="str">
        <f>""</f>
        <v/>
      </c>
      <c r="H254" t="str">
        <f>"Т 8.2"</f>
        <v>Т 8.2</v>
      </c>
      <c r="I254" t="str">
        <f>"ТС"</f>
        <v>ТС</v>
      </c>
      <c r="J254" t="str">
        <f>""</f>
        <v/>
      </c>
      <c r="K254" t="str">
        <f t="shared" si="94"/>
        <v>МТОК 96</v>
      </c>
      <c r="L254" t="str">
        <f t="shared" si="93"/>
        <v>Опора</v>
      </c>
      <c r="M254" t="str">
        <f>"17.06.2015"</f>
        <v>17.06.2015</v>
      </c>
      <c r="N254" t="str">
        <f>"EmptySerial&lt;59592&gt;"</f>
        <v>EmptySerial&lt;59592&gt;</v>
      </c>
      <c r="O254" t="str">
        <f t="shared" si="92"/>
        <v>Нет</v>
      </c>
      <c r="P254" t="str">
        <f>""</f>
        <v/>
      </c>
      <c r="Q254" t="str">
        <f>"Да"</f>
        <v>Да</v>
      </c>
      <c r="R254" t="str">
        <f t="shared" si="78"/>
        <v>Основной</v>
      </c>
      <c r="S254" t="str">
        <f t="shared" si="79"/>
        <v>ГУТС</v>
      </c>
      <c r="T254" t="str">
        <f>""</f>
        <v/>
      </c>
      <c r="U254" t="str">
        <f t="shared" si="80"/>
        <v>Нет</v>
      </c>
      <c r="V254">
        <v>51.72519956</v>
      </c>
      <c r="W254">
        <v>36.183119300000001</v>
      </c>
      <c r="X254" t="str">
        <f>"20000004567888"</f>
        <v>20000004567888</v>
      </c>
    </row>
    <row r="255" spans="1:24" x14ac:dyDescent="0.25">
      <c r="A255">
        <v>907</v>
      </c>
      <c r="B255" t="str">
        <f t="shared" si="73"/>
        <v>Курск</v>
      </c>
      <c r="C255">
        <v>506290</v>
      </c>
      <c r="D255" t="str">
        <f>"Т 8.1"</f>
        <v>Т 8.1</v>
      </c>
      <c r="E255" t="str">
        <f t="shared" si="74"/>
        <v>Муфта оптическая</v>
      </c>
      <c r="F255" t="str">
        <f>"12.11.2015"</f>
        <v>12.11.2015</v>
      </c>
      <c r="G255" t="str">
        <f>""</f>
        <v/>
      </c>
      <c r="H255" t="str">
        <f>"Т 8.1"</f>
        <v>Т 8.1</v>
      </c>
      <c r="I255" t="str">
        <f>"ТС"</f>
        <v>ТС</v>
      </c>
      <c r="J255" t="str">
        <f>""</f>
        <v/>
      </c>
      <c r="K255" t="str">
        <f t="shared" si="94"/>
        <v>МТОК 96</v>
      </c>
      <c r="L255" t="str">
        <f t="shared" si="93"/>
        <v>Опора</v>
      </c>
      <c r="M255" t="str">
        <f>"10.06.2015"</f>
        <v>10.06.2015</v>
      </c>
      <c r="N255" t="str">
        <f>"EmptySerial&lt;59593&gt;"</f>
        <v>EmptySerial&lt;59593&gt;</v>
      </c>
      <c r="O255" t="str">
        <f t="shared" si="92"/>
        <v>Нет</v>
      </c>
      <c r="P255" t="str">
        <f>""</f>
        <v/>
      </c>
      <c r="Q255" t="str">
        <f>"Да"</f>
        <v>Да</v>
      </c>
      <c r="R255" t="str">
        <f t="shared" si="78"/>
        <v>Основной</v>
      </c>
      <c r="S255" t="str">
        <f t="shared" si="79"/>
        <v>ГУТС</v>
      </c>
      <c r="T255" t="str">
        <f>""</f>
        <v/>
      </c>
      <c r="U255" t="str">
        <f t="shared" si="80"/>
        <v>Нет</v>
      </c>
      <c r="V255">
        <v>51.724743279999998</v>
      </c>
      <c r="W255">
        <v>36.184260250000001</v>
      </c>
      <c r="X255" t="str">
        <f>"20000004567889"</f>
        <v>20000004567889</v>
      </c>
    </row>
    <row r="256" spans="1:24" x14ac:dyDescent="0.25">
      <c r="A256">
        <v>907</v>
      </c>
      <c r="B256" t="str">
        <f t="shared" si="73"/>
        <v>Курск</v>
      </c>
      <c r="C256">
        <v>506946</v>
      </c>
      <c r="D256" t="str">
        <f>"М3.4.13"</f>
        <v>М3.4.13</v>
      </c>
      <c r="E256" t="str">
        <f t="shared" si="74"/>
        <v>Муфта оптическая</v>
      </c>
      <c r="F256" t="str">
        <f>"09.12.2015"</f>
        <v>09.12.2015</v>
      </c>
      <c r="G256" t="str">
        <f>""</f>
        <v/>
      </c>
      <c r="H256" t="str">
        <f>"М3.4.13"</f>
        <v>М3.4.13</v>
      </c>
      <c r="I256" t="str">
        <f>"МС 3.4"</f>
        <v>МС 3.4</v>
      </c>
      <c r="J256" t="str">
        <f>""</f>
        <v/>
      </c>
      <c r="K256" t="str">
        <f t="shared" si="94"/>
        <v>МТОК 96</v>
      </c>
      <c r="L256" t="str">
        <f t="shared" si="93"/>
        <v>Опора</v>
      </c>
      <c r="M256" t="str">
        <f>"19.11.2015"</f>
        <v>19.11.2015</v>
      </c>
      <c r="N256" t="str">
        <f>"EmptySerial&lt;59874&gt;"</f>
        <v>EmptySerial&lt;59874&gt;</v>
      </c>
      <c r="O256" t="str">
        <f t="shared" si="92"/>
        <v>Нет</v>
      </c>
      <c r="P256" t="str">
        <f>""</f>
        <v/>
      </c>
      <c r="Q256" t="str">
        <f t="shared" ref="Q256:Q265" si="95">"Нет"</f>
        <v>Нет</v>
      </c>
      <c r="R256" t="str">
        <f t="shared" si="78"/>
        <v>Основной</v>
      </c>
      <c r="S256" t="str">
        <f t="shared" si="79"/>
        <v>ГУТС</v>
      </c>
      <c r="T256" t="str">
        <f>""</f>
        <v/>
      </c>
      <c r="U256" t="str">
        <f t="shared" si="80"/>
        <v>Нет</v>
      </c>
      <c r="V256">
        <v>51.747401680000003</v>
      </c>
      <c r="W256">
        <v>36.190280129999998</v>
      </c>
      <c r="X256" t="str">
        <f>"20000004567974"</f>
        <v>20000004567974</v>
      </c>
    </row>
    <row r="257" spans="1:24" x14ac:dyDescent="0.25">
      <c r="A257">
        <v>907</v>
      </c>
      <c r="B257" t="str">
        <f t="shared" si="73"/>
        <v>Курск</v>
      </c>
      <c r="C257">
        <v>508466</v>
      </c>
      <c r="D257" t="str">
        <f>"М2.7.2"</f>
        <v>М2.7.2</v>
      </c>
      <c r="E257" t="str">
        <f t="shared" si="74"/>
        <v>Муфта оптическая</v>
      </c>
      <c r="F257" t="str">
        <f>"02.02.2016"</f>
        <v>02.02.2016</v>
      </c>
      <c r="G257" t="str">
        <f>""</f>
        <v/>
      </c>
      <c r="H257" t="str">
        <f>"М2.7.2"</f>
        <v>М2.7.2</v>
      </c>
      <c r="I257" t="str">
        <f>"МС 2.7"</f>
        <v>МС 2.7</v>
      </c>
      <c r="J257" t="str">
        <f>""</f>
        <v/>
      </c>
      <c r="K257" t="str">
        <f t="shared" si="94"/>
        <v>МТОК 96</v>
      </c>
      <c r="L257" t="str">
        <f>"Крыша"</f>
        <v>Крыша</v>
      </c>
      <c r="M257" t="str">
        <f>"17.05.2013"</f>
        <v>17.05.2013</v>
      </c>
      <c r="N257" t="str">
        <f>"EmptySerial&lt;60348&gt;"</f>
        <v>EmptySerial&lt;60348&gt;</v>
      </c>
      <c r="O257" t="str">
        <f t="shared" si="92"/>
        <v>Нет</v>
      </c>
      <c r="P257" t="str">
        <f>""</f>
        <v/>
      </c>
      <c r="Q257" t="str">
        <f t="shared" si="95"/>
        <v>Нет</v>
      </c>
      <c r="R257" t="str">
        <f t="shared" si="78"/>
        <v>Основной</v>
      </c>
      <c r="S257" t="str">
        <f t="shared" si="79"/>
        <v>ГУТС</v>
      </c>
      <c r="T257" t="str">
        <f>""</f>
        <v/>
      </c>
      <c r="U257" t="str">
        <f t="shared" si="80"/>
        <v>Нет</v>
      </c>
      <c r="V257">
        <v>51.726387269999996</v>
      </c>
      <c r="W257">
        <v>36.137876810000002</v>
      </c>
      <c r="X257" t="str">
        <f>"20000004568068"</f>
        <v>20000004568068</v>
      </c>
    </row>
    <row r="258" spans="1:24" x14ac:dyDescent="0.25">
      <c r="A258">
        <v>907</v>
      </c>
      <c r="B258" t="str">
        <f t="shared" ref="B258:B321" si="96">"Курск"</f>
        <v>Курск</v>
      </c>
      <c r="C258">
        <v>508666</v>
      </c>
      <c r="D258" t="str">
        <f>"М2.5.15"</f>
        <v>М2.5.15</v>
      </c>
      <c r="E258" t="str">
        <f t="shared" ref="E258:E321" si="97">"Муфта оптическая"</f>
        <v>Муфта оптическая</v>
      </c>
      <c r="F258" t="str">
        <f>"03.02.2016"</f>
        <v>03.02.2016</v>
      </c>
      <c r="G258" t="str">
        <f>""</f>
        <v/>
      </c>
      <c r="H258" t="str">
        <f>"М2.5.15"</f>
        <v>М2.5.15</v>
      </c>
      <c r="I258" t="str">
        <f>"МС 2.5"</f>
        <v>МС 2.5</v>
      </c>
      <c r="J258" t="str">
        <f>""</f>
        <v/>
      </c>
      <c r="K258" t="str">
        <f t="shared" si="94"/>
        <v>МТОК 96</v>
      </c>
      <c r="L258" t="str">
        <f>"Крыша"</f>
        <v>Крыша</v>
      </c>
      <c r="M258" t="str">
        <f>"15.05.2013"</f>
        <v>15.05.2013</v>
      </c>
      <c r="N258" t="str">
        <f>"EmptySerial&lt;60363&gt;"</f>
        <v>EmptySerial&lt;60363&gt;</v>
      </c>
      <c r="O258" t="str">
        <f t="shared" si="92"/>
        <v>Нет</v>
      </c>
      <c r="P258" t="str">
        <f>""</f>
        <v/>
      </c>
      <c r="Q258" t="str">
        <f t="shared" si="95"/>
        <v>Нет</v>
      </c>
      <c r="R258" t="str">
        <f t="shared" ref="R258:R275" si="98">"Основной"</f>
        <v>Основной</v>
      </c>
      <c r="S258" t="str">
        <f t="shared" ref="S258:S321" si="99">"ГУТС"</f>
        <v>ГУТС</v>
      </c>
      <c r="T258" t="str">
        <f>""</f>
        <v/>
      </c>
      <c r="U258" t="str">
        <f t="shared" ref="U258:U321" si="100">"Нет"</f>
        <v>Нет</v>
      </c>
      <c r="V258">
        <v>51.723376709999997</v>
      </c>
      <c r="W258">
        <v>36.135741430000003</v>
      </c>
      <c r="X258" t="str">
        <f>"20000004568071"</f>
        <v>20000004568071</v>
      </c>
    </row>
    <row r="259" spans="1:24" x14ac:dyDescent="0.25">
      <c r="A259">
        <v>907</v>
      </c>
      <c r="B259" t="str">
        <f t="shared" si="96"/>
        <v>Курск</v>
      </c>
      <c r="C259">
        <v>509666</v>
      </c>
      <c r="D259" t="str">
        <f>"М 1.3.23"</f>
        <v>М 1.3.23</v>
      </c>
      <c r="E259" t="str">
        <f t="shared" si="97"/>
        <v>Муфта оптическая</v>
      </c>
      <c r="F259" t="str">
        <f>"04.03.2016"</f>
        <v>04.03.2016</v>
      </c>
      <c r="G259" t="str">
        <f>""</f>
        <v/>
      </c>
      <c r="H259" t="str">
        <f>"М 1.3.23"</f>
        <v>М 1.3.23</v>
      </c>
      <c r="I259" t="str">
        <f>"МС 1.3"</f>
        <v>МС 1.3</v>
      </c>
      <c r="J259" t="str">
        <f>""</f>
        <v/>
      </c>
      <c r="K259" t="str">
        <f t="shared" si="94"/>
        <v>МТОК 96</v>
      </c>
      <c r="L259" t="str">
        <f>"Крыша"</f>
        <v>Крыша</v>
      </c>
      <c r="M259" t="str">
        <f>"28.11.2015"</f>
        <v>28.11.2015</v>
      </c>
      <c r="N259" t="str">
        <f>"EmptySerial&lt;60664&gt;"</f>
        <v>EmptySerial&lt;60664&gt;</v>
      </c>
      <c r="O259" t="str">
        <f t="shared" si="92"/>
        <v>Нет</v>
      </c>
      <c r="P259" t="str">
        <f>""</f>
        <v/>
      </c>
      <c r="Q259" t="str">
        <f t="shared" si="95"/>
        <v>Нет</v>
      </c>
      <c r="R259" t="str">
        <f t="shared" si="98"/>
        <v>Основной</v>
      </c>
      <c r="S259" t="str">
        <f t="shared" si="99"/>
        <v>ГУТС</v>
      </c>
      <c r="T259" t="str">
        <f>""</f>
        <v/>
      </c>
      <c r="U259" t="str">
        <f t="shared" si="100"/>
        <v>Нет</v>
      </c>
      <c r="V259">
        <v>51.703246460000003</v>
      </c>
      <c r="W259">
        <v>36.143509950000002</v>
      </c>
      <c r="X259" t="str">
        <f>"20000004568134"</f>
        <v>20000004568134</v>
      </c>
    </row>
    <row r="260" spans="1:24" x14ac:dyDescent="0.25">
      <c r="A260">
        <v>907</v>
      </c>
      <c r="B260" t="str">
        <f t="shared" si="96"/>
        <v>Курск</v>
      </c>
      <c r="C260">
        <v>509733</v>
      </c>
      <c r="D260" t="str">
        <f>"М 3.4.15"</f>
        <v>М 3.4.15</v>
      </c>
      <c r="E260" t="str">
        <f t="shared" si="97"/>
        <v>Муфта оптическая</v>
      </c>
      <c r="F260" t="str">
        <f>"04.03.2016"</f>
        <v>04.03.2016</v>
      </c>
      <c r="G260" t="str">
        <f>""</f>
        <v/>
      </c>
      <c r="H260" t="str">
        <f>"М 3.4.15"</f>
        <v>М 3.4.15</v>
      </c>
      <c r="I260" t="str">
        <f>"МС 3.4"</f>
        <v>МС 3.4</v>
      </c>
      <c r="J260" t="str">
        <f>""</f>
        <v/>
      </c>
      <c r="K260" t="str">
        <f t="shared" si="94"/>
        <v>МТОК 96</v>
      </c>
      <c r="L260" t="str">
        <f t="shared" ref="L260:L275" si="101">"Опора"</f>
        <v>Опора</v>
      </c>
      <c r="M260" t="str">
        <f>"28.01.2016"</f>
        <v>28.01.2016</v>
      </c>
      <c r="N260" t="str">
        <f>"EmptySerial&lt;60665&gt;"</f>
        <v>EmptySerial&lt;60665&gt;</v>
      </c>
      <c r="O260" t="str">
        <f t="shared" si="92"/>
        <v>Нет</v>
      </c>
      <c r="P260" t="str">
        <f>""</f>
        <v/>
      </c>
      <c r="Q260" t="str">
        <f t="shared" si="95"/>
        <v>Нет</v>
      </c>
      <c r="R260" t="str">
        <f t="shared" si="98"/>
        <v>Основной</v>
      </c>
      <c r="S260" t="str">
        <f t="shared" si="99"/>
        <v>ГУТС</v>
      </c>
      <c r="T260" t="str">
        <f>""</f>
        <v/>
      </c>
      <c r="U260" t="str">
        <f t="shared" si="100"/>
        <v>Нет</v>
      </c>
      <c r="V260">
        <v>51.747878489999998</v>
      </c>
      <c r="W260">
        <v>36.196172939999997</v>
      </c>
      <c r="X260" t="str">
        <f>"20000004568135"</f>
        <v>20000004568135</v>
      </c>
    </row>
    <row r="261" spans="1:24" x14ac:dyDescent="0.25">
      <c r="A261">
        <v>907</v>
      </c>
      <c r="B261" t="str">
        <f t="shared" si="96"/>
        <v>Курск</v>
      </c>
      <c r="C261">
        <v>509737</v>
      </c>
      <c r="D261" t="str">
        <f>"М 3.4.14"</f>
        <v>М 3.4.14</v>
      </c>
      <c r="E261" t="str">
        <f t="shared" si="97"/>
        <v>Муфта оптическая</v>
      </c>
      <c r="F261" t="str">
        <f>"04.03.2016"</f>
        <v>04.03.2016</v>
      </c>
      <c r="G261" t="str">
        <f>""</f>
        <v/>
      </c>
      <c r="H261" t="str">
        <f>"М 3.4.14"</f>
        <v>М 3.4.14</v>
      </c>
      <c r="I261" t="str">
        <f>"МС 3.4"</f>
        <v>МС 3.4</v>
      </c>
      <c r="J261" t="str">
        <f>""</f>
        <v/>
      </c>
      <c r="K261" t="str">
        <f t="shared" si="94"/>
        <v>МТОК 96</v>
      </c>
      <c r="L261" t="str">
        <f t="shared" si="101"/>
        <v>Опора</v>
      </c>
      <c r="M261" t="str">
        <f>"28.01.2016"</f>
        <v>28.01.2016</v>
      </c>
      <c r="N261" t="str">
        <f>"EmptySerial&lt;60666&gt;"</f>
        <v>EmptySerial&lt;60666&gt;</v>
      </c>
      <c r="O261" t="str">
        <f t="shared" si="92"/>
        <v>Нет</v>
      </c>
      <c r="P261" t="str">
        <f>""</f>
        <v/>
      </c>
      <c r="Q261" t="str">
        <f t="shared" si="95"/>
        <v>Нет</v>
      </c>
      <c r="R261" t="str">
        <f t="shared" si="98"/>
        <v>Основной</v>
      </c>
      <c r="S261" t="str">
        <f t="shared" si="99"/>
        <v>ГУТС</v>
      </c>
      <c r="T261" t="str">
        <f>""</f>
        <v/>
      </c>
      <c r="U261" t="str">
        <f t="shared" si="100"/>
        <v>Нет</v>
      </c>
      <c r="V261">
        <v>51.747878700000001</v>
      </c>
      <c r="W261">
        <v>36.195973119999998</v>
      </c>
      <c r="X261" t="str">
        <f>"20000004568136"</f>
        <v>20000004568136</v>
      </c>
    </row>
    <row r="262" spans="1:24" x14ac:dyDescent="0.25">
      <c r="A262">
        <v>907</v>
      </c>
      <c r="B262" t="str">
        <f t="shared" si="96"/>
        <v>Курск</v>
      </c>
      <c r="C262">
        <v>510279</v>
      </c>
      <c r="D262" t="str">
        <f>"М 4.1.8"</f>
        <v>М 4.1.8</v>
      </c>
      <c r="E262" t="str">
        <f t="shared" si="97"/>
        <v>Муфта оптическая</v>
      </c>
      <c r="F262" t="str">
        <f>"24.03.2016"</f>
        <v>24.03.2016</v>
      </c>
      <c r="G262" t="str">
        <f>""</f>
        <v/>
      </c>
      <c r="H262" t="str">
        <f>"М 4.1.8"</f>
        <v>М 4.1.8</v>
      </c>
      <c r="I262" t="str">
        <f>"МС 4.1"</f>
        <v>МС 4.1</v>
      </c>
      <c r="J262" t="str">
        <f>""</f>
        <v/>
      </c>
      <c r="K262" t="str">
        <f t="shared" si="94"/>
        <v>МТОК 96</v>
      </c>
      <c r="L262" t="str">
        <f t="shared" si="101"/>
        <v>Опора</v>
      </c>
      <c r="M262" t="str">
        <f>"24.02.2016"</f>
        <v>24.02.2016</v>
      </c>
      <c r="N262" t="str">
        <f>"EmptySerial&lt;60930&gt;"</f>
        <v>EmptySerial&lt;60930&gt;</v>
      </c>
      <c r="O262" t="str">
        <f t="shared" si="92"/>
        <v>Нет</v>
      </c>
      <c r="P262" t="str">
        <f>""</f>
        <v/>
      </c>
      <c r="Q262" t="str">
        <f t="shared" si="95"/>
        <v>Нет</v>
      </c>
      <c r="R262" t="str">
        <f t="shared" si="98"/>
        <v>Основной</v>
      </c>
      <c r="S262" t="str">
        <f t="shared" si="99"/>
        <v>ГУТС</v>
      </c>
      <c r="T262" t="str">
        <f>""</f>
        <v/>
      </c>
      <c r="U262" t="str">
        <f t="shared" si="100"/>
        <v>Нет</v>
      </c>
      <c r="V262">
        <v>51.738895720000002</v>
      </c>
      <c r="W262">
        <v>36.230603449999997</v>
      </c>
      <c r="X262" t="str">
        <f>"20000004568172"</f>
        <v>20000004568172</v>
      </c>
    </row>
    <row r="263" spans="1:24" x14ac:dyDescent="0.25">
      <c r="A263">
        <v>907</v>
      </c>
      <c r="B263" t="str">
        <f t="shared" si="96"/>
        <v>Курск</v>
      </c>
      <c r="C263">
        <v>510679</v>
      </c>
      <c r="D263" t="str">
        <f>"Т 2.7"</f>
        <v>Т 2.7</v>
      </c>
      <c r="E263" t="str">
        <f t="shared" si="97"/>
        <v>Муфта оптическая</v>
      </c>
      <c r="F263" t="str">
        <f>"30.03.2016"</f>
        <v>30.03.2016</v>
      </c>
      <c r="G263" t="str">
        <f>""</f>
        <v/>
      </c>
      <c r="H263" t="str">
        <f>"Т 2.7"</f>
        <v>Т 2.7</v>
      </c>
      <c r="I263" t="str">
        <f>"ТС"</f>
        <v>ТС</v>
      </c>
      <c r="J263" t="str">
        <f>""</f>
        <v/>
      </c>
      <c r="K263" t="str">
        <f t="shared" si="94"/>
        <v>МТОК 96</v>
      </c>
      <c r="L263" t="str">
        <f t="shared" si="101"/>
        <v>Опора</v>
      </c>
      <c r="M263" t="str">
        <f>"20.01.2016"</f>
        <v>20.01.2016</v>
      </c>
      <c r="N263" t="str">
        <f>"EmptySerial&lt;61012&gt;"</f>
        <v>EmptySerial&lt;61012&gt;</v>
      </c>
      <c r="O263" t="str">
        <f t="shared" si="92"/>
        <v>Нет</v>
      </c>
      <c r="P263" t="str">
        <f>""</f>
        <v/>
      </c>
      <c r="Q263" t="str">
        <f t="shared" si="95"/>
        <v>Нет</v>
      </c>
      <c r="R263" t="str">
        <f t="shared" si="98"/>
        <v>Основной</v>
      </c>
      <c r="S263" t="str">
        <f t="shared" si="99"/>
        <v>ГУТС</v>
      </c>
      <c r="T263" t="str">
        <f>""</f>
        <v/>
      </c>
      <c r="U263" t="str">
        <f t="shared" si="100"/>
        <v>Нет</v>
      </c>
      <c r="V263">
        <v>51.757692710000001</v>
      </c>
      <c r="W263">
        <v>36.135334409999999</v>
      </c>
      <c r="X263" t="str">
        <f>"20000004568208"</f>
        <v>20000004568208</v>
      </c>
    </row>
    <row r="264" spans="1:24" x14ac:dyDescent="0.25">
      <c r="A264">
        <v>907</v>
      </c>
      <c r="B264" t="str">
        <f t="shared" si="96"/>
        <v>Курск</v>
      </c>
      <c r="C264">
        <v>510697</v>
      </c>
      <c r="D264" t="str">
        <f>"T 7.5"</f>
        <v>T 7.5</v>
      </c>
      <c r="E264" t="str">
        <f t="shared" si="97"/>
        <v>Муфта оптическая</v>
      </c>
      <c r="F264" t="str">
        <f>"30.03.2016"</f>
        <v>30.03.2016</v>
      </c>
      <c r="G264" t="str">
        <f>""</f>
        <v/>
      </c>
      <c r="H264" t="str">
        <f>"T 7.5"</f>
        <v>T 7.5</v>
      </c>
      <c r="I264" t="str">
        <f>"ТС"</f>
        <v>ТС</v>
      </c>
      <c r="J264" t="str">
        <f>""</f>
        <v/>
      </c>
      <c r="K264" t="str">
        <f t="shared" si="94"/>
        <v>МТОК 96</v>
      </c>
      <c r="L264" t="str">
        <f t="shared" si="101"/>
        <v>Опора</v>
      </c>
      <c r="M264" t="str">
        <f>"22.12.2015"</f>
        <v>22.12.2015</v>
      </c>
      <c r="N264" t="str">
        <f>"EmptySerial&lt;61014&gt;"</f>
        <v>EmptySerial&lt;61014&gt;</v>
      </c>
      <c r="O264" t="str">
        <f t="shared" ref="O264:O295" si="102">"Нет"</f>
        <v>Нет</v>
      </c>
      <c r="P264" t="str">
        <f>""</f>
        <v/>
      </c>
      <c r="Q264" t="str">
        <f t="shared" si="95"/>
        <v>Нет</v>
      </c>
      <c r="R264" t="str">
        <f t="shared" si="98"/>
        <v>Основной</v>
      </c>
      <c r="S264" t="str">
        <f t="shared" si="99"/>
        <v>ГУТС</v>
      </c>
      <c r="T264" t="str">
        <f>""</f>
        <v/>
      </c>
      <c r="U264" t="str">
        <f t="shared" si="100"/>
        <v>Нет</v>
      </c>
      <c r="V264">
        <v>51.750050729999998</v>
      </c>
      <c r="W264">
        <v>36.19390748</v>
      </c>
      <c r="X264" t="str">
        <f>"20000004568210"</f>
        <v>20000004568210</v>
      </c>
    </row>
    <row r="265" spans="1:24" x14ac:dyDescent="0.25">
      <c r="A265">
        <v>907</v>
      </c>
      <c r="B265" t="str">
        <f t="shared" si="96"/>
        <v>Курск</v>
      </c>
      <c r="C265">
        <v>511092</v>
      </c>
      <c r="D265" t="str">
        <f>"М 3.1.25"</f>
        <v>М 3.1.25</v>
      </c>
      <c r="E265" t="str">
        <f t="shared" si="97"/>
        <v>Муфта оптическая</v>
      </c>
      <c r="F265" t="str">
        <f>"04.04.2016"</f>
        <v>04.04.2016</v>
      </c>
      <c r="G265" t="str">
        <f>""</f>
        <v/>
      </c>
      <c r="H265" t="str">
        <f>"М 3.1.25"</f>
        <v>М 3.1.25</v>
      </c>
      <c r="I265" t="str">
        <f>"МС 3.1"</f>
        <v>МС 3.1</v>
      </c>
      <c r="J265" t="str">
        <f>""</f>
        <v/>
      </c>
      <c r="K265" t="str">
        <f t="shared" si="94"/>
        <v>МТОК 96</v>
      </c>
      <c r="L265" t="str">
        <f t="shared" si="101"/>
        <v>Опора</v>
      </c>
      <c r="M265" t="str">
        <f>"23.03.2016"</f>
        <v>23.03.2016</v>
      </c>
      <c r="N265" t="str">
        <f>"EmptySerial&lt;61065&gt;"</f>
        <v>EmptySerial&lt;61065&gt;</v>
      </c>
      <c r="O265" t="str">
        <f t="shared" si="102"/>
        <v>Нет</v>
      </c>
      <c r="P265" t="str">
        <f>""</f>
        <v/>
      </c>
      <c r="Q265" t="str">
        <f t="shared" si="95"/>
        <v>Нет</v>
      </c>
      <c r="R265" t="str">
        <f t="shared" si="98"/>
        <v>Основной</v>
      </c>
      <c r="S265" t="str">
        <f t="shared" si="99"/>
        <v>ГУТС</v>
      </c>
      <c r="T265" t="str">
        <f>""</f>
        <v/>
      </c>
      <c r="U265" t="str">
        <f t="shared" si="100"/>
        <v>Нет</v>
      </c>
      <c r="V265">
        <v>51.757638960000001</v>
      </c>
      <c r="W265">
        <v>36.184668950000002</v>
      </c>
      <c r="X265" t="str">
        <f>"20000004568221"</f>
        <v>20000004568221</v>
      </c>
    </row>
    <row r="266" spans="1:24" x14ac:dyDescent="0.25">
      <c r="A266">
        <v>907</v>
      </c>
      <c r="B266" t="str">
        <f t="shared" si="96"/>
        <v>Курск</v>
      </c>
      <c r="C266">
        <v>511266</v>
      </c>
      <c r="D266" t="str">
        <f>"М 1.4.8"</f>
        <v>М 1.4.8</v>
      </c>
      <c r="E266" t="str">
        <f t="shared" si="97"/>
        <v>Муфта оптическая</v>
      </c>
      <c r="F266" t="str">
        <f>"07.04.2016"</f>
        <v>07.04.2016</v>
      </c>
      <c r="G266" t="str">
        <f>""</f>
        <v/>
      </c>
      <c r="H266" t="str">
        <f>"М 1.4.8"</f>
        <v>М 1.4.8</v>
      </c>
      <c r="I266" t="str">
        <f>"МС 1.4"</f>
        <v>МС 1.4</v>
      </c>
      <c r="J266" t="str">
        <f>""</f>
        <v/>
      </c>
      <c r="K266" t="str">
        <f t="shared" si="94"/>
        <v>МТОК 96</v>
      </c>
      <c r="L266" t="str">
        <f t="shared" si="101"/>
        <v>Опора</v>
      </c>
      <c r="M266" t="str">
        <f>"07.04.2016"</f>
        <v>07.04.2016</v>
      </c>
      <c r="N266" t="str">
        <f>"EmptySerial&lt;61083&gt;"</f>
        <v>EmptySerial&lt;61083&gt;</v>
      </c>
      <c r="O266" t="str">
        <f t="shared" si="102"/>
        <v>Нет</v>
      </c>
      <c r="P266" t="str">
        <f>""</f>
        <v/>
      </c>
      <c r="Q266" t="str">
        <f>"Да"</f>
        <v>Да</v>
      </c>
      <c r="R266" t="str">
        <f t="shared" si="98"/>
        <v>Основной</v>
      </c>
      <c r="S266" t="str">
        <f t="shared" si="99"/>
        <v>ГУТС</v>
      </c>
      <c r="T266" t="str">
        <f>""</f>
        <v/>
      </c>
      <c r="U266" t="str">
        <f t="shared" si="100"/>
        <v>Нет</v>
      </c>
      <c r="V266">
        <v>51.710605299999997</v>
      </c>
      <c r="W266">
        <v>36.142302790000002</v>
      </c>
      <c r="X266" t="str">
        <f>"20000004568222"</f>
        <v>20000004568222</v>
      </c>
    </row>
    <row r="267" spans="1:24" x14ac:dyDescent="0.25">
      <c r="A267">
        <v>907</v>
      </c>
      <c r="B267" t="str">
        <f t="shared" si="96"/>
        <v>Курск</v>
      </c>
      <c r="C267">
        <v>511670</v>
      </c>
      <c r="D267" t="str">
        <f>"М 1.4.9"</f>
        <v>М 1.4.9</v>
      </c>
      <c r="E267" t="str">
        <f t="shared" si="97"/>
        <v>Муфта оптическая</v>
      </c>
      <c r="F267" t="str">
        <f>"10.05.2016"</f>
        <v>10.05.2016</v>
      </c>
      <c r="G267" t="str">
        <f>""</f>
        <v/>
      </c>
      <c r="H267" t="str">
        <f>"М 1.4.9"</f>
        <v>М 1.4.9</v>
      </c>
      <c r="I267" t="str">
        <f>"МС 1.4"</f>
        <v>МС 1.4</v>
      </c>
      <c r="J267" t="str">
        <f>""</f>
        <v/>
      </c>
      <c r="K267" t="str">
        <f t="shared" si="94"/>
        <v>МТОК 96</v>
      </c>
      <c r="L267" t="str">
        <f t="shared" si="101"/>
        <v>Опора</v>
      </c>
      <c r="M267" t="str">
        <f>"13.04.2016"</f>
        <v>13.04.2016</v>
      </c>
      <c r="N267" t="str">
        <f>"EmptySerial&lt;61506&gt;"</f>
        <v>EmptySerial&lt;61506&gt;</v>
      </c>
      <c r="O267" t="str">
        <f t="shared" si="102"/>
        <v>Нет</v>
      </c>
      <c r="P267" t="str">
        <f>""</f>
        <v/>
      </c>
      <c r="Q267" t="str">
        <f t="shared" ref="Q267:Q273" si="103">"Нет"</f>
        <v>Нет</v>
      </c>
      <c r="R267" t="str">
        <f t="shared" si="98"/>
        <v>Основной</v>
      </c>
      <c r="S267" t="str">
        <f t="shared" si="99"/>
        <v>ГУТС</v>
      </c>
      <c r="T267" t="str">
        <f>""</f>
        <v/>
      </c>
      <c r="U267" t="str">
        <f t="shared" si="100"/>
        <v>Нет</v>
      </c>
      <c r="V267">
        <v>51.711077590000002</v>
      </c>
      <c r="W267">
        <v>36.142855689999998</v>
      </c>
      <c r="X267" t="str">
        <f>"20000004568318"</f>
        <v>20000004568318</v>
      </c>
    </row>
    <row r="268" spans="1:24" x14ac:dyDescent="0.25">
      <c r="A268">
        <v>907</v>
      </c>
      <c r="B268" t="str">
        <f t="shared" si="96"/>
        <v>Курск</v>
      </c>
      <c r="C268">
        <v>512305</v>
      </c>
      <c r="D268" t="str">
        <f>"М 4.1.9"</f>
        <v>М 4.1.9</v>
      </c>
      <c r="E268" t="str">
        <f t="shared" si="97"/>
        <v>Муфта оптическая</v>
      </c>
      <c r="F268" t="str">
        <f>"02.06.2016"</f>
        <v>02.06.2016</v>
      </c>
      <c r="G268" t="str">
        <f>""</f>
        <v/>
      </c>
      <c r="H268" t="str">
        <f>"М 4.1.9"</f>
        <v>М 4.1.9</v>
      </c>
      <c r="I268" t="str">
        <f>"МС 4.1"</f>
        <v>МС 4.1</v>
      </c>
      <c r="J268" t="str">
        <f>""</f>
        <v/>
      </c>
      <c r="K268" t="str">
        <f t="shared" si="94"/>
        <v>МТОК 96</v>
      </c>
      <c r="L268" t="str">
        <f t="shared" si="101"/>
        <v>Опора</v>
      </c>
      <c r="M268" t="str">
        <f>"13.04.2016"</f>
        <v>13.04.2016</v>
      </c>
      <c r="N268" t="str">
        <f>"EmptySerial&lt;61746&gt;"</f>
        <v>EmptySerial&lt;61746&gt;</v>
      </c>
      <c r="O268" t="str">
        <f t="shared" si="102"/>
        <v>Нет</v>
      </c>
      <c r="P268" t="str">
        <f>""</f>
        <v/>
      </c>
      <c r="Q268" t="str">
        <f t="shared" si="103"/>
        <v>Нет</v>
      </c>
      <c r="R268" t="str">
        <f t="shared" si="98"/>
        <v>Основной</v>
      </c>
      <c r="S268" t="str">
        <f t="shared" si="99"/>
        <v>ГУТС</v>
      </c>
      <c r="T268" t="str">
        <f>""</f>
        <v/>
      </c>
      <c r="U268" t="str">
        <f t="shared" si="100"/>
        <v>Нет</v>
      </c>
      <c r="V268">
        <v>51.73391719</v>
      </c>
      <c r="W268">
        <v>36.237429349999999</v>
      </c>
      <c r="X268" t="str">
        <f>"20000004568357"</f>
        <v>20000004568357</v>
      </c>
    </row>
    <row r="269" spans="1:24" x14ac:dyDescent="0.25">
      <c r="A269">
        <v>907</v>
      </c>
      <c r="B269" t="str">
        <f t="shared" si="96"/>
        <v>Курск</v>
      </c>
      <c r="C269">
        <v>512466</v>
      </c>
      <c r="D269" t="str">
        <f>"М 1.4.10"</f>
        <v>М 1.4.10</v>
      </c>
      <c r="E269" t="str">
        <f t="shared" si="97"/>
        <v>Муфта оптическая</v>
      </c>
      <c r="F269" t="str">
        <f>"03.06.2016"</f>
        <v>03.06.2016</v>
      </c>
      <c r="G269" t="str">
        <f>""</f>
        <v/>
      </c>
      <c r="H269" t="str">
        <f>"М 1.4.10"</f>
        <v>М 1.4.10</v>
      </c>
      <c r="I269" t="str">
        <f>"МС 1.4"</f>
        <v>МС 1.4</v>
      </c>
      <c r="J269" t="str">
        <f>""</f>
        <v/>
      </c>
      <c r="K269" t="str">
        <f t="shared" si="94"/>
        <v>МТОК 96</v>
      </c>
      <c r="L269" t="str">
        <f t="shared" si="101"/>
        <v>Опора</v>
      </c>
      <c r="M269" t="str">
        <f>"03.06.2016"</f>
        <v>03.06.2016</v>
      </c>
      <c r="N269" t="str">
        <f>"EmptySerial&lt;61764&gt;"</f>
        <v>EmptySerial&lt;61764&gt;</v>
      </c>
      <c r="O269" t="str">
        <f t="shared" si="102"/>
        <v>Нет</v>
      </c>
      <c r="P269" t="str">
        <f>""</f>
        <v/>
      </c>
      <c r="Q269" t="str">
        <f t="shared" si="103"/>
        <v>Нет</v>
      </c>
      <c r="R269" t="str">
        <f t="shared" si="98"/>
        <v>Основной</v>
      </c>
      <c r="S269" t="str">
        <f t="shared" si="99"/>
        <v>ГУТС</v>
      </c>
      <c r="T269" t="str">
        <f>""</f>
        <v/>
      </c>
      <c r="U269" t="str">
        <f t="shared" si="100"/>
        <v>Нет</v>
      </c>
      <c r="V269">
        <v>51.711222800000002</v>
      </c>
      <c r="W269">
        <v>36.141961510000002</v>
      </c>
      <c r="X269" t="str">
        <f>"20000004568361"</f>
        <v>20000004568361</v>
      </c>
    </row>
    <row r="270" spans="1:24" x14ac:dyDescent="0.25">
      <c r="A270">
        <v>907</v>
      </c>
      <c r="B270" t="str">
        <f t="shared" si="96"/>
        <v>Курск</v>
      </c>
      <c r="C270">
        <v>512879</v>
      </c>
      <c r="D270" t="str">
        <f>"Т 4.8"</f>
        <v>Т 4.8</v>
      </c>
      <c r="E270" t="str">
        <f t="shared" si="97"/>
        <v>Муфта оптическая</v>
      </c>
      <c r="F270" t="str">
        <f>"10.06.2016"</f>
        <v>10.06.2016</v>
      </c>
      <c r="G270" t="str">
        <f>""</f>
        <v/>
      </c>
      <c r="H270" t="str">
        <f>"Т 4.8"</f>
        <v>Т 4.8</v>
      </c>
      <c r="I270" t="str">
        <f>"ТС"</f>
        <v>ТС</v>
      </c>
      <c r="J270" t="str">
        <f>""</f>
        <v/>
      </c>
      <c r="K270" t="str">
        <f t="shared" si="94"/>
        <v>МТОК 96</v>
      </c>
      <c r="L270" t="str">
        <f t="shared" si="101"/>
        <v>Опора</v>
      </c>
      <c r="M270" t="str">
        <f>"21.04.2016"</f>
        <v>21.04.2016</v>
      </c>
      <c r="N270" t="str">
        <f>"EmptySerial&lt;61825&gt;"</f>
        <v>EmptySerial&lt;61825&gt;</v>
      </c>
      <c r="O270" t="str">
        <f t="shared" si="102"/>
        <v>Нет</v>
      </c>
      <c r="P270" t="str">
        <f>""</f>
        <v/>
      </c>
      <c r="Q270" t="str">
        <f t="shared" si="103"/>
        <v>Нет</v>
      </c>
      <c r="R270" t="str">
        <f t="shared" si="98"/>
        <v>Основной</v>
      </c>
      <c r="S270" t="str">
        <f t="shared" si="99"/>
        <v>ГУТС</v>
      </c>
      <c r="T270" t="str">
        <f>""</f>
        <v/>
      </c>
      <c r="U270" t="str">
        <f t="shared" si="100"/>
        <v>Нет</v>
      </c>
      <c r="V270">
        <v>51.689077449999999</v>
      </c>
      <c r="W270">
        <v>36.153761189999997</v>
      </c>
      <c r="X270" t="str">
        <f>"20000004568367"</f>
        <v>20000004568367</v>
      </c>
    </row>
    <row r="271" spans="1:24" x14ac:dyDescent="0.25">
      <c r="A271">
        <v>907</v>
      </c>
      <c r="B271" t="str">
        <f t="shared" si="96"/>
        <v>Курск</v>
      </c>
      <c r="C271">
        <v>513279</v>
      </c>
      <c r="D271" t="str">
        <f>"Р 3.1.7.1"</f>
        <v>Р 3.1.7.1</v>
      </c>
      <c r="E271" t="str">
        <f t="shared" si="97"/>
        <v>Муфта оптическая</v>
      </c>
      <c r="F271" t="str">
        <f>"26.10.2016"</f>
        <v>26.10.2016</v>
      </c>
      <c r="G271" t="str">
        <f>""</f>
        <v/>
      </c>
      <c r="H271" t="str">
        <f>"Р 3.1.7.1"</f>
        <v>Р 3.1.7.1</v>
      </c>
      <c r="I271" t="str">
        <f>"Кампус - 3107"</f>
        <v>Кампус - 3107</v>
      </c>
      <c r="J271" t="str">
        <f>""</f>
        <v/>
      </c>
      <c r="K271" t="str">
        <f t="shared" si="94"/>
        <v>МТОК 96</v>
      </c>
      <c r="L271" t="str">
        <f t="shared" si="101"/>
        <v>Опора</v>
      </c>
      <c r="M271" t="str">
        <f>"27.09.2016"</f>
        <v>27.09.2016</v>
      </c>
      <c r="N271" t="str">
        <f>"EmptySerial&lt;62510&gt;"</f>
        <v>EmptySerial&lt;62510&gt;</v>
      </c>
      <c r="O271" t="str">
        <f t="shared" si="102"/>
        <v>Нет</v>
      </c>
      <c r="P271" t="str">
        <f>""</f>
        <v/>
      </c>
      <c r="Q271" t="str">
        <f t="shared" si="103"/>
        <v>Нет</v>
      </c>
      <c r="R271" t="str">
        <f t="shared" si="98"/>
        <v>Основной</v>
      </c>
      <c r="S271" t="str">
        <f t="shared" si="99"/>
        <v>ГУТС</v>
      </c>
      <c r="T271" t="str">
        <f>""</f>
        <v/>
      </c>
      <c r="U271" t="str">
        <f t="shared" si="100"/>
        <v>Нет</v>
      </c>
      <c r="V271">
        <v>51.795550079999998</v>
      </c>
      <c r="W271">
        <v>36.161893480000003</v>
      </c>
      <c r="X271" t="str">
        <f>"20000004568531"</f>
        <v>20000004568531</v>
      </c>
    </row>
    <row r="272" spans="1:24" x14ac:dyDescent="0.25">
      <c r="A272">
        <v>907</v>
      </c>
      <c r="B272" t="str">
        <f t="shared" si="96"/>
        <v>Курск</v>
      </c>
      <c r="C272">
        <v>513879</v>
      </c>
      <c r="D272" t="str">
        <f>"М 5.4.17"</f>
        <v>М 5.4.17</v>
      </c>
      <c r="E272" t="str">
        <f t="shared" si="97"/>
        <v>Муфта оптическая</v>
      </c>
      <c r="F272" t="str">
        <f>"31.08.2016"</f>
        <v>31.08.2016</v>
      </c>
      <c r="G272" t="str">
        <f>""</f>
        <v/>
      </c>
      <c r="H272" t="str">
        <f>"М 5.4.17"</f>
        <v>М 5.4.17</v>
      </c>
      <c r="I272" t="str">
        <f>"МС 5.4"</f>
        <v>МС 5.4</v>
      </c>
      <c r="J272" t="str">
        <f>""</f>
        <v/>
      </c>
      <c r="K272" t="str">
        <f t="shared" si="94"/>
        <v>МТОК 96</v>
      </c>
      <c r="L272" t="str">
        <f t="shared" si="101"/>
        <v>Опора</v>
      </c>
      <c r="M272" t="str">
        <f>"30.06.2016"</f>
        <v>30.06.2016</v>
      </c>
      <c r="N272" t="str">
        <f>"EmptySerial&lt;62624&gt;"</f>
        <v>EmptySerial&lt;62624&gt;</v>
      </c>
      <c r="O272" t="str">
        <f t="shared" si="102"/>
        <v>Нет</v>
      </c>
      <c r="P272" t="str">
        <f>""</f>
        <v/>
      </c>
      <c r="Q272" t="str">
        <f t="shared" si="103"/>
        <v>Нет</v>
      </c>
      <c r="R272" t="str">
        <f t="shared" si="98"/>
        <v>Основной</v>
      </c>
      <c r="S272" t="str">
        <f t="shared" si="99"/>
        <v>ГУТС</v>
      </c>
      <c r="T272" t="str">
        <f>""</f>
        <v/>
      </c>
      <c r="U272" t="str">
        <f t="shared" si="100"/>
        <v>Нет</v>
      </c>
      <c r="V272">
        <v>51.664670209999997</v>
      </c>
      <c r="W272">
        <v>36.119366579999998</v>
      </c>
      <c r="X272" t="str">
        <f>"20000004568544"</f>
        <v>20000004568544</v>
      </c>
    </row>
    <row r="273" spans="1:24" x14ac:dyDescent="0.25">
      <c r="A273">
        <v>907</v>
      </c>
      <c r="B273" t="str">
        <f t="shared" si="96"/>
        <v>Курск</v>
      </c>
      <c r="C273">
        <v>514480</v>
      </c>
      <c r="D273" t="str">
        <f>"М 3.1.26"</f>
        <v>М 3.1.26</v>
      </c>
      <c r="E273" t="str">
        <f t="shared" si="97"/>
        <v>Муфта оптическая</v>
      </c>
      <c r="F273" t="str">
        <f>"13.09.2016"</f>
        <v>13.09.2016</v>
      </c>
      <c r="G273" t="str">
        <f>""</f>
        <v/>
      </c>
      <c r="H273" t="str">
        <f>"М 3.1.26"</f>
        <v>М 3.1.26</v>
      </c>
      <c r="I273" t="str">
        <f>"МС 3.1"</f>
        <v>МС 3.1</v>
      </c>
      <c r="J273" t="str">
        <f>""</f>
        <v/>
      </c>
      <c r="K273" t="str">
        <f t="shared" si="94"/>
        <v>МТОК 96</v>
      </c>
      <c r="L273" t="str">
        <f t="shared" si="101"/>
        <v>Опора</v>
      </c>
      <c r="M273" t="str">
        <f>"30.06.2016"</f>
        <v>30.06.2016</v>
      </c>
      <c r="N273" t="str">
        <f>"EmptySerial&lt;62786&gt;"</f>
        <v>EmptySerial&lt;62786&gt;</v>
      </c>
      <c r="O273" t="str">
        <f t="shared" si="102"/>
        <v>Нет</v>
      </c>
      <c r="P273" t="str">
        <f>""</f>
        <v/>
      </c>
      <c r="Q273" t="str">
        <f t="shared" si="103"/>
        <v>Нет</v>
      </c>
      <c r="R273" t="str">
        <f t="shared" si="98"/>
        <v>Основной</v>
      </c>
      <c r="S273" t="str">
        <f t="shared" si="99"/>
        <v>ГУТС</v>
      </c>
      <c r="T273" t="str">
        <f>""</f>
        <v/>
      </c>
      <c r="U273" t="str">
        <f t="shared" si="100"/>
        <v>Нет</v>
      </c>
      <c r="V273">
        <v>51.79183063</v>
      </c>
      <c r="W273">
        <v>36.166506409999997</v>
      </c>
      <c r="X273" t="str">
        <f>"20000004568564"</f>
        <v>20000004568564</v>
      </c>
    </row>
    <row r="274" spans="1:24" x14ac:dyDescent="0.25">
      <c r="A274">
        <v>907</v>
      </c>
      <c r="B274" t="str">
        <f t="shared" si="96"/>
        <v>Курск</v>
      </c>
      <c r="C274">
        <v>516666</v>
      </c>
      <c r="D274" t="str">
        <f>"Т 5.7"</f>
        <v>Т 5.7</v>
      </c>
      <c r="E274" t="str">
        <f t="shared" si="97"/>
        <v>Муфта оптическая</v>
      </c>
      <c r="F274" t="str">
        <f>"06.10.2016"</f>
        <v>06.10.2016</v>
      </c>
      <c r="G274" t="str">
        <f>""</f>
        <v/>
      </c>
      <c r="H274" t="str">
        <f>"Т 5.7"</f>
        <v>Т 5.7</v>
      </c>
      <c r="I274" t="str">
        <f>"ТС"</f>
        <v>ТС</v>
      </c>
      <c r="J274" t="str">
        <f>""</f>
        <v/>
      </c>
      <c r="K274" t="str">
        <f t="shared" si="94"/>
        <v>МТОК 96</v>
      </c>
      <c r="L274" t="str">
        <f t="shared" si="101"/>
        <v>Опора</v>
      </c>
      <c r="M274" t="str">
        <f>"12.10.2016"</f>
        <v>12.10.2016</v>
      </c>
      <c r="N274" t="str">
        <f>"EmptySerial&lt;63083&gt;"</f>
        <v>EmptySerial&lt;63083&gt;</v>
      </c>
      <c r="O274" t="str">
        <f t="shared" si="102"/>
        <v>Нет</v>
      </c>
      <c r="P274" t="str">
        <f>""</f>
        <v/>
      </c>
      <c r="Q274" t="str">
        <f>"Да"</f>
        <v>Да</v>
      </c>
      <c r="R274" t="str">
        <f t="shared" si="98"/>
        <v>Основной</v>
      </c>
      <c r="S274" t="str">
        <f t="shared" si="99"/>
        <v>ГУТС</v>
      </c>
      <c r="T274" t="str">
        <f>""</f>
        <v/>
      </c>
      <c r="U274" t="str">
        <f t="shared" si="100"/>
        <v>Нет</v>
      </c>
      <c r="V274">
        <v>51.729396399999999</v>
      </c>
      <c r="W274">
        <v>36.185104809999999</v>
      </c>
      <c r="X274" t="str">
        <f>"20000004568617"</f>
        <v>20000004568617</v>
      </c>
    </row>
    <row r="275" spans="1:24" x14ac:dyDescent="0.25">
      <c r="A275">
        <v>907</v>
      </c>
      <c r="B275" t="str">
        <f t="shared" si="96"/>
        <v>Курск</v>
      </c>
      <c r="C275">
        <v>516674</v>
      </c>
      <c r="D275" t="str">
        <f>"Т 1.10"</f>
        <v>Т 1.10</v>
      </c>
      <c r="E275" t="str">
        <f t="shared" si="97"/>
        <v>Муфта оптическая</v>
      </c>
      <c r="F275" t="str">
        <f>"06.10.2016"</f>
        <v>06.10.2016</v>
      </c>
      <c r="G275" t="str">
        <f>""</f>
        <v/>
      </c>
      <c r="H275" t="str">
        <f>"Т 1.10"</f>
        <v>Т 1.10</v>
      </c>
      <c r="I275" t="str">
        <f>"ТС"</f>
        <v>ТС</v>
      </c>
      <c r="J275" t="str">
        <f>""</f>
        <v/>
      </c>
      <c r="K275" t="str">
        <f t="shared" si="94"/>
        <v>МТОК 96</v>
      </c>
      <c r="L275" t="str">
        <f t="shared" si="101"/>
        <v>Опора</v>
      </c>
      <c r="M275" t="str">
        <f>"31.12.2012"</f>
        <v>31.12.2012</v>
      </c>
      <c r="N275" t="str">
        <f>"EmptySerial&lt;63084&gt;"</f>
        <v>EmptySerial&lt;63084&gt;</v>
      </c>
      <c r="O275" t="str">
        <f t="shared" si="102"/>
        <v>Нет</v>
      </c>
      <c r="P275" t="str">
        <f>""</f>
        <v/>
      </c>
      <c r="Q275" t="str">
        <f>"Да"</f>
        <v>Да</v>
      </c>
      <c r="R275" t="str">
        <f t="shared" si="98"/>
        <v>Основной</v>
      </c>
      <c r="S275" t="str">
        <f t="shared" si="99"/>
        <v>ГУТС</v>
      </c>
      <c r="T275" t="str">
        <f>""</f>
        <v/>
      </c>
      <c r="U275" t="str">
        <f t="shared" si="100"/>
        <v>Нет</v>
      </c>
      <c r="V275">
        <v>51.719814479999997</v>
      </c>
      <c r="W275">
        <v>36.164617759999999</v>
      </c>
      <c r="X275" t="str">
        <f>"20000004568618"</f>
        <v>20000004568618</v>
      </c>
    </row>
    <row r="276" spans="1:24" x14ac:dyDescent="0.25">
      <c r="A276">
        <v>907</v>
      </c>
      <c r="B276" t="str">
        <f t="shared" si="96"/>
        <v>Курск</v>
      </c>
      <c r="C276">
        <v>518886</v>
      </c>
      <c r="D276" t="str">
        <f>"М 5.2.7"</f>
        <v>М 5.2.7</v>
      </c>
      <c r="E276" t="str">
        <f t="shared" si="97"/>
        <v>Муфта оптическая</v>
      </c>
      <c r="F276" t="str">
        <f>"07.11.2016"</f>
        <v>07.11.2016</v>
      </c>
      <c r="G276" t="str">
        <f>""</f>
        <v/>
      </c>
      <c r="H276" t="str">
        <f>"М 5.2.7"</f>
        <v>М 5.2.7</v>
      </c>
      <c r="I276" t="str">
        <f>"МС 5.2"</f>
        <v>МС 5.2</v>
      </c>
      <c r="J276" t="str">
        <f>""</f>
        <v/>
      </c>
      <c r="K276" t="str">
        <f t="shared" si="94"/>
        <v>МТОК 96</v>
      </c>
      <c r="L276" t="str">
        <f>"Крыша"</f>
        <v>Крыша</v>
      </c>
      <c r="M276" t="str">
        <f>"07.11.2016"</f>
        <v>07.11.2016</v>
      </c>
      <c r="N276" t="str">
        <f>"EmptySerial&lt;63434&gt;"</f>
        <v>EmptySerial&lt;63434&gt;</v>
      </c>
      <c r="O276" t="str">
        <f t="shared" si="102"/>
        <v>Нет</v>
      </c>
      <c r="P276" t="str">
        <f>""</f>
        <v/>
      </c>
      <c r="Q276" t="str">
        <f>"Да"</f>
        <v>Да</v>
      </c>
      <c r="R276" t="str">
        <f>"Достройка МЕ"</f>
        <v>Достройка МЕ</v>
      </c>
      <c r="S276" t="str">
        <f t="shared" si="99"/>
        <v>ГУТС</v>
      </c>
      <c r="T276" t="str">
        <f>""</f>
        <v/>
      </c>
      <c r="U276" t="str">
        <f t="shared" si="100"/>
        <v>Нет</v>
      </c>
      <c r="V276">
        <v>51.675720660000003</v>
      </c>
      <c r="W276">
        <v>36.144160249999999</v>
      </c>
      <c r="X276" t="str">
        <f>"20000004568681"</f>
        <v>20000004568681</v>
      </c>
    </row>
    <row r="277" spans="1:24" x14ac:dyDescent="0.25">
      <c r="A277">
        <v>907</v>
      </c>
      <c r="B277" t="str">
        <f t="shared" si="96"/>
        <v>Курск</v>
      </c>
      <c r="C277">
        <v>519525</v>
      </c>
      <c r="D277" t="str">
        <f>"Р1.1.1.7"</f>
        <v>Р1.1.1.7</v>
      </c>
      <c r="E277" t="str">
        <f t="shared" si="97"/>
        <v>Муфта оптическая</v>
      </c>
      <c r="F277" t="str">
        <f>"02.12.2016"</f>
        <v>02.12.2016</v>
      </c>
      <c r="G277" t="str">
        <f>""</f>
        <v/>
      </c>
      <c r="H277" t="str">
        <f>"Р1.1.1.7"</f>
        <v>Р1.1.1.7</v>
      </c>
      <c r="I277" t="str">
        <f>"Кампус - 1101"</f>
        <v>Кампус - 1101</v>
      </c>
      <c r="J277" t="str">
        <f>""</f>
        <v/>
      </c>
      <c r="K277" t="str">
        <f>"МОГ-М"</f>
        <v>МОГ-М</v>
      </c>
      <c r="L277" t="str">
        <f>"Опора"</f>
        <v>Опора</v>
      </c>
      <c r="M277" t="str">
        <f>"16.11.2016"</f>
        <v>16.11.2016</v>
      </c>
      <c r="N277" t="str">
        <f>"EmptySerial&lt;63592&gt;"</f>
        <v>EmptySerial&lt;63592&gt;</v>
      </c>
      <c r="O277" t="str">
        <f t="shared" si="102"/>
        <v>Нет</v>
      </c>
      <c r="P277" t="str">
        <f>""</f>
        <v/>
      </c>
      <c r="Q277" t="str">
        <f t="shared" ref="Q277:Q283" si="104">"Нет"</f>
        <v>Нет</v>
      </c>
      <c r="R277" t="str">
        <f t="shared" ref="R277:R310" si="105">"Основной"</f>
        <v>Основной</v>
      </c>
      <c r="S277" t="str">
        <f t="shared" si="99"/>
        <v>ГУТС</v>
      </c>
      <c r="T277" t="str">
        <f>""</f>
        <v/>
      </c>
      <c r="U277" t="str">
        <f t="shared" si="100"/>
        <v>Нет</v>
      </c>
      <c r="V277">
        <v>51.70668096</v>
      </c>
      <c r="W277">
        <v>36.175485770000002</v>
      </c>
      <c r="X277" t="str">
        <f>"20000004568712"</f>
        <v>20000004568712</v>
      </c>
    </row>
    <row r="278" spans="1:24" x14ac:dyDescent="0.25">
      <c r="A278">
        <v>907</v>
      </c>
      <c r="B278" t="str">
        <f t="shared" si="96"/>
        <v>Курск</v>
      </c>
      <c r="C278">
        <v>519666</v>
      </c>
      <c r="D278" t="str">
        <f>"Р 1.1.1.6"</f>
        <v>Р 1.1.1.6</v>
      </c>
      <c r="E278" t="str">
        <f t="shared" si="97"/>
        <v>Муфта оптическая</v>
      </c>
      <c r="F278" t="str">
        <f>"24.11.2016"</f>
        <v>24.11.2016</v>
      </c>
      <c r="G278" t="str">
        <f>""</f>
        <v/>
      </c>
      <c r="H278" t="str">
        <f>"Р 1.1.1.6"</f>
        <v>Р 1.1.1.6</v>
      </c>
      <c r="I278" t="str">
        <f>"Кампус - 1101"</f>
        <v>Кампус - 1101</v>
      </c>
      <c r="J278" t="str">
        <f>""</f>
        <v/>
      </c>
      <c r="K278" t="str">
        <f>"МТОК 96"</f>
        <v>МТОК 96</v>
      </c>
      <c r="L278" t="str">
        <f>"Опора"</f>
        <v>Опора</v>
      </c>
      <c r="M278" t="str">
        <f>"23.11.2016"</f>
        <v>23.11.2016</v>
      </c>
      <c r="N278" t="str">
        <f>"EmptySerial&lt;63604&gt;"</f>
        <v>EmptySerial&lt;63604&gt;</v>
      </c>
      <c r="O278" t="str">
        <f t="shared" si="102"/>
        <v>Нет</v>
      </c>
      <c r="P278" t="str">
        <f>""</f>
        <v/>
      </c>
      <c r="Q278" t="str">
        <f t="shared" si="104"/>
        <v>Нет</v>
      </c>
      <c r="R278" t="str">
        <f t="shared" si="105"/>
        <v>Основной</v>
      </c>
      <c r="S278" t="str">
        <f t="shared" si="99"/>
        <v>ГУТС</v>
      </c>
      <c r="T278" t="str">
        <f>""</f>
        <v/>
      </c>
      <c r="U278" t="str">
        <f t="shared" si="100"/>
        <v>Нет</v>
      </c>
      <c r="V278">
        <v>51.719881770000001</v>
      </c>
      <c r="W278">
        <v>36.187048410000003</v>
      </c>
      <c r="X278" t="str">
        <f>"20000004568720"</f>
        <v>20000004568720</v>
      </c>
    </row>
    <row r="279" spans="1:24" x14ac:dyDescent="0.25">
      <c r="A279">
        <v>907</v>
      </c>
      <c r="B279" t="str">
        <f t="shared" si="96"/>
        <v>Курск</v>
      </c>
      <c r="C279">
        <v>520067</v>
      </c>
      <c r="D279" t="str">
        <f>"М 1.4.11"</f>
        <v>М 1.4.11</v>
      </c>
      <c r="E279" t="str">
        <f t="shared" si="97"/>
        <v>Муфта оптическая</v>
      </c>
      <c r="F279" t="str">
        <f>"02.12.2016"</f>
        <v>02.12.2016</v>
      </c>
      <c r="G279" t="str">
        <f>"Ортопедическая продукция"</f>
        <v>Ортопедическая продукция</v>
      </c>
      <c r="H279" t="str">
        <f>"М 1.4.11"</f>
        <v>М 1.4.11</v>
      </c>
      <c r="I279" t="str">
        <f>"Кампус - 1408"</f>
        <v>Кампус - 1408</v>
      </c>
      <c r="J279" t="str">
        <f>""</f>
        <v/>
      </c>
      <c r="K279" t="str">
        <f>"МТОК 96"</f>
        <v>МТОК 96</v>
      </c>
      <c r="L279" t="str">
        <f>"Опора"</f>
        <v>Опора</v>
      </c>
      <c r="M279" t="str">
        <f>"29.11.2016"</f>
        <v>29.11.2016</v>
      </c>
      <c r="N279" t="str">
        <f>"EmptySerial&lt;63781&gt;"</f>
        <v>EmptySerial&lt;63781&gt;</v>
      </c>
      <c r="O279" t="str">
        <f t="shared" si="102"/>
        <v>Нет</v>
      </c>
      <c r="P279" t="str">
        <f>""</f>
        <v/>
      </c>
      <c r="Q279" t="str">
        <f t="shared" si="104"/>
        <v>Нет</v>
      </c>
      <c r="R279" t="str">
        <f t="shared" si="105"/>
        <v>Основной</v>
      </c>
      <c r="S279" t="str">
        <f t="shared" si="99"/>
        <v>ГУТС</v>
      </c>
      <c r="T279" t="str">
        <f>""</f>
        <v/>
      </c>
      <c r="U279" t="str">
        <f t="shared" si="100"/>
        <v>Нет</v>
      </c>
      <c r="V279">
        <v>51.712809659999998</v>
      </c>
      <c r="W279">
        <v>36.143662030000002</v>
      </c>
      <c r="X279" t="str">
        <f>"20000004568782"</f>
        <v>20000004568782</v>
      </c>
    </row>
    <row r="280" spans="1:24" x14ac:dyDescent="0.25">
      <c r="A280">
        <v>907</v>
      </c>
      <c r="B280" t="str">
        <f t="shared" si="96"/>
        <v>Курск</v>
      </c>
      <c r="C280">
        <v>520527</v>
      </c>
      <c r="D280" t="str">
        <f>"Р 1.2.3.1"</f>
        <v>Р 1.2.3.1</v>
      </c>
      <c r="E280" t="str">
        <f t="shared" si="97"/>
        <v>Муфта оптическая</v>
      </c>
      <c r="F280" t="str">
        <f>"28.12.2016"</f>
        <v>28.12.2016</v>
      </c>
      <c r="G280" t="str">
        <f>""</f>
        <v/>
      </c>
      <c r="H280" t="str">
        <f>"Р 1.2.3.1"</f>
        <v>Р 1.2.3.1</v>
      </c>
      <c r="I280" t="str">
        <f>"Кампус - 1203"</f>
        <v>Кампус - 1203</v>
      </c>
      <c r="J280" t="str">
        <f>""</f>
        <v/>
      </c>
      <c r="K280" t="str">
        <f>"МОГ-М"</f>
        <v>МОГ-М</v>
      </c>
      <c r="L280" t="str">
        <f>"Крыша"</f>
        <v>Крыша</v>
      </c>
      <c r="M280" t="str">
        <f>"23.11.2016"</f>
        <v>23.11.2016</v>
      </c>
      <c r="N280" t="str">
        <f>"EmptySerial&lt;63856&gt;"</f>
        <v>EmptySerial&lt;63856&gt;</v>
      </c>
      <c r="O280" t="str">
        <f t="shared" si="102"/>
        <v>Нет</v>
      </c>
      <c r="P280" t="str">
        <f>""</f>
        <v/>
      </c>
      <c r="Q280" t="str">
        <f t="shared" si="104"/>
        <v>Нет</v>
      </c>
      <c r="R280" t="str">
        <f t="shared" si="105"/>
        <v>Основной</v>
      </c>
      <c r="S280" t="str">
        <f t="shared" si="99"/>
        <v>ГУТС</v>
      </c>
      <c r="T280" t="str">
        <f>""</f>
        <v/>
      </c>
      <c r="U280" t="str">
        <f t="shared" si="100"/>
        <v>Нет</v>
      </c>
      <c r="V280">
        <v>51.703474190000001</v>
      </c>
      <c r="W280">
        <v>36.173636350000002</v>
      </c>
      <c r="X280" t="str">
        <f>"20000004568799"</f>
        <v>20000004568799</v>
      </c>
    </row>
    <row r="281" spans="1:24" x14ac:dyDescent="0.25">
      <c r="A281">
        <v>907</v>
      </c>
      <c r="B281" t="str">
        <f t="shared" si="96"/>
        <v>Курск</v>
      </c>
      <c r="C281">
        <v>521182</v>
      </c>
      <c r="D281" t="str">
        <f>"Р 1.1.1.7"</f>
        <v>Р 1.1.1.7</v>
      </c>
      <c r="E281" t="str">
        <f t="shared" si="97"/>
        <v>Муфта оптическая</v>
      </c>
      <c r="F281" t="str">
        <f>"23.12.2016"</f>
        <v>23.12.2016</v>
      </c>
      <c r="G281" t="str">
        <f>"ОБПОУ Курский техникум связи"</f>
        <v>ОБПОУ Курский техникум связи</v>
      </c>
      <c r="H281" t="str">
        <f>"Р 1.1.1.7"</f>
        <v>Р 1.1.1.7</v>
      </c>
      <c r="I281" t="str">
        <f>"Курск, Софьи Перовской, 24"</f>
        <v>Курск, Софьи Перовской, 24</v>
      </c>
      <c r="J281" t="str">
        <f>"Курск, Софьи Перовской, 24"</f>
        <v>Курск, Софьи Перовской, 24</v>
      </c>
      <c r="K281" t="str">
        <f>"МОГ-М"</f>
        <v>МОГ-М</v>
      </c>
      <c r="L281" t="str">
        <f>"Опора"</f>
        <v>Опора</v>
      </c>
      <c r="M281" t="str">
        <f>"13.12.2016"</f>
        <v>13.12.2016</v>
      </c>
      <c r="N281" t="str">
        <f>"EmptySerial&lt;64099&gt;"</f>
        <v>EmptySerial&lt;64099&gt;</v>
      </c>
      <c r="O281" t="str">
        <f t="shared" si="102"/>
        <v>Нет</v>
      </c>
      <c r="P281" t="str">
        <f>""</f>
        <v/>
      </c>
      <c r="Q281" t="str">
        <f t="shared" si="104"/>
        <v>Нет</v>
      </c>
      <c r="R281" t="str">
        <f t="shared" si="105"/>
        <v>Основной</v>
      </c>
      <c r="S281" t="str">
        <f t="shared" si="99"/>
        <v>ГУТС</v>
      </c>
      <c r="T281" t="str">
        <f>""</f>
        <v/>
      </c>
      <c r="U281" t="str">
        <f t="shared" si="100"/>
        <v>Нет</v>
      </c>
      <c r="V281">
        <v>51.722935769999999</v>
      </c>
      <c r="W281">
        <v>36.185673469999998</v>
      </c>
      <c r="X281" t="str">
        <f>"20000006259921"</f>
        <v>20000006259921</v>
      </c>
    </row>
    <row r="282" spans="1:24" x14ac:dyDescent="0.25">
      <c r="A282">
        <v>907</v>
      </c>
      <c r="B282" t="str">
        <f t="shared" si="96"/>
        <v>Курск</v>
      </c>
      <c r="C282">
        <v>522666</v>
      </c>
      <c r="D282" t="str">
        <f>"М 1.2.10"</f>
        <v>М 1.2.10</v>
      </c>
      <c r="E282" t="str">
        <f t="shared" si="97"/>
        <v>Муфта оптическая</v>
      </c>
      <c r="F282" t="str">
        <f>"06.02.2017"</f>
        <v>06.02.2017</v>
      </c>
      <c r="G282" t="str">
        <f>"Фирма Тепломонтаж"</f>
        <v>Фирма Тепломонтаж</v>
      </c>
      <c r="H282" t="str">
        <f>"М 1.2.10"</f>
        <v>М 1.2.10</v>
      </c>
      <c r="I282" t="str">
        <f>"Курск, Ольшанского, 7 а"</f>
        <v>Курск, Ольшанского, 7 а</v>
      </c>
      <c r="J282" t="str">
        <f>"Курск, Ольшанского, 7 а"</f>
        <v>Курск, Ольшанского, 7 а</v>
      </c>
      <c r="K282" t="str">
        <f>"МОГ-М"</f>
        <v>МОГ-М</v>
      </c>
      <c r="L282" t="str">
        <f>"Чердак"</f>
        <v>Чердак</v>
      </c>
      <c r="M282" t="str">
        <f>"22.02.2017"</f>
        <v>22.02.2017</v>
      </c>
      <c r="N282" t="str">
        <f>"EmptySerial&lt;64364&gt;"</f>
        <v>EmptySerial&lt;64364&gt;</v>
      </c>
      <c r="O282" t="str">
        <f t="shared" si="102"/>
        <v>Нет</v>
      </c>
      <c r="P282" t="str">
        <f>""</f>
        <v/>
      </c>
      <c r="Q282" t="str">
        <f t="shared" si="104"/>
        <v>Нет</v>
      </c>
      <c r="R282" t="str">
        <f t="shared" si="105"/>
        <v>Основной</v>
      </c>
      <c r="S282" t="str">
        <f t="shared" si="99"/>
        <v>ГУТС</v>
      </c>
      <c r="T282" t="str">
        <f>""</f>
        <v/>
      </c>
      <c r="U282" t="str">
        <f t="shared" si="100"/>
        <v>Нет</v>
      </c>
      <c r="V282">
        <v>51.703081470000001</v>
      </c>
      <c r="W282">
        <v>36.160087339999997</v>
      </c>
      <c r="X282" t="str">
        <f>"20000006259916"</f>
        <v>20000006259916</v>
      </c>
    </row>
    <row r="283" spans="1:24" x14ac:dyDescent="0.25">
      <c r="A283">
        <v>907</v>
      </c>
      <c r="B283" t="str">
        <f t="shared" si="96"/>
        <v>Курск</v>
      </c>
      <c r="C283">
        <v>523869</v>
      </c>
      <c r="D283" t="str">
        <f>"Р 3.4.6.3"</f>
        <v>Р 3.4.6.3</v>
      </c>
      <c r="E283" t="str">
        <f t="shared" si="97"/>
        <v>Муфта оптическая</v>
      </c>
      <c r="F283" t="str">
        <f>"26.04.2017"</f>
        <v>26.04.2017</v>
      </c>
      <c r="G283" t="str">
        <f>""</f>
        <v/>
      </c>
      <c r="H283" t="str">
        <f>"Р 3.4.6.3"</f>
        <v>Р 3.4.6.3</v>
      </c>
      <c r="I283" t="str">
        <f>"Кампус - 3406"</f>
        <v>Кампус - 3406</v>
      </c>
      <c r="J283" t="str">
        <f>""</f>
        <v/>
      </c>
      <c r="K283" t="str">
        <f>"МОГ-М"</f>
        <v>МОГ-М</v>
      </c>
      <c r="L283" t="str">
        <f>"Опора"</f>
        <v>Опора</v>
      </c>
      <c r="M283" t="str">
        <f>"30.03.2017"</f>
        <v>30.03.2017</v>
      </c>
      <c r="N283" t="str">
        <f>"EmptySerial&lt;64606&gt;"</f>
        <v>EmptySerial&lt;64606&gt;</v>
      </c>
      <c r="O283" t="str">
        <f t="shared" si="102"/>
        <v>Нет</v>
      </c>
      <c r="P283" t="str">
        <f>""</f>
        <v/>
      </c>
      <c r="Q283" t="str">
        <f t="shared" si="104"/>
        <v>Нет</v>
      </c>
      <c r="R283" t="str">
        <f t="shared" si="105"/>
        <v>Основной</v>
      </c>
      <c r="S283" t="str">
        <f t="shared" si="99"/>
        <v>ГУТС</v>
      </c>
      <c r="T283" t="str">
        <f>""</f>
        <v/>
      </c>
      <c r="U283" t="str">
        <f t="shared" si="100"/>
        <v>Нет</v>
      </c>
      <c r="V283">
        <v>51.73759166</v>
      </c>
      <c r="W283">
        <v>36.196525989999998</v>
      </c>
      <c r="X283" t="str">
        <f>"20000006259922"</f>
        <v>20000006259922</v>
      </c>
    </row>
    <row r="284" spans="1:24" x14ac:dyDescent="0.25">
      <c r="A284">
        <v>907</v>
      </c>
      <c r="B284" t="str">
        <f t="shared" si="96"/>
        <v>Курск</v>
      </c>
      <c r="C284">
        <v>524493</v>
      </c>
      <c r="D284" t="str">
        <f>"М 4.1.10"</f>
        <v>М 4.1.10</v>
      </c>
      <c r="E284" t="str">
        <f t="shared" si="97"/>
        <v>Муфта оптическая</v>
      </c>
      <c r="F284" t="str">
        <f>"30.03.2017"</f>
        <v>30.03.2017</v>
      </c>
      <c r="G284" t="str">
        <f>""</f>
        <v/>
      </c>
      <c r="H284" t="str">
        <f>"М 4.1.10"</f>
        <v>М 4.1.10</v>
      </c>
      <c r="I284" t="str">
        <f>"Кампус - 4101"</f>
        <v>Кампус - 4101</v>
      </c>
      <c r="J284" t="str">
        <f>""</f>
        <v/>
      </c>
      <c r="K284" t="str">
        <f>"МТОК 96"</f>
        <v>МТОК 96</v>
      </c>
      <c r="L284" t="str">
        <f>"Опора"</f>
        <v>Опора</v>
      </c>
      <c r="M284" t="str">
        <f>"30.03.2017"</f>
        <v>30.03.2017</v>
      </c>
      <c r="N284" t="str">
        <f>"EmptySerial&lt;64815&gt;"</f>
        <v>EmptySerial&lt;64815&gt;</v>
      </c>
      <c r="O284" t="str">
        <f t="shared" si="102"/>
        <v>Нет</v>
      </c>
      <c r="P284" t="str">
        <f>""</f>
        <v/>
      </c>
      <c r="Q284" t="str">
        <f>"Да"</f>
        <v>Да</v>
      </c>
      <c r="R284" t="str">
        <f t="shared" si="105"/>
        <v>Основной</v>
      </c>
      <c r="S284" t="str">
        <f t="shared" si="99"/>
        <v>ГУТС</v>
      </c>
      <c r="T284" t="str">
        <f>""</f>
        <v/>
      </c>
      <c r="U284" t="str">
        <f t="shared" si="100"/>
        <v>Нет</v>
      </c>
      <c r="V284">
        <v>51.740665229999998</v>
      </c>
      <c r="W284">
        <v>36.232413610000002</v>
      </c>
      <c r="X284" t="str">
        <f>"20000006260650"</f>
        <v>20000006260650</v>
      </c>
    </row>
    <row r="285" spans="1:24" x14ac:dyDescent="0.25">
      <c r="A285">
        <v>907</v>
      </c>
      <c r="B285" t="str">
        <f t="shared" si="96"/>
        <v>Курск</v>
      </c>
      <c r="C285">
        <v>524497</v>
      </c>
      <c r="D285" t="str">
        <f>"М 4.1.12"</f>
        <v>М 4.1.12</v>
      </c>
      <c r="E285" t="str">
        <f t="shared" si="97"/>
        <v>Муфта оптическая</v>
      </c>
      <c r="F285" t="str">
        <f>"30.03.2017"</f>
        <v>30.03.2017</v>
      </c>
      <c r="G285" t="str">
        <f>""</f>
        <v/>
      </c>
      <c r="H285" t="str">
        <f>"М 4.1.12"</f>
        <v>М 4.1.12</v>
      </c>
      <c r="I285" t="str">
        <f>"Кампус - 4101"</f>
        <v>Кампус - 4101</v>
      </c>
      <c r="J285" t="str">
        <f>""</f>
        <v/>
      </c>
      <c r="K285" t="str">
        <f>"МТОК 96"</f>
        <v>МТОК 96</v>
      </c>
      <c r="L285" t="str">
        <f>"Опора"</f>
        <v>Опора</v>
      </c>
      <c r="M285" t="str">
        <f>"30.03.2017"</f>
        <v>30.03.2017</v>
      </c>
      <c r="N285" t="str">
        <f>"EmptySerial&lt;64816&gt;"</f>
        <v>EmptySerial&lt;64816&gt;</v>
      </c>
      <c r="O285" t="str">
        <f t="shared" si="102"/>
        <v>Нет</v>
      </c>
      <c r="P285" t="str">
        <f>""</f>
        <v/>
      </c>
      <c r="Q285" t="str">
        <f>"Да"</f>
        <v>Да</v>
      </c>
      <c r="R285" t="str">
        <f t="shared" si="105"/>
        <v>Основной</v>
      </c>
      <c r="S285" t="str">
        <f t="shared" si="99"/>
        <v>ГУТС</v>
      </c>
      <c r="T285" t="str">
        <f>""</f>
        <v/>
      </c>
      <c r="U285" t="str">
        <f t="shared" si="100"/>
        <v>Нет</v>
      </c>
      <c r="V285">
        <v>51.740135780000003</v>
      </c>
      <c r="W285">
        <v>36.231749120000003</v>
      </c>
      <c r="X285" t="str">
        <f>"20000006260651"</f>
        <v>20000006260651</v>
      </c>
    </row>
    <row r="286" spans="1:24" x14ac:dyDescent="0.25">
      <c r="A286">
        <v>907</v>
      </c>
      <c r="B286" t="str">
        <f t="shared" si="96"/>
        <v>Курск</v>
      </c>
      <c r="C286">
        <v>524666</v>
      </c>
      <c r="D286" t="str">
        <f>"Т 4.9"</f>
        <v>Т 4.9</v>
      </c>
      <c r="E286" t="str">
        <f t="shared" si="97"/>
        <v>Муфта оптическая</v>
      </c>
      <c r="F286" t="str">
        <f>"17.04.2017"</f>
        <v>17.04.2017</v>
      </c>
      <c r="G286" t="str">
        <f>"Вынос Энгельса 171"</f>
        <v>Вынос Энгельса 171</v>
      </c>
      <c r="H286" t="str">
        <f>"Т 4.9"</f>
        <v>Т 4.9</v>
      </c>
      <c r="I286" t="str">
        <f>"Кампус - 1101"</f>
        <v>Кампус - 1101</v>
      </c>
      <c r="J286" t="str">
        <f>""</f>
        <v/>
      </c>
      <c r="K286" t="str">
        <f>"МОГ-М"</f>
        <v>МОГ-М</v>
      </c>
      <c r="L286" t="str">
        <f>"Опора"</f>
        <v>Опора</v>
      </c>
      <c r="M286" t="str">
        <f>"26.04.2017"</f>
        <v>26.04.2017</v>
      </c>
      <c r="N286" t="str">
        <f>"EmptySerial&lt;64923&gt;"</f>
        <v>EmptySerial&lt;64923&gt;</v>
      </c>
      <c r="O286" t="str">
        <f t="shared" si="102"/>
        <v>Нет</v>
      </c>
      <c r="P286" t="str">
        <f>""</f>
        <v/>
      </c>
      <c r="Q286" t="str">
        <f>"Нет"</f>
        <v>Нет</v>
      </c>
      <c r="R286" t="str">
        <f t="shared" si="105"/>
        <v>Основной</v>
      </c>
      <c r="S286" t="str">
        <f t="shared" si="99"/>
        <v>ГУТС</v>
      </c>
      <c r="T286" t="str">
        <f>""</f>
        <v/>
      </c>
      <c r="U286" t="str">
        <f t="shared" si="100"/>
        <v>Нет</v>
      </c>
      <c r="V286">
        <v>51.695006939999999</v>
      </c>
      <c r="W286">
        <v>36.154059580000002</v>
      </c>
      <c r="X286" t="str">
        <f>"20000006260652"</f>
        <v>20000006260652</v>
      </c>
    </row>
    <row r="287" spans="1:24" x14ac:dyDescent="0.25">
      <c r="A287">
        <v>907</v>
      </c>
      <c r="B287" t="str">
        <f t="shared" si="96"/>
        <v>Курск</v>
      </c>
      <c r="C287">
        <v>525917</v>
      </c>
      <c r="D287" t="str">
        <f>"М 4.2.9"</f>
        <v>М 4.2.9</v>
      </c>
      <c r="E287" t="str">
        <f t="shared" si="97"/>
        <v>Муфта оптическая</v>
      </c>
      <c r="F287" t="str">
        <f>"30.05.2017"</f>
        <v>30.05.2017</v>
      </c>
      <c r="G287" t="str">
        <f>"Оздоровительный, водно-спортивный, рекреационный центр"</f>
        <v>Оздоровительный, водно-спортивный, рекреационный центр</v>
      </c>
      <c r="H287" t="str">
        <f>"М 4.2.9"</f>
        <v>М 4.2.9</v>
      </c>
      <c r="I287" t="str">
        <f>"Кампус - 4202"</f>
        <v>Кампус - 4202</v>
      </c>
      <c r="J287" t="str">
        <f>""</f>
        <v/>
      </c>
      <c r="K287" t="str">
        <f>"МОГ-М"</f>
        <v>МОГ-М</v>
      </c>
      <c r="L287" t="str">
        <f>"ДШ-1"</f>
        <v>ДШ-1</v>
      </c>
      <c r="M287" t="str">
        <f>"30.05.2017"</f>
        <v>30.05.2017</v>
      </c>
      <c r="N287" t="str">
        <f>"EmptySerial&lt;65516&gt;"</f>
        <v>EmptySerial&lt;65516&gt;</v>
      </c>
      <c r="O287" t="str">
        <f t="shared" si="102"/>
        <v>Нет</v>
      </c>
      <c r="P287" t="str">
        <f>""</f>
        <v/>
      </c>
      <c r="Q287" t="str">
        <f>"Нет"</f>
        <v>Нет</v>
      </c>
      <c r="R287" t="str">
        <f t="shared" si="105"/>
        <v>Основной</v>
      </c>
      <c r="S287" t="str">
        <f t="shared" si="99"/>
        <v>ГУТС</v>
      </c>
      <c r="T287" t="str">
        <f>""</f>
        <v/>
      </c>
      <c r="U287" t="str">
        <f t="shared" si="100"/>
        <v>Нет</v>
      </c>
      <c r="V287">
        <v>51.746749659999999</v>
      </c>
      <c r="W287">
        <v>36.254305299999999</v>
      </c>
      <c r="X287" t="str">
        <f>"20000006260679"</f>
        <v>20000006260679</v>
      </c>
    </row>
    <row r="288" spans="1:24" x14ac:dyDescent="0.25">
      <c r="A288">
        <v>907</v>
      </c>
      <c r="B288" t="str">
        <f t="shared" si="96"/>
        <v>Курск</v>
      </c>
      <c r="C288">
        <v>527066</v>
      </c>
      <c r="D288" t="str">
        <f>"М 1.3.24"</f>
        <v>М 1.3.24</v>
      </c>
      <c r="E288" t="str">
        <f t="shared" si="97"/>
        <v>Муфта оптическая</v>
      </c>
      <c r="F288" t="str">
        <f>"22.06.2017"</f>
        <v>22.06.2017</v>
      </c>
      <c r="G288" t="str">
        <f>"Хлебпром"</f>
        <v>Хлебпром</v>
      </c>
      <c r="H288" t="str">
        <f>"М 1.3.24"</f>
        <v>М 1.3.24</v>
      </c>
      <c r="I288" t="str">
        <f>"Кампус - 1408"</f>
        <v>Кампус - 1408</v>
      </c>
      <c r="J288" t="str">
        <f>""</f>
        <v/>
      </c>
      <c r="K288" t="str">
        <f>"МТОК 96"</f>
        <v>МТОК 96</v>
      </c>
      <c r="L288" t="str">
        <f>"Опора"</f>
        <v>Опора</v>
      </c>
      <c r="M288" t="str">
        <f>"21.06.2017"</f>
        <v>21.06.2017</v>
      </c>
      <c r="N288" t="str">
        <f>"EmptySerial&lt;65817&gt;"</f>
        <v>EmptySerial&lt;65817&gt;</v>
      </c>
      <c r="O288" t="str">
        <f t="shared" si="102"/>
        <v>Нет</v>
      </c>
      <c r="P288" t="str">
        <f>""</f>
        <v/>
      </c>
      <c r="Q288" t="str">
        <f>"Нет"</f>
        <v>Нет</v>
      </c>
      <c r="R288" t="str">
        <f t="shared" si="105"/>
        <v>Основной</v>
      </c>
      <c r="S288" t="str">
        <f t="shared" si="99"/>
        <v>ГУТС</v>
      </c>
      <c r="T288" t="str">
        <f>""</f>
        <v/>
      </c>
      <c r="U288" t="str">
        <f t="shared" si="100"/>
        <v>Нет</v>
      </c>
      <c r="V288">
        <v>51.709250900000001</v>
      </c>
      <c r="W288">
        <v>36.156408999999996</v>
      </c>
      <c r="X288" t="str">
        <f>"20000006260723"</f>
        <v>20000006260723</v>
      </c>
    </row>
    <row r="289" spans="1:24" x14ac:dyDescent="0.25">
      <c r="A289">
        <v>907</v>
      </c>
      <c r="B289" t="str">
        <f t="shared" si="96"/>
        <v>Курск</v>
      </c>
      <c r="C289">
        <v>527666</v>
      </c>
      <c r="D289" t="str">
        <f>"М 5.6.7"</f>
        <v>М 5.6.7</v>
      </c>
      <c r="E289" t="str">
        <f t="shared" si="97"/>
        <v>Муфта оптическая</v>
      </c>
      <c r="F289" t="str">
        <f>"26.07.2017"</f>
        <v>26.07.2017</v>
      </c>
      <c r="G289" t="str">
        <f>""</f>
        <v/>
      </c>
      <c r="H289" t="str">
        <f>"М 5.6.7"</f>
        <v>М 5.6.7</v>
      </c>
      <c r="I289" t="str">
        <f>"МС 5.6"</f>
        <v>МС 5.6</v>
      </c>
      <c r="J289" t="str">
        <f>""</f>
        <v/>
      </c>
      <c r="K289" t="str">
        <f>"МТОК 96"</f>
        <v>МТОК 96</v>
      </c>
      <c r="L289" t="str">
        <f>"Опора"</f>
        <v>Опора</v>
      </c>
      <c r="M289" t="str">
        <f>"04.11.2015"</f>
        <v>04.11.2015</v>
      </c>
      <c r="N289" t="str">
        <f>"EmptySerial&lt;66309&gt;"</f>
        <v>EmptySerial&lt;66309&gt;</v>
      </c>
      <c r="O289" t="str">
        <f t="shared" si="102"/>
        <v>Нет</v>
      </c>
      <c r="P289" t="str">
        <f>""</f>
        <v/>
      </c>
      <c r="Q289" t="str">
        <f>"Да"</f>
        <v>Да</v>
      </c>
      <c r="R289" t="str">
        <f t="shared" si="105"/>
        <v>Основной</v>
      </c>
      <c r="S289" t="str">
        <f t="shared" si="99"/>
        <v>ГУТС</v>
      </c>
      <c r="T289" t="str">
        <f>""</f>
        <v/>
      </c>
      <c r="U289" t="str">
        <f t="shared" si="100"/>
        <v>Нет</v>
      </c>
      <c r="V289">
        <v>51.650668029999999</v>
      </c>
      <c r="W289">
        <v>36.129853310000001</v>
      </c>
      <c r="X289" t="str">
        <f>"20000004569434"</f>
        <v>20000004569434</v>
      </c>
    </row>
    <row r="290" spans="1:24" x14ac:dyDescent="0.25">
      <c r="A290">
        <v>907</v>
      </c>
      <c r="B290" t="str">
        <f t="shared" si="96"/>
        <v>Курск</v>
      </c>
      <c r="C290">
        <v>527670</v>
      </c>
      <c r="D290" t="str">
        <f>"М 5.6.8"</f>
        <v>М 5.6.8</v>
      </c>
      <c r="E290" t="str">
        <f t="shared" si="97"/>
        <v>Муфта оптическая</v>
      </c>
      <c r="F290" t="str">
        <f>"26.07.2017"</f>
        <v>26.07.2017</v>
      </c>
      <c r="G290" t="str">
        <f>""</f>
        <v/>
      </c>
      <c r="H290" t="str">
        <f>"М 5.6.8"</f>
        <v>М 5.6.8</v>
      </c>
      <c r="I290" t="str">
        <f>"МС 5.6"</f>
        <v>МС 5.6</v>
      </c>
      <c r="J290" t="str">
        <f>""</f>
        <v/>
      </c>
      <c r="K290" t="str">
        <f>"МТОК 96"</f>
        <v>МТОК 96</v>
      </c>
      <c r="L290" t="str">
        <f>"Опора"</f>
        <v>Опора</v>
      </c>
      <c r="M290" t="str">
        <f>"06.10.2015"</f>
        <v>06.10.2015</v>
      </c>
      <c r="N290" t="str">
        <f>"EmptySerial&lt;66308&gt;"</f>
        <v>EmptySerial&lt;66308&gt;</v>
      </c>
      <c r="O290" t="str">
        <f t="shared" si="102"/>
        <v>Нет</v>
      </c>
      <c r="P290" t="str">
        <f>""</f>
        <v/>
      </c>
      <c r="Q290" t="str">
        <f>"Да"</f>
        <v>Да</v>
      </c>
      <c r="R290" t="str">
        <f t="shared" si="105"/>
        <v>Основной</v>
      </c>
      <c r="S290" t="str">
        <f t="shared" si="99"/>
        <v>ГУТС</v>
      </c>
      <c r="T290" t="str">
        <f>""</f>
        <v/>
      </c>
      <c r="U290" t="str">
        <f t="shared" si="100"/>
        <v>Нет</v>
      </c>
      <c r="V290">
        <v>51.65019436</v>
      </c>
      <c r="W290">
        <v>36.129739659999998</v>
      </c>
      <c r="X290" t="str">
        <f>"20000004569435"</f>
        <v>20000004569435</v>
      </c>
    </row>
    <row r="291" spans="1:24" x14ac:dyDescent="0.25">
      <c r="A291">
        <v>907</v>
      </c>
      <c r="B291" t="str">
        <f t="shared" si="96"/>
        <v>Курск</v>
      </c>
      <c r="C291">
        <v>529266</v>
      </c>
      <c r="D291" t="str">
        <f>"М 4.1.11"</f>
        <v>М 4.1.11</v>
      </c>
      <c r="E291" t="str">
        <f t="shared" si="97"/>
        <v>Муфта оптическая</v>
      </c>
      <c r="F291" t="str">
        <f>"31.08.2017"</f>
        <v>31.08.2017</v>
      </c>
      <c r="G291" t="str">
        <f>"""Курское молоко"""</f>
        <v>"Курское молоко"</v>
      </c>
      <c r="H291" t="str">
        <f>"М 4.1.11"</f>
        <v>М 4.1.11</v>
      </c>
      <c r="I291" t="str">
        <f>"Кампус - 4101"</f>
        <v>Кампус - 4101</v>
      </c>
      <c r="J291" t="str">
        <f>""</f>
        <v/>
      </c>
      <c r="K291" t="str">
        <f>"МОГ-М"</f>
        <v>МОГ-М</v>
      </c>
      <c r="L291" t="str">
        <f>"Крыша"</f>
        <v>Крыша</v>
      </c>
      <c r="M291" t="str">
        <f>"24.08.2017"</f>
        <v>24.08.2017</v>
      </c>
      <c r="N291" t="str">
        <f>"EmptySerial&lt;66585&gt;"</f>
        <v>EmptySerial&lt;66585&gt;</v>
      </c>
      <c r="O291" t="str">
        <f t="shared" si="102"/>
        <v>Нет</v>
      </c>
      <c r="P291" t="str">
        <f>""</f>
        <v/>
      </c>
      <c r="Q291" t="str">
        <f>"Нет"</f>
        <v>Нет</v>
      </c>
      <c r="R291" t="str">
        <f t="shared" si="105"/>
        <v>Основной</v>
      </c>
      <c r="S291" t="str">
        <f t="shared" si="99"/>
        <v>ГУТС</v>
      </c>
      <c r="T291" t="str">
        <f>""</f>
        <v/>
      </c>
      <c r="U291" t="str">
        <f t="shared" si="100"/>
        <v>Нет</v>
      </c>
      <c r="V291">
        <v>51.739741299999999</v>
      </c>
      <c r="W291">
        <v>36.237206749999999</v>
      </c>
      <c r="X291" t="str">
        <f>"20000006260454"</f>
        <v>20000006260454</v>
      </c>
    </row>
    <row r="292" spans="1:24" x14ac:dyDescent="0.25">
      <c r="A292">
        <v>907</v>
      </c>
      <c r="B292" t="str">
        <f t="shared" si="96"/>
        <v>Курск</v>
      </c>
      <c r="C292">
        <v>529542</v>
      </c>
      <c r="D292" t="str">
        <f>"М 4.1.13"</f>
        <v>М 4.1.13</v>
      </c>
      <c r="E292" t="str">
        <f t="shared" si="97"/>
        <v>Муфта оптическая</v>
      </c>
      <c r="F292" t="str">
        <f>"05.09.2017"</f>
        <v>05.09.2017</v>
      </c>
      <c r="G292" t="str">
        <f>"Вынос Ухтомского 41"</f>
        <v>Вынос Ухтомского 41</v>
      </c>
      <c r="H292" t="str">
        <f>"М 4.1.13"</f>
        <v>М 4.1.13</v>
      </c>
      <c r="I292" t="str">
        <f>"Кампус - 4101"</f>
        <v>Кампус - 4101</v>
      </c>
      <c r="J292" t="str">
        <f>""</f>
        <v/>
      </c>
      <c r="K292" t="str">
        <f>"МОГ-М"</f>
        <v>МОГ-М</v>
      </c>
      <c r="L292" t="str">
        <f>"Опора"</f>
        <v>Опора</v>
      </c>
      <c r="M292" t="str">
        <f>"30.08.2017"</f>
        <v>30.08.2017</v>
      </c>
      <c r="N292" t="str">
        <f>"EmptySerial&lt;66644&gt;"</f>
        <v>EmptySerial&lt;66644&gt;</v>
      </c>
      <c r="O292" t="str">
        <f t="shared" si="102"/>
        <v>Нет</v>
      </c>
      <c r="P292" t="str">
        <f>""</f>
        <v/>
      </c>
      <c r="Q292" t="str">
        <f>"Нет"</f>
        <v>Нет</v>
      </c>
      <c r="R292" t="str">
        <f t="shared" si="105"/>
        <v>Основной</v>
      </c>
      <c r="S292" t="str">
        <f t="shared" si="99"/>
        <v>ГУТС</v>
      </c>
      <c r="T292" t="str">
        <f>""</f>
        <v/>
      </c>
      <c r="U292" t="str">
        <f t="shared" si="100"/>
        <v>Нет</v>
      </c>
      <c r="V292">
        <v>51.740265579999999</v>
      </c>
      <c r="W292">
        <v>36.236089579999998</v>
      </c>
      <c r="X292" t="str">
        <f>"20000006260458"</f>
        <v>20000006260458</v>
      </c>
    </row>
    <row r="293" spans="1:24" x14ac:dyDescent="0.25">
      <c r="A293">
        <v>907</v>
      </c>
      <c r="B293" t="str">
        <f t="shared" si="96"/>
        <v>Курск</v>
      </c>
      <c r="C293">
        <v>529666</v>
      </c>
      <c r="D293" t="str">
        <f>"Т 5.8"</f>
        <v>Т 5.8</v>
      </c>
      <c r="E293" t="str">
        <f t="shared" si="97"/>
        <v>Муфта оптическая</v>
      </c>
      <c r="F293" t="str">
        <f>"25.09.2017"</f>
        <v>25.09.2017</v>
      </c>
      <c r="G293" t="str">
        <f>"Коллегия адвокатов Защитник Адвокатской палаты Курской области"</f>
        <v>Коллегия адвокатов Защитник Адвокатской палаты Курской области</v>
      </c>
      <c r="H293" t="str">
        <f>"Т 5.8"</f>
        <v>Т 5.8</v>
      </c>
      <c r="I293" t="str">
        <f>"Кампус - 1101"</f>
        <v>Кампус - 1101</v>
      </c>
      <c r="J293" t="str">
        <f>""</f>
        <v/>
      </c>
      <c r="K293" t="str">
        <f>"МОГ-М"</f>
        <v>МОГ-М</v>
      </c>
      <c r="L293" t="str">
        <f>"Офис"</f>
        <v>Офис</v>
      </c>
      <c r="M293" t="str">
        <f>"21.09.2017"</f>
        <v>21.09.2017</v>
      </c>
      <c r="N293" t="str">
        <f>"EmptySerial&lt;66751&gt;"</f>
        <v>EmptySerial&lt;66751&gt;</v>
      </c>
      <c r="O293" t="str">
        <f t="shared" si="102"/>
        <v>Нет</v>
      </c>
      <c r="P293" t="str">
        <f>""</f>
        <v/>
      </c>
      <c r="Q293" t="str">
        <f>"Нет"</f>
        <v>Нет</v>
      </c>
      <c r="R293" t="str">
        <f t="shared" si="105"/>
        <v>Основной</v>
      </c>
      <c r="S293" t="str">
        <f t="shared" si="99"/>
        <v>ГУТС</v>
      </c>
      <c r="T293" t="str">
        <f>""</f>
        <v/>
      </c>
      <c r="U293" t="str">
        <f t="shared" si="100"/>
        <v>Нет</v>
      </c>
      <c r="V293">
        <v>51.730138359999998</v>
      </c>
      <c r="W293">
        <v>36.190044469999997</v>
      </c>
      <c r="X293" t="str">
        <f>"20000006260496"</f>
        <v>20000006260496</v>
      </c>
    </row>
    <row r="294" spans="1:24" x14ac:dyDescent="0.25">
      <c r="A294">
        <v>907</v>
      </c>
      <c r="B294" t="str">
        <f t="shared" si="96"/>
        <v>Курск</v>
      </c>
      <c r="C294">
        <v>531666</v>
      </c>
      <c r="D294" t="str">
        <f>"М.5.4.17"</f>
        <v>М.5.4.17</v>
      </c>
      <c r="E294" t="str">
        <f t="shared" si="97"/>
        <v>Муфта оптическая</v>
      </c>
      <c r="F294" t="str">
        <f>"28.11.2017"</f>
        <v>28.11.2017</v>
      </c>
      <c r="G294" t="str">
        <f>""</f>
        <v/>
      </c>
      <c r="H294" t="str">
        <f>"М.5.4.17"</f>
        <v>М.5.4.17</v>
      </c>
      <c r="I294" t="str">
        <f>"МС 5.4"</f>
        <v>МС 5.4</v>
      </c>
      <c r="J294" t="str">
        <f>""</f>
        <v/>
      </c>
      <c r="K294" t="str">
        <f t="shared" ref="K294:K306" si="106">"МТОК 96"</f>
        <v>МТОК 96</v>
      </c>
      <c r="L294" t="str">
        <f>"Опора"</f>
        <v>Опора</v>
      </c>
      <c r="M294" t="str">
        <f>"28.11.2017"</f>
        <v>28.11.2017</v>
      </c>
      <c r="N294" t="str">
        <f>"EmptySerial&lt;68026&gt;"</f>
        <v>EmptySerial&lt;68026&gt;</v>
      </c>
      <c r="O294" t="str">
        <f t="shared" si="102"/>
        <v>Нет</v>
      </c>
      <c r="P294" t="str">
        <f>""</f>
        <v/>
      </c>
      <c r="Q294" t="str">
        <f>"Да"</f>
        <v>Да</v>
      </c>
      <c r="R294" t="str">
        <f t="shared" si="105"/>
        <v>Основной</v>
      </c>
      <c r="S294" t="str">
        <f t="shared" si="99"/>
        <v>ГУТС</v>
      </c>
      <c r="T294" t="str">
        <f>""</f>
        <v/>
      </c>
      <c r="U294" t="str">
        <f t="shared" si="100"/>
        <v>Нет</v>
      </c>
      <c r="V294">
        <v>51.667929870000002</v>
      </c>
      <c r="W294">
        <v>36.094551090000003</v>
      </c>
      <c r="X294" t="str">
        <f>"20000004569762"</f>
        <v>20000004569762</v>
      </c>
    </row>
    <row r="295" spans="1:24" x14ac:dyDescent="0.25">
      <c r="A295">
        <v>907</v>
      </c>
      <c r="B295" t="str">
        <f t="shared" si="96"/>
        <v>Курск</v>
      </c>
      <c r="C295">
        <v>532493</v>
      </c>
      <c r="D295" t="str">
        <f>"М 1.3.2.1"</f>
        <v>М 1.3.2.1</v>
      </c>
      <c r="E295" t="str">
        <f t="shared" si="97"/>
        <v>Муфта оптическая</v>
      </c>
      <c r="F295" t="str">
        <f>"27.12.2017"</f>
        <v>27.12.2017</v>
      </c>
      <c r="G295" t="str">
        <f>"""Торговый Дом Авто Ресурс"""</f>
        <v>"Торговый Дом Авто Ресурс"</v>
      </c>
      <c r="H295" t="str">
        <f>"М 1.3.2.1"</f>
        <v>М 1.3.2.1</v>
      </c>
      <c r="I295" t="str">
        <f>"Кампус - 1408"</f>
        <v>Кампус - 1408</v>
      </c>
      <c r="J295" t="str">
        <f>""</f>
        <v/>
      </c>
      <c r="K295" t="str">
        <f t="shared" si="106"/>
        <v>МТОК 96</v>
      </c>
      <c r="L295" t="str">
        <f>"Опора"</f>
        <v>Опора</v>
      </c>
      <c r="M295" t="str">
        <f>"24.01.2018"</f>
        <v>24.01.2018</v>
      </c>
      <c r="N295" t="str">
        <f>"EmptySerial&lt;70211&gt;"</f>
        <v>EmptySerial&lt;70211&gt;</v>
      </c>
      <c r="O295" t="str">
        <f t="shared" si="102"/>
        <v>Нет</v>
      </c>
      <c r="P295" t="str">
        <f>""</f>
        <v/>
      </c>
      <c r="Q295" t="str">
        <f>"Нет"</f>
        <v>Нет</v>
      </c>
      <c r="R295" t="str">
        <f t="shared" si="105"/>
        <v>Основной</v>
      </c>
      <c r="S295" t="str">
        <f t="shared" si="99"/>
        <v>ГУТС</v>
      </c>
      <c r="T295" t="str">
        <f>""</f>
        <v/>
      </c>
      <c r="U295" t="str">
        <f t="shared" si="100"/>
        <v>Нет</v>
      </c>
      <c r="V295">
        <v>51.711879199999998</v>
      </c>
      <c r="W295">
        <v>36.155133470000003</v>
      </c>
      <c r="X295" t="str">
        <f>"20000006260644"</f>
        <v>20000006260644</v>
      </c>
    </row>
    <row r="296" spans="1:24" x14ac:dyDescent="0.25">
      <c r="A296">
        <v>907</v>
      </c>
      <c r="B296" t="str">
        <f t="shared" si="96"/>
        <v>Курск</v>
      </c>
      <c r="C296">
        <v>534894</v>
      </c>
      <c r="D296" t="str">
        <f>"Т 2.6"</f>
        <v>Т 2.6</v>
      </c>
      <c r="E296" t="str">
        <f t="shared" si="97"/>
        <v>Муфта оптическая</v>
      </c>
      <c r="F296" t="str">
        <f>"27.03.2018"</f>
        <v>27.03.2018</v>
      </c>
      <c r="G296" t="str">
        <f>"Хлебпром"</f>
        <v>Хлебпром</v>
      </c>
      <c r="H296" t="str">
        <f>"Т 2.6"</f>
        <v>Т 2.6</v>
      </c>
      <c r="I296" t="str">
        <f>"Кампус - 2601"</f>
        <v>Кампус - 2601</v>
      </c>
      <c r="J296" t="str">
        <f>""</f>
        <v/>
      </c>
      <c r="K296" t="str">
        <f t="shared" si="106"/>
        <v>МТОК 96</v>
      </c>
      <c r="L296" t="str">
        <f>"Опора"</f>
        <v>Опора</v>
      </c>
      <c r="M296" t="str">
        <f>"23.03.2018"</f>
        <v>23.03.2018</v>
      </c>
      <c r="N296" t="str">
        <f>"EmptySerial&lt;70994&gt;"</f>
        <v>EmptySerial&lt;70994&gt;</v>
      </c>
      <c r="O296" t="str">
        <f t="shared" ref="O296:O327" si="107">"Нет"</f>
        <v>Нет</v>
      </c>
      <c r="P296" t="str">
        <f>"Т 2.6"</f>
        <v>Т 2.6</v>
      </c>
      <c r="Q296" t="str">
        <f>"Нет"</f>
        <v>Нет</v>
      </c>
      <c r="R296" t="str">
        <f t="shared" si="105"/>
        <v>Основной</v>
      </c>
      <c r="S296" t="str">
        <f t="shared" si="99"/>
        <v>ГУТС</v>
      </c>
      <c r="T296" t="str">
        <f>""</f>
        <v/>
      </c>
      <c r="U296" t="str">
        <f t="shared" si="100"/>
        <v>Нет</v>
      </c>
      <c r="V296">
        <v>51.75622585</v>
      </c>
      <c r="W296">
        <v>36.144880890000003</v>
      </c>
      <c r="X296" t="str">
        <f>"20000004570137"</f>
        <v>20000004570137</v>
      </c>
    </row>
    <row r="297" spans="1:24" x14ac:dyDescent="0.25">
      <c r="A297">
        <v>907</v>
      </c>
      <c r="B297" t="str">
        <f t="shared" si="96"/>
        <v>Курск</v>
      </c>
      <c r="C297">
        <v>536878</v>
      </c>
      <c r="D297" t="str">
        <f>"Р1.1.1.8"</f>
        <v>Р1.1.1.8</v>
      </c>
      <c r="E297" t="str">
        <f t="shared" si="97"/>
        <v>Муфта оптическая</v>
      </c>
      <c r="F297" t="str">
        <f>"17.07.2018"</f>
        <v>17.07.2018</v>
      </c>
      <c r="G297" t="str">
        <f>""</f>
        <v/>
      </c>
      <c r="H297" t="str">
        <f>"Р1.1.1.8"</f>
        <v>Р1.1.1.8</v>
      </c>
      <c r="I297" t="str">
        <f>"ТС"</f>
        <v>ТС</v>
      </c>
      <c r="J297" t="str">
        <f>""</f>
        <v/>
      </c>
      <c r="K297" t="str">
        <f t="shared" si="106"/>
        <v>МТОК 96</v>
      </c>
      <c r="L297" t="str">
        <f>"Опора"</f>
        <v>Опора</v>
      </c>
      <c r="M297" t="str">
        <f>"13.11.2018"</f>
        <v>13.11.2018</v>
      </c>
      <c r="N297" t="str">
        <f>"EmptySerial&lt;72015&gt;"</f>
        <v>EmptySerial&lt;72015&gt;</v>
      </c>
      <c r="O297" t="str">
        <f t="shared" si="107"/>
        <v>Нет</v>
      </c>
      <c r="P297" t="str">
        <f>""</f>
        <v/>
      </c>
      <c r="Q297" t="str">
        <f>"Нет"</f>
        <v>Нет</v>
      </c>
      <c r="R297" t="str">
        <f t="shared" si="105"/>
        <v>Основной</v>
      </c>
      <c r="S297" t="str">
        <f t="shared" si="99"/>
        <v>ГУТС</v>
      </c>
      <c r="T297" t="str">
        <f>""</f>
        <v/>
      </c>
      <c r="U297" t="str">
        <f t="shared" si="100"/>
        <v>Нет</v>
      </c>
      <c r="V297">
        <v>51.706916339999999</v>
      </c>
      <c r="W297">
        <v>36.177322940000003</v>
      </c>
      <c r="X297" t="str">
        <f>"20000004570410"</f>
        <v>20000004570410</v>
      </c>
    </row>
    <row r="298" spans="1:24" x14ac:dyDescent="0.25">
      <c r="A298">
        <v>907</v>
      </c>
      <c r="B298" t="str">
        <f t="shared" si="96"/>
        <v>Курск</v>
      </c>
      <c r="C298">
        <v>536882</v>
      </c>
      <c r="D298" t="str">
        <f>"Т2.4.1"</f>
        <v>Т2.4.1</v>
      </c>
      <c r="E298" t="str">
        <f t="shared" si="97"/>
        <v>Муфта оптическая</v>
      </c>
      <c r="F298" t="str">
        <f>"17.07.2018"</f>
        <v>17.07.2018</v>
      </c>
      <c r="G298" t="str">
        <f>""</f>
        <v/>
      </c>
      <c r="H298" t="str">
        <f>"Т2.4.1"</f>
        <v>Т2.4.1</v>
      </c>
      <c r="I298" t="str">
        <f>"ТС"</f>
        <v>ТС</v>
      </c>
      <c r="J298" t="str">
        <f>""</f>
        <v/>
      </c>
      <c r="K298" t="str">
        <f t="shared" si="106"/>
        <v>МТОК 96</v>
      </c>
      <c r="L298" t="str">
        <f>"Колодец"</f>
        <v>Колодец</v>
      </c>
      <c r="M298" t="str">
        <f>"12.11.2018"</f>
        <v>12.11.2018</v>
      </c>
      <c r="N298" t="str">
        <f>"EmptySerial&lt;72016&gt;"</f>
        <v>EmptySerial&lt;72016&gt;</v>
      </c>
      <c r="O298" t="str">
        <f t="shared" si="107"/>
        <v>Нет</v>
      </c>
      <c r="P298" t="str">
        <f>""</f>
        <v/>
      </c>
      <c r="Q298" t="str">
        <f>"Нет"</f>
        <v>Нет</v>
      </c>
      <c r="R298" t="str">
        <f t="shared" si="105"/>
        <v>Основной</v>
      </c>
      <c r="S298" t="str">
        <f t="shared" si="99"/>
        <v>ГУТС</v>
      </c>
      <c r="T298" t="str">
        <f>""</f>
        <v/>
      </c>
      <c r="U298" t="str">
        <f t="shared" si="100"/>
        <v>Нет</v>
      </c>
      <c r="V298">
        <v>51.764656240000001</v>
      </c>
      <c r="W298">
        <v>36.177876089999998</v>
      </c>
      <c r="X298" t="str">
        <f>"20000004570411"</f>
        <v>20000004570411</v>
      </c>
    </row>
    <row r="299" spans="1:24" x14ac:dyDescent="0.25">
      <c r="A299">
        <v>907</v>
      </c>
      <c r="B299" t="str">
        <f t="shared" si="96"/>
        <v>Курск</v>
      </c>
      <c r="C299">
        <v>537171</v>
      </c>
      <c r="D299" t="str">
        <f>"Т 2.3.2"</f>
        <v>Т 2.3.2</v>
      </c>
      <c r="E299" t="str">
        <f t="shared" si="97"/>
        <v>Муфта оптическая</v>
      </c>
      <c r="F299" t="str">
        <f>"07.09.2018"</f>
        <v>07.09.2018</v>
      </c>
      <c r="G299" t="str">
        <f>""</f>
        <v/>
      </c>
      <c r="H299" t="str">
        <f>"Т 2.3.2"</f>
        <v>Т 2.3.2</v>
      </c>
      <c r="I299" t="str">
        <f>"Кампус - 3109"</f>
        <v>Кампус - 3109</v>
      </c>
      <c r="J299" t="str">
        <f>""</f>
        <v/>
      </c>
      <c r="K299" t="str">
        <f t="shared" si="106"/>
        <v>МТОК 96</v>
      </c>
      <c r="L299" t="str">
        <f>"Опора"</f>
        <v>Опора</v>
      </c>
      <c r="M299" t="str">
        <f>"07.09.2018"</f>
        <v>07.09.2018</v>
      </c>
      <c r="N299" t="str">
        <f>"EmptySerial&lt;73024&gt;"</f>
        <v>EmptySerial&lt;73024&gt;</v>
      </c>
      <c r="O299" t="str">
        <f t="shared" si="107"/>
        <v>Нет</v>
      </c>
      <c r="P299" t="str">
        <f>""</f>
        <v/>
      </c>
      <c r="Q299" t="str">
        <f>"Да"</f>
        <v>Да</v>
      </c>
      <c r="R299" t="str">
        <f t="shared" si="105"/>
        <v>Основной</v>
      </c>
      <c r="S299" t="str">
        <f t="shared" si="99"/>
        <v>ГУТС</v>
      </c>
      <c r="T299" t="str">
        <f>""</f>
        <v/>
      </c>
      <c r="U299" t="str">
        <f t="shared" si="100"/>
        <v>Нет</v>
      </c>
      <c r="V299">
        <v>51.759028370000003</v>
      </c>
      <c r="W299">
        <v>36.158784959999998</v>
      </c>
      <c r="X299" t="str">
        <f>"20000004570704"</f>
        <v>20000004570704</v>
      </c>
    </row>
    <row r="300" spans="1:24" x14ac:dyDescent="0.25">
      <c r="A300">
        <v>907</v>
      </c>
      <c r="B300" t="str">
        <f t="shared" si="96"/>
        <v>Курск</v>
      </c>
      <c r="C300">
        <v>537175</v>
      </c>
      <c r="D300" t="str">
        <f>"Т 2.3.1"</f>
        <v>Т 2.3.1</v>
      </c>
      <c r="E300" t="str">
        <f t="shared" si="97"/>
        <v>Муфта оптическая</v>
      </c>
      <c r="F300" t="str">
        <f>"07.09.2018"</f>
        <v>07.09.2018</v>
      </c>
      <c r="G300" t="str">
        <f>""</f>
        <v/>
      </c>
      <c r="H300" t="str">
        <f>"Т 2.3.1"</f>
        <v>Т 2.3.1</v>
      </c>
      <c r="I300" t="str">
        <f>"Кампус - 3109"</f>
        <v>Кампус - 3109</v>
      </c>
      <c r="J300" t="str">
        <f>""</f>
        <v/>
      </c>
      <c r="K300" t="str">
        <f t="shared" si="106"/>
        <v>МТОК 96</v>
      </c>
      <c r="L300" t="str">
        <f>"Опора"</f>
        <v>Опора</v>
      </c>
      <c r="M300" t="str">
        <f>"07.09.2018"</f>
        <v>07.09.2018</v>
      </c>
      <c r="N300" t="str">
        <f>"EmptySerial&lt;73023&gt;"</f>
        <v>EmptySerial&lt;73023&gt;</v>
      </c>
      <c r="O300" t="str">
        <f t="shared" si="107"/>
        <v>Нет</v>
      </c>
      <c r="P300" t="str">
        <f>""</f>
        <v/>
      </c>
      <c r="Q300" t="str">
        <f>"Да"</f>
        <v>Да</v>
      </c>
      <c r="R300" t="str">
        <f t="shared" si="105"/>
        <v>Основной</v>
      </c>
      <c r="S300" t="str">
        <f t="shared" si="99"/>
        <v>ГУТС</v>
      </c>
      <c r="T300" t="str">
        <f>""</f>
        <v/>
      </c>
      <c r="U300" t="str">
        <f t="shared" si="100"/>
        <v>Нет</v>
      </c>
      <c r="V300">
        <v>51.759079829999997</v>
      </c>
      <c r="W300">
        <v>36.158925109999998</v>
      </c>
      <c r="X300" t="str">
        <f>"20000004570703"</f>
        <v>20000004570703</v>
      </c>
    </row>
    <row r="301" spans="1:24" x14ac:dyDescent="0.25">
      <c r="A301">
        <v>907</v>
      </c>
      <c r="B301" t="str">
        <f t="shared" si="96"/>
        <v>Курск</v>
      </c>
      <c r="C301">
        <v>538982</v>
      </c>
      <c r="D301" t="str">
        <f>"М 3.1.27"</f>
        <v>М 3.1.27</v>
      </c>
      <c r="E301" t="str">
        <f t="shared" si="97"/>
        <v>Муфта оптическая</v>
      </c>
      <c r="F301" t="str">
        <f>"22.11.2018"</f>
        <v>22.11.2018</v>
      </c>
      <c r="G301" t="str">
        <f>""</f>
        <v/>
      </c>
      <c r="H301" t="str">
        <f>"М 3.1.27"</f>
        <v>М 3.1.27</v>
      </c>
      <c r="I301" t="str">
        <f>"МС 3.1"</f>
        <v>МС 3.1</v>
      </c>
      <c r="J301" t="str">
        <f>""</f>
        <v/>
      </c>
      <c r="K301" t="str">
        <f t="shared" si="106"/>
        <v>МТОК 96</v>
      </c>
      <c r="L301" t="str">
        <f>"Колодец"</f>
        <v>Колодец</v>
      </c>
      <c r="M301" t="str">
        <f>"11.06.2015"</f>
        <v>11.06.2015</v>
      </c>
      <c r="N301" t="str">
        <f>"KURSK002551"</f>
        <v>KURSK002551</v>
      </c>
      <c r="O301" t="str">
        <f t="shared" si="107"/>
        <v>Нет</v>
      </c>
      <c r="P301" t="str">
        <f>""</f>
        <v/>
      </c>
      <c r="Q301" t="str">
        <f t="shared" ref="Q301:Q319" si="108">"Нет"</f>
        <v>Нет</v>
      </c>
      <c r="R301" t="str">
        <f t="shared" si="105"/>
        <v>Основной</v>
      </c>
      <c r="S301" t="str">
        <f t="shared" si="99"/>
        <v>ГУТС</v>
      </c>
      <c r="T301" t="str">
        <f>""</f>
        <v/>
      </c>
      <c r="U301" t="str">
        <f t="shared" si="100"/>
        <v>Нет</v>
      </c>
      <c r="V301">
        <v>51.765885529999998</v>
      </c>
      <c r="W301">
        <v>36.18134405</v>
      </c>
      <c r="X301" t="str">
        <f>"20000004571031"</f>
        <v>20000004571031</v>
      </c>
    </row>
    <row r="302" spans="1:24" x14ac:dyDescent="0.25">
      <c r="A302">
        <v>907</v>
      </c>
      <c r="B302" t="str">
        <f t="shared" si="96"/>
        <v>Курск</v>
      </c>
      <c r="C302">
        <v>538986</v>
      </c>
      <c r="D302" t="str">
        <f>"М 3.1.28"</f>
        <v>М 3.1.28</v>
      </c>
      <c r="E302" t="str">
        <f t="shared" si="97"/>
        <v>Муфта оптическая</v>
      </c>
      <c r="F302" t="str">
        <f>"22.11.2018"</f>
        <v>22.11.2018</v>
      </c>
      <c r="G302" t="str">
        <f>""</f>
        <v/>
      </c>
      <c r="H302" t="str">
        <f>"М 3.1.28"</f>
        <v>М 3.1.28</v>
      </c>
      <c r="I302" t="str">
        <f>"МС 3.1"</f>
        <v>МС 3.1</v>
      </c>
      <c r="J302" t="str">
        <f>""</f>
        <v/>
      </c>
      <c r="K302" t="str">
        <f t="shared" si="106"/>
        <v>МТОК 96</v>
      </c>
      <c r="L302" t="str">
        <f>"Колодец"</f>
        <v>Колодец</v>
      </c>
      <c r="M302" t="str">
        <f>"11.06.2015"</f>
        <v>11.06.2015</v>
      </c>
      <c r="N302" t="str">
        <f>"KURSK002553"</f>
        <v>KURSK002553</v>
      </c>
      <c r="O302" t="str">
        <f t="shared" si="107"/>
        <v>Нет</v>
      </c>
      <c r="P302" t="str">
        <f>""</f>
        <v/>
      </c>
      <c r="Q302" t="str">
        <f t="shared" si="108"/>
        <v>Нет</v>
      </c>
      <c r="R302" t="str">
        <f t="shared" si="105"/>
        <v>Основной</v>
      </c>
      <c r="S302" t="str">
        <f t="shared" si="99"/>
        <v>ГУТС</v>
      </c>
      <c r="T302" t="str">
        <f>""</f>
        <v/>
      </c>
      <c r="U302" t="str">
        <f t="shared" si="100"/>
        <v>Нет</v>
      </c>
      <c r="V302">
        <v>51.75993399</v>
      </c>
      <c r="W302">
        <v>36.186918349999999</v>
      </c>
      <c r="X302" t="str">
        <f>"20000004571032"</f>
        <v>20000004571032</v>
      </c>
    </row>
    <row r="303" spans="1:24" x14ac:dyDescent="0.25">
      <c r="A303">
        <v>907</v>
      </c>
      <c r="B303" t="str">
        <f t="shared" si="96"/>
        <v>Курск</v>
      </c>
      <c r="C303">
        <v>539384</v>
      </c>
      <c r="D303" t="str">
        <f>"М 2.6.9"</f>
        <v>М 2.6.9</v>
      </c>
      <c r="E303" t="str">
        <f t="shared" si="97"/>
        <v>Муфта оптическая</v>
      </c>
      <c r="F303" t="str">
        <f>"27.11.2018"</f>
        <v>27.11.2018</v>
      </c>
      <c r="G303" t="str">
        <f>""</f>
        <v/>
      </c>
      <c r="H303" t="str">
        <f>"М 2.6.9"</f>
        <v>М 2.6.9</v>
      </c>
      <c r="I303" t="str">
        <f>"МС 2.6"</f>
        <v>МС 2.6</v>
      </c>
      <c r="J303" t="str">
        <f>""</f>
        <v/>
      </c>
      <c r="K303" t="str">
        <f t="shared" si="106"/>
        <v>МТОК 96</v>
      </c>
      <c r="L303" t="str">
        <f>"Крыша"</f>
        <v>Крыша</v>
      </c>
      <c r="M303" t="str">
        <f>"26.11.2018"</f>
        <v>26.11.2018</v>
      </c>
      <c r="N303" t="str">
        <f>"KURSK002567"</f>
        <v>KURSK002567</v>
      </c>
      <c r="O303" t="str">
        <f t="shared" si="107"/>
        <v>Нет</v>
      </c>
      <c r="P303" t="str">
        <f>""</f>
        <v/>
      </c>
      <c r="Q303" t="str">
        <f t="shared" si="108"/>
        <v>Нет</v>
      </c>
      <c r="R303" t="str">
        <f t="shared" si="105"/>
        <v>Основной</v>
      </c>
      <c r="S303" t="str">
        <f t="shared" si="99"/>
        <v>ГУТС</v>
      </c>
      <c r="T303" t="str">
        <f>""</f>
        <v/>
      </c>
      <c r="U303" t="str">
        <f t="shared" si="100"/>
        <v>Нет</v>
      </c>
      <c r="V303">
        <v>51.738164730000001</v>
      </c>
      <c r="W303">
        <v>36.152723340000001</v>
      </c>
      <c r="X303" t="str">
        <f>"20000004571067"</f>
        <v>20000004571067</v>
      </c>
    </row>
    <row r="304" spans="1:24" x14ac:dyDescent="0.25">
      <c r="A304">
        <v>907</v>
      </c>
      <c r="B304" t="str">
        <f t="shared" si="96"/>
        <v>Курск</v>
      </c>
      <c r="C304">
        <v>540119</v>
      </c>
      <c r="D304" t="str">
        <f>"М 3.1.29"</f>
        <v>М 3.1.29</v>
      </c>
      <c r="E304" t="str">
        <f t="shared" si="97"/>
        <v>Муфта оптическая</v>
      </c>
      <c r="F304" t="str">
        <f>"17.12.2018"</f>
        <v>17.12.2018</v>
      </c>
      <c r="G304" t="str">
        <f>""</f>
        <v/>
      </c>
      <c r="H304" t="str">
        <f>"М 3.1.29"</f>
        <v>М 3.1.29</v>
      </c>
      <c r="I304" t="str">
        <f>"МС 3.1"</f>
        <v>МС 3.1</v>
      </c>
      <c r="J304" t="str">
        <f>""</f>
        <v/>
      </c>
      <c r="K304" t="str">
        <f t="shared" si="106"/>
        <v>МТОК 96</v>
      </c>
      <c r="L304" t="str">
        <f>"Опора"</f>
        <v>Опора</v>
      </c>
      <c r="M304" t="str">
        <f>"17.12.2018"</f>
        <v>17.12.2018</v>
      </c>
      <c r="N304" t="str">
        <f>"KURSK002725"</f>
        <v>KURSK002725</v>
      </c>
      <c r="O304" t="str">
        <f t="shared" si="107"/>
        <v>Нет</v>
      </c>
      <c r="P304" t="str">
        <f>""</f>
        <v/>
      </c>
      <c r="Q304" t="str">
        <f t="shared" si="108"/>
        <v>Нет</v>
      </c>
      <c r="R304" t="str">
        <f t="shared" si="105"/>
        <v>Основной</v>
      </c>
      <c r="S304" t="str">
        <f t="shared" si="99"/>
        <v>ГУТС</v>
      </c>
      <c r="T304" t="str">
        <f>""</f>
        <v/>
      </c>
      <c r="U304" t="str">
        <f t="shared" si="100"/>
        <v>Нет</v>
      </c>
      <c r="V304">
        <v>51.7680401</v>
      </c>
      <c r="W304">
        <v>36.182501760000001</v>
      </c>
      <c r="X304" t="str">
        <f>"20000004571176"</f>
        <v>20000004571176</v>
      </c>
    </row>
    <row r="305" spans="1:24" x14ac:dyDescent="0.25">
      <c r="A305">
        <v>907</v>
      </c>
      <c r="B305" t="str">
        <f t="shared" si="96"/>
        <v>Курск</v>
      </c>
      <c r="C305">
        <v>540152</v>
      </c>
      <c r="D305" t="str">
        <f>"М 3.1.31"</f>
        <v>М 3.1.31</v>
      </c>
      <c r="E305" t="str">
        <f t="shared" si="97"/>
        <v>Муфта оптическая</v>
      </c>
      <c r="F305" t="str">
        <f>"17.12.2018"</f>
        <v>17.12.2018</v>
      </c>
      <c r="G305" t="str">
        <f>""</f>
        <v/>
      </c>
      <c r="H305" t="str">
        <f>"М 3.1.31"</f>
        <v>М 3.1.31</v>
      </c>
      <c r="I305" t="str">
        <f>"МС 3.1"</f>
        <v>МС 3.1</v>
      </c>
      <c r="J305" t="str">
        <f>""</f>
        <v/>
      </c>
      <c r="K305" t="str">
        <f t="shared" si="106"/>
        <v>МТОК 96</v>
      </c>
      <c r="L305" t="str">
        <f>"Опора"</f>
        <v>Опора</v>
      </c>
      <c r="M305" t="str">
        <f>"17.12.2018"</f>
        <v>17.12.2018</v>
      </c>
      <c r="N305" t="str">
        <f>"KURSK002726"</f>
        <v>KURSK002726</v>
      </c>
      <c r="O305" t="str">
        <f t="shared" si="107"/>
        <v>Нет</v>
      </c>
      <c r="P305" t="str">
        <f>""</f>
        <v/>
      </c>
      <c r="Q305" t="str">
        <f t="shared" si="108"/>
        <v>Нет</v>
      </c>
      <c r="R305" t="str">
        <f t="shared" si="105"/>
        <v>Основной</v>
      </c>
      <c r="S305" t="str">
        <f t="shared" si="99"/>
        <v>ГУТС</v>
      </c>
      <c r="T305" t="str">
        <f>""</f>
        <v/>
      </c>
      <c r="U305" t="str">
        <f t="shared" si="100"/>
        <v>Нет</v>
      </c>
      <c r="V305">
        <v>51.768413150000001</v>
      </c>
      <c r="W305">
        <v>36.183952830000003</v>
      </c>
      <c r="X305" t="str">
        <f>"20000004571177"</f>
        <v>20000004571177</v>
      </c>
    </row>
    <row r="306" spans="1:24" x14ac:dyDescent="0.25">
      <c r="A306">
        <v>907</v>
      </c>
      <c r="B306" t="str">
        <f t="shared" si="96"/>
        <v>Курск</v>
      </c>
      <c r="C306">
        <v>544919</v>
      </c>
      <c r="D306" t="str">
        <f>"Р 3.4.6.4"</f>
        <v>Р 3.4.6.4</v>
      </c>
      <c r="E306" t="str">
        <f t="shared" si="97"/>
        <v>Муфта оптическая</v>
      </c>
      <c r="F306" t="str">
        <f>"09.01.2019"</f>
        <v>09.01.2019</v>
      </c>
      <c r="G306" t="str">
        <f>"Лобачев Владимир Игоревич"</f>
        <v>Лобачев Владимир Игоревич</v>
      </c>
      <c r="H306" t="str">
        <f>"Р 3.4.6.4"</f>
        <v>Р 3.4.6.4</v>
      </c>
      <c r="I306" t="str">
        <f>"Кампус - 3406"</f>
        <v>Кампус - 3406</v>
      </c>
      <c r="J306" t="str">
        <f>""</f>
        <v/>
      </c>
      <c r="K306" t="str">
        <f t="shared" si="106"/>
        <v>МТОК 96</v>
      </c>
      <c r="L306" t="str">
        <f>"Опора"</f>
        <v>Опора</v>
      </c>
      <c r="M306" t="str">
        <f>"14.02.2019"</f>
        <v>14.02.2019</v>
      </c>
      <c r="N306" t="str">
        <f>"EmptySerial&lt;77966&gt;"</f>
        <v>EmptySerial&lt;77966&gt;</v>
      </c>
      <c r="O306" t="str">
        <f t="shared" si="107"/>
        <v>Нет</v>
      </c>
      <c r="P306" t="str">
        <f>""</f>
        <v/>
      </c>
      <c r="Q306" t="str">
        <f t="shared" si="108"/>
        <v>Нет</v>
      </c>
      <c r="R306" t="str">
        <f t="shared" si="105"/>
        <v>Основной</v>
      </c>
      <c r="S306" t="str">
        <f t="shared" si="99"/>
        <v>ГУТС</v>
      </c>
      <c r="T306" t="str">
        <f>""</f>
        <v/>
      </c>
      <c r="U306" t="str">
        <f t="shared" si="100"/>
        <v>Нет</v>
      </c>
      <c r="V306">
        <v>51.734387689999998</v>
      </c>
      <c r="W306">
        <v>36.195740870000002</v>
      </c>
      <c r="X306" t="str">
        <f>"20000006260596"</f>
        <v>20000006260596</v>
      </c>
    </row>
    <row r="307" spans="1:24" x14ac:dyDescent="0.25">
      <c r="A307">
        <v>907</v>
      </c>
      <c r="B307" t="str">
        <f t="shared" si="96"/>
        <v>Курск</v>
      </c>
      <c r="C307">
        <v>545658</v>
      </c>
      <c r="D307" t="str">
        <f>"Т 2.4.2"</f>
        <v>Т 2.4.2</v>
      </c>
      <c r="E307" t="str">
        <f t="shared" si="97"/>
        <v>Муфта оптическая</v>
      </c>
      <c r="F307" t="str">
        <f>"14.01.2019"</f>
        <v>14.01.2019</v>
      </c>
      <c r="G307" t="str">
        <f>"Микрооператор Аксинет"</f>
        <v>Микрооператор Аксинет</v>
      </c>
      <c r="H307" t="str">
        <f>"Т 2.4.2"</f>
        <v>Т 2.4.2</v>
      </c>
      <c r="I307" t="str">
        <f>"МС 3.1"</f>
        <v>МС 3.1</v>
      </c>
      <c r="J307" t="str">
        <f>""</f>
        <v/>
      </c>
      <c r="K307" t="str">
        <f>"МОГ-М"</f>
        <v>МОГ-М</v>
      </c>
      <c r="L307" t="str">
        <f>"Опора"</f>
        <v>Опора</v>
      </c>
      <c r="M307" t="str">
        <f>"28.12.2018"</f>
        <v>28.12.2018</v>
      </c>
      <c r="N307" t="str">
        <f>"KURSK005160"</f>
        <v>KURSK005160</v>
      </c>
      <c r="O307" t="str">
        <f t="shared" si="107"/>
        <v>Нет</v>
      </c>
      <c r="P307" t="str">
        <f>""</f>
        <v/>
      </c>
      <c r="Q307" t="str">
        <f t="shared" si="108"/>
        <v>Нет</v>
      </c>
      <c r="R307" t="str">
        <f t="shared" si="105"/>
        <v>Основной</v>
      </c>
      <c r="S307" t="str">
        <f t="shared" si="99"/>
        <v>ГУТС</v>
      </c>
      <c r="T307" t="str">
        <f>""</f>
        <v/>
      </c>
      <c r="U307" t="str">
        <f t="shared" si="100"/>
        <v>Нет</v>
      </c>
      <c r="V307">
        <v>51.76420023</v>
      </c>
      <c r="W307">
        <v>36.175727170000002</v>
      </c>
      <c r="X307" t="str">
        <f>"20000004571439"</f>
        <v>20000004571439</v>
      </c>
    </row>
    <row r="308" spans="1:24" x14ac:dyDescent="0.25">
      <c r="A308">
        <v>907</v>
      </c>
      <c r="B308" t="str">
        <f t="shared" si="96"/>
        <v>Курск</v>
      </c>
      <c r="C308">
        <v>546561</v>
      </c>
      <c r="D308" t="str">
        <f>"М 3.1.30"</f>
        <v>М 3.1.30</v>
      </c>
      <c r="E308" t="str">
        <f t="shared" si="97"/>
        <v>Муфта оптическая</v>
      </c>
      <c r="F308" t="str">
        <f>"30.01.2019"</f>
        <v>30.01.2019</v>
      </c>
      <c r="G308" t="str">
        <f>"Микрооператор Аксинет. Муфты нет, кабель был заменён"</f>
        <v>Микрооператор Аксинет. Муфты нет, кабель был заменён</v>
      </c>
      <c r="H308" t="str">
        <f>"М 3.1.30"</f>
        <v>М 3.1.30</v>
      </c>
      <c r="I308" t="str">
        <f>"МС 3.1"</f>
        <v>МС 3.1</v>
      </c>
      <c r="J308" t="str">
        <f>""</f>
        <v/>
      </c>
      <c r="K308" t="str">
        <f t="shared" ref="K308:K338" si="109">"МТОК 96"</f>
        <v>МТОК 96</v>
      </c>
      <c r="L308" t="str">
        <f>"Крыша"</f>
        <v>Крыша</v>
      </c>
      <c r="M308" t="str">
        <f>"30.01.2019"</f>
        <v>30.01.2019</v>
      </c>
      <c r="N308" t="str">
        <f>"KURSK005286"</f>
        <v>KURSK005286</v>
      </c>
      <c r="O308" t="str">
        <f t="shared" si="107"/>
        <v>Нет</v>
      </c>
      <c r="P308" t="str">
        <f>""</f>
        <v/>
      </c>
      <c r="Q308" t="str">
        <f t="shared" si="108"/>
        <v>Нет</v>
      </c>
      <c r="R308" t="str">
        <f t="shared" si="105"/>
        <v>Основной</v>
      </c>
      <c r="S308" t="str">
        <f t="shared" si="99"/>
        <v>ГУТС</v>
      </c>
      <c r="T308" t="str">
        <f>""</f>
        <v/>
      </c>
      <c r="U308" t="str">
        <f t="shared" si="100"/>
        <v>Нет</v>
      </c>
      <c r="V308">
        <v>51.767995280000001</v>
      </c>
      <c r="W308">
        <v>36.182978519999999</v>
      </c>
      <c r="X308" t="str">
        <f>"20000004571618"</f>
        <v>20000004571618</v>
      </c>
    </row>
    <row r="309" spans="1:24" x14ac:dyDescent="0.25">
      <c r="A309">
        <v>907</v>
      </c>
      <c r="B309" t="str">
        <f t="shared" si="96"/>
        <v>Курск</v>
      </c>
      <c r="C309">
        <v>548048</v>
      </c>
      <c r="D309" t="str">
        <f>"Т 9.1"</f>
        <v>Т 9.1</v>
      </c>
      <c r="E309" t="str">
        <f t="shared" si="97"/>
        <v>Муфта оптическая</v>
      </c>
      <c r="F309" t="str">
        <f>"26.02.2019"</f>
        <v>26.02.2019</v>
      </c>
      <c r="G309" t="str">
        <f>"Микрооператор"</f>
        <v>Микрооператор</v>
      </c>
      <c r="H309" t="str">
        <f>"Т 9.1"</f>
        <v>Т 9.1</v>
      </c>
      <c r="I309" t="str">
        <f>"Кампус - 1110"</f>
        <v>Кампус - 1110</v>
      </c>
      <c r="J309" t="str">
        <f>""</f>
        <v/>
      </c>
      <c r="K309" t="str">
        <f t="shared" si="109"/>
        <v>МТОК 96</v>
      </c>
      <c r="L309" t="str">
        <f>"Опора"</f>
        <v>Опора</v>
      </c>
      <c r="M309" t="str">
        <f>"26.02.2019"</f>
        <v>26.02.2019</v>
      </c>
      <c r="N309" t="str">
        <f>"KURSK005471"</f>
        <v>KURSK005471</v>
      </c>
      <c r="O309" t="str">
        <f t="shared" si="107"/>
        <v>Нет</v>
      </c>
      <c r="P309" t="str">
        <f>""</f>
        <v/>
      </c>
      <c r="Q309" t="str">
        <f t="shared" si="108"/>
        <v>Нет</v>
      </c>
      <c r="R309" t="str">
        <f t="shared" si="105"/>
        <v>Основной</v>
      </c>
      <c r="S309" t="str">
        <f t="shared" si="99"/>
        <v>ГУТС</v>
      </c>
      <c r="T309" t="str">
        <f>""</f>
        <v/>
      </c>
      <c r="U309" t="str">
        <f t="shared" si="100"/>
        <v>Нет</v>
      </c>
      <c r="V309">
        <v>51.73176076</v>
      </c>
      <c r="W309">
        <v>36.184399149999997</v>
      </c>
      <c r="X309" t="str">
        <f>"20000004571775"</f>
        <v>20000004571775</v>
      </c>
    </row>
    <row r="310" spans="1:24" x14ac:dyDescent="0.25">
      <c r="A310">
        <v>907</v>
      </c>
      <c r="B310" t="str">
        <f t="shared" si="96"/>
        <v>Курск</v>
      </c>
      <c r="C310">
        <v>548059</v>
      </c>
      <c r="D310" t="str">
        <f>"Т 5.1.2"</f>
        <v>Т 5.1.2</v>
      </c>
      <c r="E310" t="str">
        <f t="shared" si="97"/>
        <v>Муфта оптическая</v>
      </c>
      <c r="F310" t="str">
        <f>"26.02.2019"</f>
        <v>26.02.2019</v>
      </c>
      <c r="G310" t="str">
        <f>""</f>
        <v/>
      </c>
      <c r="H310" t="str">
        <f>"Т 5.1.2"</f>
        <v>Т 5.1.2</v>
      </c>
      <c r="I310" t="str">
        <f>"ТС"</f>
        <v>ТС</v>
      </c>
      <c r="J310" t="str">
        <f>""</f>
        <v/>
      </c>
      <c r="K310" t="str">
        <f t="shared" si="109"/>
        <v>МТОК 96</v>
      </c>
      <c r="L310" t="str">
        <f>"Опора"</f>
        <v>Опора</v>
      </c>
      <c r="M310" t="str">
        <f>"26.02.2019"</f>
        <v>26.02.2019</v>
      </c>
      <c r="N310" t="str">
        <f>"KURSK005472"</f>
        <v>KURSK005472</v>
      </c>
      <c r="O310" t="str">
        <f t="shared" si="107"/>
        <v>Нет</v>
      </c>
      <c r="P310" t="str">
        <f>""</f>
        <v/>
      </c>
      <c r="Q310" t="str">
        <f t="shared" si="108"/>
        <v>Нет</v>
      </c>
      <c r="R310" t="str">
        <f t="shared" si="105"/>
        <v>Основной</v>
      </c>
      <c r="S310" t="str">
        <f t="shared" si="99"/>
        <v>ГУТС</v>
      </c>
      <c r="T310" t="str">
        <f>""</f>
        <v/>
      </c>
      <c r="U310" t="str">
        <f t="shared" si="100"/>
        <v>Нет</v>
      </c>
      <c r="V310">
        <v>51.735679279999999</v>
      </c>
      <c r="W310">
        <v>36.187014580000003</v>
      </c>
      <c r="X310" t="str">
        <f>"20000004571776"</f>
        <v>20000004571776</v>
      </c>
    </row>
    <row r="311" spans="1:24" x14ac:dyDescent="0.25">
      <c r="A311">
        <v>907</v>
      </c>
      <c r="B311" t="str">
        <f t="shared" si="96"/>
        <v>Курск</v>
      </c>
      <c r="C311">
        <v>548266</v>
      </c>
      <c r="D311" t="str">
        <f>"М 2.5.17"</f>
        <v>М 2.5.17</v>
      </c>
      <c r="E311" t="str">
        <f t="shared" si="97"/>
        <v>Муфта оптическая</v>
      </c>
      <c r="F311" t="str">
        <f>"28.02.2019"</f>
        <v>28.02.2019</v>
      </c>
      <c r="G311" t="str">
        <f>""</f>
        <v/>
      </c>
      <c r="H311" t="str">
        <f>"М 2.5.17"</f>
        <v>М 2.5.17</v>
      </c>
      <c r="I311" t="str">
        <f>"МС 2.5"</f>
        <v>МС 2.5</v>
      </c>
      <c r="J311" t="str">
        <f>""</f>
        <v/>
      </c>
      <c r="K311" t="str">
        <f t="shared" si="109"/>
        <v>МТОК 96</v>
      </c>
      <c r="L311" t="str">
        <f>"Крыша"</f>
        <v>Крыша</v>
      </c>
      <c r="M311" t="str">
        <f>"15.05.2019"</f>
        <v>15.05.2019</v>
      </c>
      <c r="N311" t="str">
        <f>"EmptySerial&lt;79802&gt;"</f>
        <v>EmptySerial&lt;79802&gt;</v>
      </c>
      <c r="O311" t="str">
        <f t="shared" si="107"/>
        <v>Нет</v>
      </c>
      <c r="P311" t="str">
        <f>""</f>
        <v/>
      </c>
      <c r="Q311" t="str">
        <f t="shared" si="108"/>
        <v>Нет</v>
      </c>
      <c r="R311" t="str">
        <f>"Достройка МЕ"</f>
        <v>Достройка МЕ</v>
      </c>
      <c r="S311" t="str">
        <f t="shared" si="99"/>
        <v>ГУТС</v>
      </c>
      <c r="T311" t="str">
        <f>""</f>
        <v/>
      </c>
      <c r="U311" t="str">
        <f t="shared" si="100"/>
        <v>Нет</v>
      </c>
      <c r="V311">
        <v>51.720164490000002</v>
      </c>
      <c r="W311">
        <v>36.139707919999999</v>
      </c>
      <c r="X311" t="str">
        <f>"20000006259719"</f>
        <v>20000006259719</v>
      </c>
    </row>
    <row r="312" spans="1:24" x14ac:dyDescent="0.25">
      <c r="A312">
        <v>907</v>
      </c>
      <c r="B312" t="str">
        <f t="shared" si="96"/>
        <v>Курск</v>
      </c>
      <c r="C312">
        <v>548274</v>
      </c>
      <c r="D312" t="str">
        <f>"М 2.5.16"</f>
        <v>М 2.5.16</v>
      </c>
      <c r="E312" t="str">
        <f t="shared" si="97"/>
        <v>Муфта оптическая</v>
      </c>
      <c r="F312" t="str">
        <f>"28.02.2019"</f>
        <v>28.02.2019</v>
      </c>
      <c r="G312" t="str">
        <f>""</f>
        <v/>
      </c>
      <c r="H312" t="str">
        <f>"М 2.5.16"</f>
        <v>М 2.5.16</v>
      </c>
      <c r="I312" t="str">
        <f>"МС 2.5"</f>
        <v>МС 2.5</v>
      </c>
      <c r="J312" t="str">
        <f>""</f>
        <v/>
      </c>
      <c r="K312" t="str">
        <f t="shared" si="109"/>
        <v>МТОК 96</v>
      </c>
      <c r="L312" t="str">
        <f>"Крыша"</f>
        <v>Крыша</v>
      </c>
      <c r="M312" t="str">
        <f>"13.05.2019"</f>
        <v>13.05.2019</v>
      </c>
      <c r="N312" t="str">
        <f>"EmptySerial&lt;79800&gt;"</f>
        <v>EmptySerial&lt;79800&gt;</v>
      </c>
      <c r="O312" t="str">
        <f t="shared" si="107"/>
        <v>Нет</v>
      </c>
      <c r="P312" t="str">
        <f>""</f>
        <v/>
      </c>
      <c r="Q312" t="str">
        <f t="shared" si="108"/>
        <v>Нет</v>
      </c>
      <c r="R312" t="str">
        <f>"Достройка МЕ"</f>
        <v>Достройка МЕ</v>
      </c>
      <c r="S312" t="str">
        <f t="shared" si="99"/>
        <v>ГУТС</v>
      </c>
      <c r="T312" t="str">
        <f>""</f>
        <v/>
      </c>
      <c r="U312" t="str">
        <f t="shared" si="100"/>
        <v>Нет</v>
      </c>
      <c r="V312">
        <v>51.720639300000002</v>
      </c>
      <c r="W312">
        <v>36.139121860000003</v>
      </c>
      <c r="X312" t="str">
        <f>"20000006259717"</f>
        <v>20000006259717</v>
      </c>
    </row>
    <row r="313" spans="1:24" x14ac:dyDescent="0.25">
      <c r="A313">
        <v>907</v>
      </c>
      <c r="B313" t="str">
        <f t="shared" si="96"/>
        <v>Курск</v>
      </c>
      <c r="C313">
        <v>549719</v>
      </c>
      <c r="D313" t="str">
        <f>"Р 3.4.6.5"</f>
        <v>Р 3.4.6.5</v>
      </c>
      <c r="E313" t="str">
        <f t="shared" si="97"/>
        <v>Муфта оптическая</v>
      </c>
      <c r="F313" t="str">
        <f>"10.04.2019"</f>
        <v>10.04.2019</v>
      </c>
      <c r="G313" t="str">
        <f>""</f>
        <v/>
      </c>
      <c r="H313" t="str">
        <f>"Р 3.4.6.5"</f>
        <v>Р 3.4.6.5</v>
      </c>
      <c r="I313" t="str">
        <f>"Кампус - 3406"</f>
        <v>Кампус - 3406</v>
      </c>
      <c r="J313" t="str">
        <f>""</f>
        <v/>
      </c>
      <c r="K313" t="str">
        <f t="shared" si="109"/>
        <v>МТОК 96</v>
      </c>
      <c r="L313" t="str">
        <f t="shared" ref="L313:L322" si="110">"Опора"</f>
        <v>Опора</v>
      </c>
      <c r="M313" t="str">
        <f>"14.02.2019"</f>
        <v>14.02.2019</v>
      </c>
      <c r="N313" t="str">
        <f>"KURSK005785"</f>
        <v>KURSK005785</v>
      </c>
      <c r="O313" t="str">
        <f t="shared" si="107"/>
        <v>Нет</v>
      </c>
      <c r="P313" t="str">
        <f>""</f>
        <v/>
      </c>
      <c r="Q313" t="str">
        <f t="shared" si="108"/>
        <v>Нет</v>
      </c>
      <c r="R313" t="str">
        <f t="shared" ref="R313:R324" si="111">"Основной"</f>
        <v>Основной</v>
      </c>
      <c r="S313" t="str">
        <f t="shared" si="99"/>
        <v>ГУТС</v>
      </c>
      <c r="T313" t="str">
        <f>""</f>
        <v/>
      </c>
      <c r="U313" t="str">
        <f t="shared" si="100"/>
        <v>Нет</v>
      </c>
      <c r="V313">
        <v>51.731194909999999</v>
      </c>
      <c r="W313">
        <v>36.19704711</v>
      </c>
      <c r="X313" t="str">
        <f>"20000004572107"</f>
        <v>20000004572107</v>
      </c>
    </row>
    <row r="314" spans="1:24" x14ac:dyDescent="0.25">
      <c r="A314">
        <v>907</v>
      </c>
      <c r="B314" t="str">
        <f t="shared" si="96"/>
        <v>Курск</v>
      </c>
      <c r="C314">
        <v>549723</v>
      </c>
      <c r="D314" t="str">
        <f>"Р 3.4.6.6"</f>
        <v>Р 3.4.6.6</v>
      </c>
      <c r="E314" t="str">
        <f t="shared" si="97"/>
        <v>Муфта оптическая</v>
      </c>
      <c r="F314" t="str">
        <f>"10.04.2019"</f>
        <v>10.04.2019</v>
      </c>
      <c r="G314" t="str">
        <f>""</f>
        <v/>
      </c>
      <c r="H314" t="str">
        <f>"Р 3.4.6.6"</f>
        <v>Р 3.4.6.6</v>
      </c>
      <c r="I314" t="str">
        <f>"Кампус - 3406"</f>
        <v>Кампус - 3406</v>
      </c>
      <c r="J314" t="str">
        <f>""</f>
        <v/>
      </c>
      <c r="K314" t="str">
        <f t="shared" si="109"/>
        <v>МТОК 96</v>
      </c>
      <c r="L314" t="str">
        <f t="shared" si="110"/>
        <v>Опора</v>
      </c>
      <c r="M314" t="str">
        <f>"12.03.2019"</f>
        <v>12.03.2019</v>
      </c>
      <c r="N314" t="str">
        <f>"KURSK005786"</f>
        <v>KURSK005786</v>
      </c>
      <c r="O314" t="str">
        <f t="shared" si="107"/>
        <v>Нет</v>
      </c>
      <c r="P314" t="str">
        <f>""</f>
        <v/>
      </c>
      <c r="Q314" t="str">
        <f t="shared" si="108"/>
        <v>Нет</v>
      </c>
      <c r="R314" t="str">
        <f t="shared" si="111"/>
        <v>Основной</v>
      </c>
      <c r="S314" t="str">
        <f t="shared" si="99"/>
        <v>ГУТС</v>
      </c>
      <c r="T314" t="str">
        <f>""</f>
        <v/>
      </c>
      <c r="U314" t="str">
        <f t="shared" si="100"/>
        <v>Нет</v>
      </c>
      <c r="V314">
        <v>51.732763970000001</v>
      </c>
      <c r="W314">
        <v>36.195373940000003</v>
      </c>
      <c r="X314" t="str">
        <f>"20000004572108"</f>
        <v>20000004572108</v>
      </c>
    </row>
    <row r="315" spans="1:24" x14ac:dyDescent="0.25">
      <c r="A315">
        <v>907</v>
      </c>
      <c r="B315" t="str">
        <f t="shared" si="96"/>
        <v>Курск</v>
      </c>
      <c r="C315">
        <v>549727</v>
      </c>
      <c r="D315" t="str">
        <f>"Р 3.4.6.8"</f>
        <v>Р 3.4.6.8</v>
      </c>
      <c r="E315" t="str">
        <f t="shared" si="97"/>
        <v>Муфта оптическая</v>
      </c>
      <c r="F315" t="str">
        <f>"10.04.2019"</f>
        <v>10.04.2019</v>
      </c>
      <c r="G315" t="str">
        <f>""</f>
        <v/>
      </c>
      <c r="H315" t="str">
        <f>"Р 3.4.6.8"</f>
        <v>Р 3.4.6.8</v>
      </c>
      <c r="I315" t="str">
        <f>"Кампус - 3406"</f>
        <v>Кампус - 3406</v>
      </c>
      <c r="J315" t="str">
        <f>""</f>
        <v/>
      </c>
      <c r="K315" t="str">
        <f t="shared" si="109"/>
        <v>МТОК 96</v>
      </c>
      <c r="L315" t="str">
        <f t="shared" si="110"/>
        <v>Опора</v>
      </c>
      <c r="M315" t="str">
        <f>"08.08.2019"</f>
        <v>08.08.2019</v>
      </c>
      <c r="N315" t="str">
        <f>"KURSK005787"</f>
        <v>KURSK005787</v>
      </c>
      <c r="O315" t="str">
        <f t="shared" si="107"/>
        <v>Нет</v>
      </c>
      <c r="P315" t="str">
        <f>""</f>
        <v/>
      </c>
      <c r="Q315" t="str">
        <f t="shared" si="108"/>
        <v>Нет</v>
      </c>
      <c r="R315" t="str">
        <f t="shared" si="111"/>
        <v>Основной</v>
      </c>
      <c r="S315" t="str">
        <f t="shared" si="99"/>
        <v>ГУТС</v>
      </c>
      <c r="T315" t="str">
        <f>""</f>
        <v/>
      </c>
      <c r="U315" t="str">
        <f t="shared" si="100"/>
        <v>Нет</v>
      </c>
      <c r="V315">
        <v>51.73880089</v>
      </c>
      <c r="W315">
        <v>36.198355800000002</v>
      </c>
      <c r="X315" t="str">
        <f>"20000004572109"</f>
        <v>20000004572109</v>
      </c>
    </row>
    <row r="316" spans="1:24" x14ac:dyDescent="0.25">
      <c r="A316">
        <v>907</v>
      </c>
      <c r="B316" t="str">
        <f t="shared" si="96"/>
        <v>Курск</v>
      </c>
      <c r="C316">
        <v>549965</v>
      </c>
      <c r="D316" t="str">
        <f>"М 2.3.17"</f>
        <v>М 2.3.17</v>
      </c>
      <c r="E316" t="str">
        <f t="shared" si="97"/>
        <v>Муфта оптическая</v>
      </c>
      <c r="F316" t="str">
        <f>"16.04.2019"</f>
        <v>16.04.2019</v>
      </c>
      <c r="G316" t="str">
        <f>""</f>
        <v/>
      </c>
      <c r="H316" t="str">
        <f>"М 2.3.17"</f>
        <v>М 2.3.17</v>
      </c>
      <c r="I316" t="str">
        <f>"МС 2.3"</f>
        <v>МС 2.3</v>
      </c>
      <c r="J316" t="str">
        <f>""</f>
        <v/>
      </c>
      <c r="K316" t="str">
        <f t="shared" si="109"/>
        <v>МТОК 96</v>
      </c>
      <c r="L316" t="str">
        <f t="shared" si="110"/>
        <v>Опора</v>
      </c>
      <c r="M316" t="str">
        <f>"19.06.2019"</f>
        <v>19.06.2019</v>
      </c>
      <c r="N316" t="str">
        <f>"EmptySerial&lt;80468&gt;"</f>
        <v>EmptySerial&lt;80468&gt;</v>
      </c>
      <c r="O316" t="str">
        <f t="shared" si="107"/>
        <v>Нет</v>
      </c>
      <c r="P316" t="str">
        <f>""</f>
        <v/>
      </c>
      <c r="Q316" t="str">
        <f t="shared" si="108"/>
        <v>Нет</v>
      </c>
      <c r="R316" t="str">
        <f t="shared" si="111"/>
        <v>Основной</v>
      </c>
      <c r="S316" t="str">
        <f t="shared" si="99"/>
        <v>ГУТС</v>
      </c>
      <c r="T316" t="str">
        <f>""</f>
        <v/>
      </c>
      <c r="U316" t="str">
        <f t="shared" si="100"/>
        <v>Нет</v>
      </c>
      <c r="V316">
        <v>51.727091510000001</v>
      </c>
      <c r="W316">
        <v>36.147750219999999</v>
      </c>
      <c r="X316" t="str">
        <f>"20000006259938"</f>
        <v>20000006259938</v>
      </c>
    </row>
    <row r="317" spans="1:24" x14ac:dyDescent="0.25">
      <c r="A317">
        <v>907</v>
      </c>
      <c r="B317" t="str">
        <f t="shared" si="96"/>
        <v>Курск</v>
      </c>
      <c r="C317">
        <v>549969</v>
      </c>
      <c r="D317" t="str">
        <f>"М 2.3.18"</f>
        <v>М 2.3.18</v>
      </c>
      <c r="E317" t="str">
        <f t="shared" si="97"/>
        <v>Муфта оптическая</v>
      </c>
      <c r="F317" t="str">
        <f>"16.04.2019"</f>
        <v>16.04.2019</v>
      </c>
      <c r="G317" t="str">
        <f>""</f>
        <v/>
      </c>
      <c r="H317" t="str">
        <f>"М 2.3.18"</f>
        <v>М 2.3.18</v>
      </c>
      <c r="I317" t="str">
        <f>"МС 2.3"</f>
        <v>МС 2.3</v>
      </c>
      <c r="J317" t="str">
        <f>""</f>
        <v/>
      </c>
      <c r="K317" t="str">
        <f t="shared" si="109"/>
        <v>МТОК 96</v>
      </c>
      <c r="L317" t="str">
        <f t="shared" si="110"/>
        <v>Опора</v>
      </c>
      <c r="M317" t="str">
        <f>"19.06.2019"</f>
        <v>19.06.2019</v>
      </c>
      <c r="N317" t="str">
        <f>"EmptySerial&lt;80469&gt;"</f>
        <v>EmptySerial&lt;80469&gt;</v>
      </c>
      <c r="O317" t="str">
        <f t="shared" si="107"/>
        <v>Нет</v>
      </c>
      <c r="P317" t="str">
        <f>""</f>
        <v/>
      </c>
      <c r="Q317" t="str">
        <f t="shared" si="108"/>
        <v>Нет</v>
      </c>
      <c r="R317" t="str">
        <f t="shared" si="111"/>
        <v>Основной</v>
      </c>
      <c r="S317" t="str">
        <f t="shared" si="99"/>
        <v>ГУТС</v>
      </c>
      <c r="T317" t="str">
        <f>""</f>
        <v/>
      </c>
      <c r="U317" t="str">
        <f t="shared" si="100"/>
        <v>Нет</v>
      </c>
      <c r="V317">
        <v>51.726571929999999</v>
      </c>
      <c r="W317">
        <v>36.146941169999998</v>
      </c>
      <c r="X317" t="str">
        <f>"20000006259940"</f>
        <v>20000006259940</v>
      </c>
    </row>
    <row r="318" spans="1:24" x14ac:dyDescent="0.25">
      <c r="A318">
        <v>907</v>
      </c>
      <c r="B318" t="str">
        <f t="shared" si="96"/>
        <v>Курск</v>
      </c>
      <c r="C318">
        <v>550033</v>
      </c>
      <c r="D318" t="str">
        <f>"Т 9.2"</f>
        <v>Т 9.2</v>
      </c>
      <c r="E318" t="str">
        <f t="shared" si="97"/>
        <v>Муфта оптическая</v>
      </c>
      <c r="F318" t="str">
        <f>"18.04.2019"</f>
        <v>18.04.2019</v>
      </c>
      <c r="G318" t="str">
        <f>""</f>
        <v/>
      </c>
      <c r="H318" t="str">
        <f>"Т 9.2"</f>
        <v>Т 9.2</v>
      </c>
      <c r="I318" t="str">
        <f>"ТС"</f>
        <v>ТС</v>
      </c>
      <c r="J318" t="str">
        <f>""</f>
        <v/>
      </c>
      <c r="K318" t="str">
        <f t="shared" si="109"/>
        <v>МТОК 96</v>
      </c>
      <c r="L318" t="str">
        <f t="shared" si="110"/>
        <v>Опора</v>
      </c>
      <c r="M318" t="str">
        <f>"18.04.2019"</f>
        <v>18.04.2019</v>
      </c>
      <c r="N318" t="str">
        <f>"KURSK005825"</f>
        <v>KURSK005825</v>
      </c>
      <c r="O318" t="str">
        <f t="shared" si="107"/>
        <v>Нет</v>
      </c>
      <c r="P318" t="str">
        <f>""</f>
        <v/>
      </c>
      <c r="Q318" t="str">
        <f t="shared" si="108"/>
        <v>Нет</v>
      </c>
      <c r="R318" t="str">
        <f t="shared" si="111"/>
        <v>Основной</v>
      </c>
      <c r="S318" t="str">
        <f t="shared" si="99"/>
        <v>ГУТС</v>
      </c>
      <c r="T318" t="str">
        <f>""</f>
        <v/>
      </c>
      <c r="U318" t="str">
        <f t="shared" si="100"/>
        <v>Нет</v>
      </c>
      <c r="V318">
        <v>51.73226167</v>
      </c>
      <c r="W318">
        <v>36.184895490000002</v>
      </c>
      <c r="X318" t="str">
        <f>"20000004572147"</f>
        <v>20000004572147</v>
      </c>
    </row>
    <row r="319" spans="1:24" x14ac:dyDescent="0.25">
      <c r="A319">
        <v>907</v>
      </c>
      <c r="B319" t="str">
        <f t="shared" si="96"/>
        <v>Курск</v>
      </c>
      <c r="C319">
        <v>550887</v>
      </c>
      <c r="D319" t="str">
        <f>"Р 3.4.6.7"</f>
        <v>Р 3.4.6.7</v>
      </c>
      <c r="E319" t="str">
        <f t="shared" si="97"/>
        <v>Муфта оптическая</v>
      </c>
      <c r="F319" t="str">
        <f>"14.05.2019"</f>
        <v>14.05.2019</v>
      </c>
      <c r="G319" t="str">
        <f>""</f>
        <v/>
      </c>
      <c r="H319" t="str">
        <f>"Р 3.4.6.7"</f>
        <v>Р 3.4.6.7</v>
      </c>
      <c r="I319" t="str">
        <f>"Кампус - 3406"</f>
        <v>Кампус - 3406</v>
      </c>
      <c r="J319" t="str">
        <f>""</f>
        <v/>
      </c>
      <c r="K319" t="str">
        <f t="shared" si="109"/>
        <v>МТОК 96</v>
      </c>
      <c r="L319" t="str">
        <f t="shared" si="110"/>
        <v>Опора</v>
      </c>
      <c r="M319" t="str">
        <f>"14.03.2019"</f>
        <v>14.03.2019</v>
      </c>
      <c r="N319" t="str">
        <f>"EmptySerial&lt;80747&gt;"</f>
        <v>EmptySerial&lt;80747&gt;</v>
      </c>
      <c r="O319" t="str">
        <f t="shared" si="107"/>
        <v>Нет</v>
      </c>
      <c r="P319" t="str">
        <f>""</f>
        <v/>
      </c>
      <c r="Q319" t="str">
        <f t="shared" si="108"/>
        <v>Нет</v>
      </c>
      <c r="R319" t="str">
        <f t="shared" si="111"/>
        <v>Основной</v>
      </c>
      <c r="S319" t="str">
        <f t="shared" si="99"/>
        <v>ГУТС</v>
      </c>
      <c r="T319" t="str">
        <f>""</f>
        <v/>
      </c>
      <c r="U319" t="str">
        <f t="shared" si="100"/>
        <v>Нет</v>
      </c>
      <c r="V319">
        <v>51.750135819999997</v>
      </c>
      <c r="W319">
        <v>36.190097110000004</v>
      </c>
      <c r="X319" t="str">
        <f>"20000006260010"</f>
        <v>20000006260010</v>
      </c>
    </row>
    <row r="320" spans="1:24" x14ac:dyDescent="0.25">
      <c r="A320">
        <v>907</v>
      </c>
      <c r="B320" t="str">
        <f t="shared" si="96"/>
        <v>Курск</v>
      </c>
      <c r="C320">
        <v>551121</v>
      </c>
      <c r="D320" t="str">
        <f>"М 3.1.31"</f>
        <v>М 3.1.31</v>
      </c>
      <c r="E320" t="str">
        <f t="shared" si="97"/>
        <v>Муфта оптическая</v>
      </c>
      <c r="F320" t="str">
        <f>"19.05.2019"</f>
        <v>19.05.2019</v>
      </c>
      <c r="G320" t="str">
        <f>""</f>
        <v/>
      </c>
      <c r="H320" t="str">
        <f>"М 3.1.31"</f>
        <v>М 3.1.31</v>
      </c>
      <c r="I320" t="str">
        <f>"МС 3.1"</f>
        <v>МС 3.1</v>
      </c>
      <c r="J320" t="str">
        <f>""</f>
        <v/>
      </c>
      <c r="K320" t="str">
        <f t="shared" si="109"/>
        <v>МТОК 96</v>
      </c>
      <c r="L320" t="str">
        <f t="shared" si="110"/>
        <v>Опора</v>
      </c>
      <c r="M320" t="str">
        <f>"19.05.2019"</f>
        <v>19.05.2019</v>
      </c>
      <c r="N320" t="str">
        <f>"KURSK005945"</f>
        <v>KURSK005945</v>
      </c>
      <c r="O320" t="str">
        <f t="shared" si="107"/>
        <v>Нет</v>
      </c>
      <c r="P320" t="str">
        <f>""</f>
        <v/>
      </c>
      <c r="Q320" t="str">
        <f>"Да"</f>
        <v>Да</v>
      </c>
      <c r="R320" t="str">
        <f t="shared" si="111"/>
        <v>Основной</v>
      </c>
      <c r="S320" t="str">
        <f t="shared" si="99"/>
        <v>ГУТС</v>
      </c>
      <c r="T320" t="str">
        <f>""</f>
        <v/>
      </c>
      <c r="U320" t="str">
        <f t="shared" si="100"/>
        <v>Нет</v>
      </c>
      <c r="V320">
        <v>51.793456849999998</v>
      </c>
      <c r="W320">
        <v>36.16417423</v>
      </c>
      <c r="X320" t="str">
        <f>"20000004572361"</f>
        <v>20000004572361</v>
      </c>
    </row>
    <row r="321" spans="1:24" x14ac:dyDescent="0.25">
      <c r="A321">
        <v>907</v>
      </c>
      <c r="B321" t="str">
        <f t="shared" si="96"/>
        <v>Курск</v>
      </c>
      <c r="C321">
        <v>552119</v>
      </c>
      <c r="D321" t="str">
        <f>"М 2.3.19"</f>
        <v>М 2.3.19</v>
      </c>
      <c r="E321" t="str">
        <f t="shared" si="97"/>
        <v>Муфта оптическая</v>
      </c>
      <c r="F321" t="str">
        <f>"25.06.2019"</f>
        <v>25.06.2019</v>
      </c>
      <c r="G321" t="str">
        <f>""</f>
        <v/>
      </c>
      <c r="H321" t="str">
        <f>"М 2.3.19"</f>
        <v>М 2.3.19</v>
      </c>
      <c r="I321" t="str">
        <f>"МС 2.3"</f>
        <v>МС 2.3</v>
      </c>
      <c r="J321" t="str">
        <f>""</f>
        <v/>
      </c>
      <c r="K321" t="str">
        <f t="shared" si="109"/>
        <v>МТОК 96</v>
      </c>
      <c r="L321" t="str">
        <f t="shared" si="110"/>
        <v>Опора</v>
      </c>
      <c r="M321" t="str">
        <f>"25.06.2019"</f>
        <v>25.06.2019</v>
      </c>
      <c r="N321" t="str">
        <f>"EmptySerial&lt;81353&gt;"</f>
        <v>EmptySerial&lt;81353&gt;</v>
      </c>
      <c r="O321" t="str">
        <f t="shared" si="107"/>
        <v>Нет</v>
      </c>
      <c r="P321" t="str">
        <f>""</f>
        <v/>
      </c>
      <c r="Q321" t="str">
        <f t="shared" ref="Q321:Q343" si="112">"Нет"</f>
        <v>Нет</v>
      </c>
      <c r="R321" t="str">
        <f t="shared" si="111"/>
        <v>Основной</v>
      </c>
      <c r="S321" t="str">
        <f t="shared" si="99"/>
        <v>ГУТС</v>
      </c>
      <c r="T321" t="str">
        <f>""</f>
        <v/>
      </c>
      <c r="U321" t="str">
        <f t="shared" si="100"/>
        <v>Нет</v>
      </c>
      <c r="V321">
        <v>51.729785560000003</v>
      </c>
      <c r="W321">
        <v>36.147156580000001</v>
      </c>
      <c r="X321" t="str">
        <f>"20000006260146"</f>
        <v>20000006260146</v>
      </c>
    </row>
    <row r="322" spans="1:24" x14ac:dyDescent="0.25">
      <c r="A322">
        <v>907</v>
      </c>
      <c r="B322" t="str">
        <f t="shared" ref="B322:B365" si="113">"Курск"</f>
        <v>Курск</v>
      </c>
      <c r="C322">
        <v>552123</v>
      </c>
      <c r="D322" t="str">
        <f>"М 2.3.20"</f>
        <v>М 2.3.20</v>
      </c>
      <c r="E322" t="str">
        <f t="shared" ref="E322:E365" si="114">"Муфта оптическая"</f>
        <v>Муфта оптическая</v>
      </c>
      <c r="F322" t="str">
        <f>"25.06.2019"</f>
        <v>25.06.2019</v>
      </c>
      <c r="G322" t="str">
        <f>""</f>
        <v/>
      </c>
      <c r="H322" t="str">
        <f>"М 2.3.20"</f>
        <v>М 2.3.20</v>
      </c>
      <c r="I322" t="str">
        <f>"МС 2.3"</f>
        <v>МС 2.3</v>
      </c>
      <c r="J322" t="str">
        <f>""</f>
        <v/>
      </c>
      <c r="K322" t="str">
        <f t="shared" si="109"/>
        <v>МТОК 96</v>
      </c>
      <c r="L322" t="str">
        <f t="shared" si="110"/>
        <v>Опора</v>
      </c>
      <c r="M322" t="str">
        <f>"25.06.2019"</f>
        <v>25.06.2019</v>
      </c>
      <c r="N322" t="str">
        <f>"EmptySerial&lt;81352&gt;"</f>
        <v>EmptySerial&lt;81352&gt;</v>
      </c>
      <c r="O322" t="str">
        <f t="shared" si="107"/>
        <v>Нет</v>
      </c>
      <c r="P322" t="str">
        <f>""</f>
        <v/>
      </c>
      <c r="Q322" t="str">
        <f t="shared" si="112"/>
        <v>Нет</v>
      </c>
      <c r="R322" t="str">
        <f t="shared" si="111"/>
        <v>Основной</v>
      </c>
      <c r="S322" t="str">
        <f t="shared" ref="S322:S365" si="115">"ГУТС"</f>
        <v>ГУТС</v>
      </c>
      <c r="T322" t="str">
        <f>""</f>
        <v/>
      </c>
      <c r="U322" t="str">
        <f t="shared" ref="U322:U365" si="116">"Нет"</f>
        <v>Нет</v>
      </c>
      <c r="V322">
        <v>51.729695820000003</v>
      </c>
      <c r="W322">
        <v>36.147257400000001</v>
      </c>
      <c r="X322" t="str">
        <f>"20000006260145"</f>
        <v>20000006260145</v>
      </c>
    </row>
    <row r="323" spans="1:24" x14ac:dyDescent="0.25">
      <c r="A323">
        <v>907</v>
      </c>
      <c r="B323" t="str">
        <f t="shared" si="113"/>
        <v>Курск</v>
      </c>
      <c r="C323">
        <v>552766</v>
      </c>
      <c r="D323" t="str">
        <f>"М 1.2.7"</f>
        <v>М 1.2.7</v>
      </c>
      <c r="E323" t="str">
        <f t="shared" si="114"/>
        <v>Муфта оптическая</v>
      </c>
      <c r="F323" t="str">
        <f>"19.07.2019"</f>
        <v>19.07.2019</v>
      </c>
      <c r="G323" t="str">
        <f>""</f>
        <v/>
      </c>
      <c r="H323" t="str">
        <f>"М 1.2.7"</f>
        <v>М 1.2.7</v>
      </c>
      <c r="I323" t="str">
        <f>"МС 1.2"</f>
        <v>МС 1.2</v>
      </c>
      <c r="J323" t="str">
        <f>""</f>
        <v/>
      </c>
      <c r="K323" t="str">
        <f t="shared" si="109"/>
        <v>МТОК 96</v>
      </c>
      <c r="L323" t="str">
        <f>"Крыша"</f>
        <v>Крыша</v>
      </c>
      <c r="M323" t="str">
        <f>"08.08.2019"</f>
        <v>08.08.2019</v>
      </c>
      <c r="N323" t="str">
        <f>"EmptySerial&lt;81741&gt;"</f>
        <v>EmptySerial&lt;81741&gt;</v>
      </c>
      <c r="O323" t="str">
        <f t="shared" si="107"/>
        <v>Нет</v>
      </c>
      <c r="P323" t="str">
        <f>""</f>
        <v/>
      </c>
      <c r="Q323" t="str">
        <f t="shared" si="112"/>
        <v>Нет</v>
      </c>
      <c r="R323" t="str">
        <f t="shared" si="111"/>
        <v>Основной</v>
      </c>
      <c r="S323" t="str">
        <f t="shared" si="115"/>
        <v>ГУТС</v>
      </c>
      <c r="T323" t="str">
        <f>""</f>
        <v/>
      </c>
      <c r="U323" t="str">
        <f t="shared" si="116"/>
        <v>Нет</v>
      </c>
      <c r="V323">
        <v>51.706051019999997</v>
      </c>
      <c r="W323">
        <v>36.162989660000001</v>
      </c>
      <c r="X323" t="str">
        <f>"20000006259970"</f>
        <v>20000006259970</v>
      </c>
    </row>
    <row r="324" spans="1:24" x14ac:dyDescent="0.25">
      <c r="A324">
        <v>907</v>
      </c>
      <c r="B324" t="str">
        <f t="shared" si="113"/>
        <v>Курск</v>
      </c>
      <c r="C324">
        <v>552919</v>
      </c>
      <c r="D324" t="str">
        <f>"M 5.6.9"</f>
        <v>M 5.6.9</v>
      </c>
      <c r="E324" t="str">
        <f t="shared" si="114"/>
        <v>Муфта оптическая</v>
      </c>
      <c r="F324" t="str">
        <f>"29.07.2019"</f>
        <v>29.07.2019</v>
      </c>
      <c r="G324" t="str">
        <f>"Курсквтормет"</f>
        <v>Курсквтормет</v>
      </c>
      <c r="H324" t="str">
        <f>"M 5.6.9"</f>
        <v>M 5.6.9</v>
      </c>
      <c r="I324" t="str">
        <f>"Кампус - 5605"</f>
        <v>Кампус - 5605</v>
      </c>
      <c r="J324" t="str">
        <f>""</f>
        <v/>
      </c>
      <c r="K324" t="str">
        <f t="shared" si="109"/>
        <v>МТОК 96</v>
      </c>
      <c r="L324" t="str">
        <f>"Опора"</f>
        <v>Опора</v>
      </c>
      <c r="M324" t="str">
        <f>"07.08.2019"</f>
        <v>07.08.2019</v>
      </c>
      <c r="N324" t="str">
        <f>"EmptySerial&lt;81795&gt;"</f>
        <v>EmptySerial&lt;81795&gt;</v>
      </c>
      <c r="O324" t="str">
        <f t="shared" si="107"/>
        <v>Нет</v>
      </c>
      <c r="P324" t="str">
        <f>""</f>
        <v/>
      </c>
      <c r="Q324" t="str">
        <f t="shared" si="112"/>
        <v>Нет</v>
      </c>
      <c r="R324" t="str">
        <f t="shared" si="111"/>
        <v>Основной</v>
      </c>
      <c r="S324" t="str">
        <f t="shared" si="115"/>
        <v>ГУТС</v>
      </c>
      <c r="T324" t="str">
        <f>""</f>
        <v/>
      </c>
      <c r="U324" t="str">
        <f t="shared" si="116"/>
        <v>Нет</v>
      </c>
      <c r="V324">
        <v>51.647671170000002</v>
      </c>
      <c r="W324">
        <v>36.127062369999997</v>
      </c>
      <c r="X324" t="str">
        <f>"20000006259975"</f>
        <v>20000006259975</v>
      </c>
    </row>
    <row r="325" spans="1:24" x14ac:dyDescent="0.25">
      <c r="A325">
        <v>907</v>
      </c>
      <c r="B325" t="str">
        <f t="shared" si="113"/>
        <v>Курск</v>
      </c>
      <c r="C325">
        <v>629564</v>
      </c>
      <c r="D325" t="str">
        <f>"М 2.7.7"</f>
        <v>М 2.7.7</v>
      </c>
      <c r="E325" t="str">
        <f t="shared" si="114"/>
        <v>Муфта оптическая</v>
      </c>
      <c r="F325" t="str">
        <f t="shared" ref="F325:F330" si="117">"08.11.2019"</f>
        <v>08.11.2019</v>
      </c>
      <c r="G325" t="str">
        <f>""</f>
        <v/>
      </c>
      <c r="H325" t="str">
        <f>"М 2.7.7"</f>
        <v>М 2.7.7</v>
      </c>
      <c r="I325" t="str">
        <f t="shared" ref="I325:I331" si="118">"МС 2.7"</f>
        <v>МС 2.7</v>
      </c>
      <c r="J325" t="str">
        <f>""</f>
        <v/>
      </c>
      <c r="K325" t="str">
        <f t="shared" si="109"/>
        <v>МТОК 96</v>
      </c>
      <c r="L325" t="str">
        <f t="shared" ref="L325:L331" si="119">"Крыша"</f>
        <v>Крыша</v>
      </c>
      <c r="M325" t="str">
        <f t="shared" ref="M325:M330" si="120">"08.08.2019"</f>
        <v>08.08.2019</v>
      </c>
      <c r="N325" t="str">
        <f>"KURSK007078"</f>
        <v>KURSK007078</v>
      </c>
      <c r="O325" t="str">
        <f t="shared" si="107"/>
        <v>Нет</v>
      </c>
      <c r="P325" t="str">
        <f>""</f>
        <v/>
      </c>
      <c r="Q325" t="str">
        <f t="shared" si="112"/>
        <v>Нет</v>
      </c>
      <c r="R325" t="str">
        <f t="shared" ref="R325:R331" si="121">"Достройка МЕ"</f>
        <v>Достройка МЕ</v>
      </c>
      <c r="S325" t="str">
        <f t="shared" si="115"/>
        <v>ГУТС</v>
      </c>
      <c r="T325" t="str">
        <f>""</f>
        <v/>
      </c>
      <c r="U325" t="str">
        <f t="shared" si="116"/>
        <v>Нет</v>
      </c>
      <c r="V325">
        <v>51.72120632</v>
      </c>
      <c r="W325">
        <v>36.131653909999997</v>
      </c>
      <c r="X325" t="str">
        <f>"20000004573578"</f>
        <v>20000004573578</v>
      </c>
    </row>
    <row r="326" spans="1:24" x14ac:dyDescent="0.25">
      <c r="A326">
        <v>907</v>
      </c>
      <c r="B326" t="str">
        <f t="shared" si="113"/>
        <v>Курск</v>
      </c>
      <c r="C326">
        <v>629568</v>
      </c>
      <c r="D326" t="str">
        <f>"М 2.7.6"</f>
        <v>М 2.7.6</v>
      </c>
      <c r="E326" t="str">
        <f t="shared" si="114"/>
        <v>Муфта оптическая</v>
      </c>
      <c r="F326" t="str">
        <f t="shared" si="117"/>
        <v>08.11.2019</v>
      </c>
      <c r="G326" t="str">
        <f>""</f>
        <v/>
      </c>
      <c r="H326" t="str">
        <f>"М 2.7.6"</f>
        <v>М 2.7.6</v>
      </c>
      <c r="I326" t="str">
        <f t="shared" si="118"/>
        <v>МС 2.7</v>
      </c>
      <c r="J326" t="str">
        <f>""</f>
        <v/>
      </c>
      <c r="K326" t="str">
        <f t="shared" si="109"/>
        <v>МТОК 96</v>
      </c>
      <c r="L326" t="str">
        <f t="shared" si="119"/>
        <v>Крыша</v>
      </c>
      <c r="M326" t="str">
        <f t="shared" si="120"/>
        <v>08.08.2019</v>
      </c>
      <c r="N326" t="str">
        <f>"KURSK007077"</f>
        <v>KURSK007077</v>
      </c>
      <c r="O326" t="str">
        <f t="shared" si="107"/>
        <v>Нет</v>
      </c>
      <c r="P326" t="str">
        <f>""</f>
        <v/>
      </c>
      <c r="Q326" t="str">
        <f t="shared" si="112"/>
        <v>Нет</v>
      </c>
      <c r="R326" t="str">
        <f t="shared" si="121"/>
        <v>Достройка МЕ</v>
      </c>
      <c r="S326" t="str">
        <f t="shared" si="115"/>
        <v>ГУТС</v>
      </c>
      <c r="T326" t="str">
        <f>""</f>
        <v/>
      </c>
      <c r="U326" t="str">
        <f t="shared" si="116"/>
        <v>Нет</v>
      </c>
      <c r="V326">
        <v>51.722784609999998</v>
      </c>
      <c r="W326">
        <v>36.133314200000001</v>
      </c>
      <c r="X326" t="str">
        <f>"20000004573577"</f>
        <v>20000004573577</v>
      </c>
    </row>
    <row r="327" spans="1:24" x14ac:dyDescent="0.25">
      <c r="A327">
        <v>907</v>
      </c>
      <c r="B327" t="str">
        <f t="shared" si="113"/>
        <v>Курск</v>
      </c>
      <c r="C327">
        <v>629572</v>
      </c>
      <c r="D327" t="str">
        <f>"М 2.7.5"</f>
        <v>М 2.7.5</v>
      </c>
      <c r="E327" t="str">
        <f t="shared" si="114"/>
        <v>Муфта оптическая</v>
      </c>
      <c r="F327" t="str">
        <f t="shared" si="117"/>
        <v>08.11.2019</v>
      </c>
      <c r="G327" t="str">
        <f>""</f>
        <v/>
      </c>
      <c r="H327" t="str">
        <f>"М 2.7.5"</f>
        <v>М 2.7.5</v>
      </c>
      <c r="I327" t="str">
        <f t="shared" si="118"/>
        <v>МС 2.7</v>
      </c>
      <c r="J327" t="str">
        <f>""</f>
        <v/>
      </c>
      <c r="K327" t="str">
        <f t="shared" si="109"/>
        <v>МТОК 96</v>
      </c>
      <c r="L327" t="str">
        <f t="shared" si="119"/>
        <v>Крыша</v>
      </c>
      <c r="M327" t="str">
        <f t="shared" si="120"/>
        <v>08.08.2019</v>
      </c>
      <c r="N327" t="str">
        <f>"KURSK007076"</f>
        <v>KURSK007076</v>
      </c>
      <c r="O327" t="str">
        <f t="shared" si="107"/>
        <v>Нет</v>
      </c>
      <c r="P327" t="str">
        <f>""</f>
        <v/>
      </c>
      <c r="Q327" t="str">
        <f t="shared" si="112"/>
        <v>Нет</v>
      </c>
      <c r="R327" t="str">
        <f t="shared" si="121"/>
        <v>Достройка МЕ</v>
      </c>
      <c r="S327" t="str">
        <f t="shared" si="115"/>
        <v>ГУТС</v>
      </c>
      <c r="T327" t="str">
        <f>""</f>
        <v/>
      </c>
      <c r="U327" t="str">
        <f t="shared" si="116"/>
        <v>Нет</v>
      </c>
      <c r="V327">
        <v>51.726897770000001</v>
      </c>
      <c r="W327">
        <v>36.136370579999998</v>
      </c>
      <c r="X327" t="str">
        <f>"20000004573576"</f>
        <v>20000004573576</v>
      </c>
    </row>
    <row r="328" spans="1:24" x14ac:dyDescent="0.25">
      <c r="A328">
        <v>907</v>
      </c>
      <c r="B328" t="str">
        <f t="shared" si="113"/>
        <v>Курск</v>
      </c>
      <c r="C328">
        <v>629576</v>
      </c>
      <c r="D328" t="str">
        <f>"М 2.7.4"</f>
        <v>М 2.7.4</v>
      </c>
      <c r="E328" t="str">
        <f t="shared" si="114"/>
        <v>Муфта оптическая</v>
      </c>
      <c r="F328" t="str">
        <f t="shared" si="117"/>
        <v>08.11.2019</v>
      </c>
      <c r="G328" t="str">
        <f>""</f>
        <v/>
      </c>
      <c r="H328" t="str">
        <f>"М 2.7.4"</f>
        <v>М 2.7.4</v>
      </c>
      <c r="I328" t="str">
        <f t="shared" si="118"/>
        <v>МС 2.7</v>
      </c>
      <c r="J328" t="str">
        <f>""</f>
        <v/>
      </c>
      <c r="K328" t="str">
        <f t="shared" si="109"/>
        <v>МТОК 96</v>
      </c>
      <c r="L328" t="str">
        <f t="shared" si="119"/>
        <v>Крыша</v>
      </c>
      <c r="M328" t="str">
        <f t="shared" si="120"/>
        <v>08.08.2019</v>
      </c>
      <c r="N328" t="str">
        <f>"KURSK007075"</f>
        <v>KURSK007075</v>
      </c>
      <c r="O328" t="str">
        <f t="shared" ref="O328:O336" si="122">"Нет"</f>
        <v>Нет</v>
      </c>
      <c r="P328" t="str">
        <f>""</f>
        <v/>
      </c>
      <c r="Q328" t="str">
        <f t="shared" si="112"/>
        <v>Нет</v>
      </c>
      <c r="R328" t="str">
        <f t="shared" si="121"/>
        <v>Достройка МЕ</v>
      </c>
      <c r="S328" t="str">
        <f t="shared" si="115"/>
        <v>ГУТС</v>
      </c>
      <c r="T328" t="str">
        <f>""</f>
        <v/>
      </c>
      <c r="U328" t="str">
        <f t="shared" si="116"/>
        <v>Нет</v>
      </c>
      <c r="V328">
        <v>51.732538660000003</v>
      </c>
      <c r="W328">
        <v>36.139250599999997</v>
      </c>
      <c r="X328" t="str">
        <f>"20000004573575"</f>
        <v>20000004573575</v>
      </c>
    </row>
    <row r="329" spans="1:24" x14ac:dyDescent="0.25">
      <c r="A329">
        <v>907</v>
      </c>
      <c r="B329" t="str">
        <f t="shared" si="113"/>
        <v>Курск</v>
      </c>
      <c r="C329">
        <v>629580</v>
      </c>
      <c r="D329" t="str">
        <f>"М 2.7.3"</f>
        <v>М 2.7.3</v>
      </c>
      <c r="E329" t="str">
        <f t="shared" si="114"/>
        <v>Муфта оптическая</v>
      </c>
      <c r="F329" t="str">
        <f t="shared" si="117"/>
        <v>08.11.2019</v>
      </c>
      <c r="G329" t="str">
        <f>""</f>
        <v/>
      </c>
      <c r="H329" t="str">
        <f>"М 2.7.3"</f>
        <v>М 2.7.3</v>
      </c>
      <c r="I329" t="str">
        <f t="shared" si="118"/>
        <v>МС 2.7</v>
      </c>
      <c r="J329" t="str">
        <f>""</f>
        <v/>
      </c>
      <c r="K329" t="str">
        <f t="shared" si="109"/>
        <v>МТОК 96</v>
      </c>
      <c r="L329" t="str">
        <f t="shared" si="119"/>
        <v>Крыша</v>
      </c>
      <c r="M329" t="str">
        <f t="shared" si="120"/>
        <v>08.08.2019</v>
      </c>
      <c r="N329" t="str">
        <f>"KURSK007074"</f>
        <v>KURSK007074</v>
      </c>
      <c r="O329" t="str">
        <f t="shared" si="122"/>
        <v>Нет</v>
      </c>
      <c r="P329" t="str">
        <f>""</f>
        <v/>
      </c>
      <c r="Q329" t="str">
        <f t="shared" si="112"/>
        <v>Нет</v>
      </c>
      <c r="R329" t="str">
        <f t="shared" si="121"/>
        <v>Достройка МЕ</v>
      </c>
      <c r="S329" t="str">
        <f t="shared" si="115"/>
        <v>ГУТС</v>
      </c>
      <c r="T329" t="str">
        <f>""</f>
        <v/>
      </c>
      <c r="U329" t="str">
        <f t="shared" si="116"/>
        <v>Нет</v>
      </c>
      <c r="V329">
        <v>51.738405569999998</v>
      </c>
      <c r="W329">
        <v>36.13674743</v>
      </c>
      <c r="X329" t="str">
        <f>"20000004573574"</f>
        <v>20000004573574</v>
      </c>
    </row>
    <row r="330" spans="1:24" x14ac:dyDescent="0.25">
      <c r="A330">
        <v>907</v>
      </c>
      <c r="B330" t="str">
        <f t="shared" si="113"/>
        <v>Курск</v>
      </c>
      <c r="C330">
        <v>629899</v>
      </c>
      <c r="D330" t="str">
        <f>"М 2.7.8"</f>
        <v>М 2.7.8</v>
      </c>
      <c r="E330" t="str">
        <f t="shared" si="114"/>
        <v>Муфта оптическая</v>
      </c>
      <c r="F330" t="str">
        <f t="shared" si="117"/>
        <v>08.11.2019</v>
      </c>
      <c r="G330" t="str">
        <f>""</f>
        <v/>
      </c>
      <c r="H330" t="str">
        <f>"М 2.7.8"</f>
        <v>М 2.7.8</v>
      </c>
      <c r="I330" t="str">
        <f t="shared" si="118"/>
        <v>МС 2.7</v>
      </c>
      <c r="J330" t="str">
        <f>""</f>
        <v/>
      </c>
      <c r="K330" t="str">
        <f t="shared" si="109"/>
        <v>МТОК 96</v>
      </c>
      <c r="L330" t="str">
        <f t="shared" si="119"/>
        <v>Крыша</v>
      </c>
      <c r="M330" t="str">
        <f t="shared" si="120"/>
        <v>08.08.2019</v>
      </c>
      <c r="N330" t="str">
        <f>"KURSK007082"</f>
        <v>KURSK007082</v>
      </c>
      <c r="O330" t="str">
        <f t="shared" si="122"/>
        <v>Нет</v>
      </c>
      <c r="P330" t="str">
        <f>""</f>
        <v/>
      </c>
      <c r="Q330" t="str">
        <f t="shared" si="112"/>
        <v>Нет</v>
      </c>
      <c r="R330" t="str">
        <f t="shared" si="121"/>
        <v>Достройка МЕ</v>
      </c>
      <c r="S330" t="str">
        <f t="shared" si="115"/>
        <v>ГУТС</v>
      </c>
      <c r="T330" t="str">
        <f>""</f>
        <v/>
      </c>
      <c r="U330" t="str">
        <f t="shared" si="116"/>
        <v>Нет</v>
      </c>
      <c r="V330">
        <v>51.719011719999997</v>
      </c>
      <c r="W330">
        <v>36.126617400000001</v>
      </c>
      <c r="X330" t="str">
        <f>"20000004573579"</f>
        <v>20000004573579</v>
      </c>
    </row>
    <row r="331" spans="1:24" x14ac:dyDescent="0.25">
      <c r="A331">
        <v>907</v>
      </c>
      <c r="B331" t="str">
        <f t="shared" si="113"/>
        <v>Курск</v>
      </c>
      <c r="C331">
        <v>631236</v>
      </c>
      <c r="D331" t="str">
        <f>"М 2.7.9"</f>
        <v>М 2.7.9</v>
      </c>
      <c r="E331" t="str">
        <f t="shared" si="114"/>
        <v>Муфта оптическая</v>
      </c>
      <c r="F331" t="str">
        <f>"13.11.2019"</f>
        <v>13.11.2019</v>
      </c>
      <c r="G331" t="str">
        <f>""</f>
        <v/>
      </c>
      <c r="H331" t="str">
        <f>"М 2.7.9"</f>
        <v>М 2.7.9</v>
      </c>
      <c r="I331" t="str">
        <f t="shared" si="118"/>
        <v>МС 2.7</v>
      </c>
      <c r="J331" t="str">
        <f>""</f>
        <v/>
      </c>
      <c r="K331" t="str">
        <f t="shared" si="109"/>
        <v>МТОК 96</v>
      </c>
      <c r="L331" t="str">
        <f t="shared" si="119"/>
        <v>Крыша</v>
      </c>
      <c r="M331" t="str">
        <f>"11.10.2019"</f>
        <v>11.10.2019</v>
      </c>
      <c r="N331" t="str">
        <f>"KURSK007102"</f>
        <v>KURSK007102</v>
      </c>
      <c r="O331" t="str">
        <f t="shared" si="122"/>
        <v>Нет</v>
      </c>
      <c r="P331" t="str">
        <f>""</f>
        <v/>
      </c>
      <c r="Q331" t="str">
        <f t="shared" si="112"/>
        <v>Нет</v>
      </c>
      <c r="R331" t="str">
        <f t="shared" si="121"/>
        <v>Достройка МЕ</v>
      </c>
      <c r="S331" t="str">
        <f t="shared" si="115"/>
        <v>ГУТС</v>
      </c>
      <c r="T331" t="str">
        <f>""</f>
        <v/>
      </c>
      <c r="U331" t="str">
        <f t="shared" si="116"/>
        <v>Нет</v>
      </c>
      <c r="V331">
        <v>51.718017189999998</v>
      </c>
      <c r="W331">
        <v>36.127619199999998</v>
      </c>
      <c r="X331" t="str">
        <f>"20000004573659"</f>
        <v>20000004573659</v>
      </c>
    </row>
    <row r="332" spans="1:24" x14ac:dyDescent="0.25">
      <c r="A332">
        <v>907</v>
      </c>
      <c r="B332" t="str">
        <f t="shared" si="113"/>
        <v>Курск</v>
      </c>
      <c r="C332">
        <v>632731</v>
      </c>
      <c r="D332" t="str">
        <f>"Т 6.5"</f>
        <v>Т 6.5</v>
      </c>
      <c r="E332" t="str">
        <f t="shared" si="114"/>
        <v>Муфта оптическая</v>
      </c>
      <c r="F332" t="str">
        <f>"12.12.2019"</f>
        <v>12.12.2019</v>
      </c>
      <c r="G332" t="str">
        <f>""</f>
        <v/>
      </c>
      <c r="H332" t="str">
        <f>"Т 6.5"</f>
        <v>Т 6.5</v>
      </c>
      <c r="I332" t="str">
        <f>"ТС"</f>
        <v>ТС</v>
      </c>
      <c r="J332" t="str">
        <f>""</f>
        <v/>
      </c>
      <c r="K332" t="str">
        <f t="shared" si="109"/>
        <v>МТОК 96</v>
      </c>
      <c r="L332" t="str">
        <f t="shared" ref="L332:L344" si="123">"Опора"</f>
        <v>Опора</v>
      </c>
      <c r="M332" t="str">
        <f>"11.12.2019"</f>
        <v>11.12.2019</v>
      </c>
      <c r="N332" t="str">
        <f>"EmptySerial&lt;84457&gt;"</f>
        <v>EmptySerial&lt;84457&gt;</v>
      </c>
      <c r="O332" t="str">
        <f t="shared" si="122"/>
        <v>Нет</v>
      </c>
      <c r="P332" t="str">
        <f>""</f>
        <v/>
      </c>
      <c r="Q332" t="str">
        <f t="shared" si="112"/>
        <v>Нет</v>
      </c>
      <c r="R332" t="str">
        <f>"Основной"</f>
        <v>Основной</v>
      </c>
      <c r="S332" t="str">
        <f t="shared" si="115"/>
        <v>ГУТС</v>
      </c>
      <c r="T332" t="str">
        <f>""</f>
        <v/>
      </c>
      <c r="U332" t="str">
        <f t="shared" si="116"/>
        <v>Нет</v>
      </c>
      <c r="V332">
        <v>51.746878789999997</v>
      </c>
      <c r="W332">
        <v>36.224081669999997</v>
      </c>
      <c r="X332" t="str">
        <f>"20000004574245"</f>
        <v>20000004574245</v>
      </c>
    </row>
    <row r="333" spans="1:24" x14ac:dyDescent="0.25">
      <c r="A333">
        <v>907</v>
      </c>
      <c r="B333" t="str">
        <f t="shared" si="113"/>
        <v>Курск</v>
      </c>
      <c r="C333">
        <v>632735</v>
      </c>
      <c r="D333" t="str">
        <f>"Т 6.4"</f>
        <v>Т 6.4</v>
      </c>
      <c r="E333" t="str">
        <f t="shared" si="114"/>
        <v>Муфта оптическая</v>
      </c>
      <c r="F333" t="str">
        <f>"12.12.2019"</f>
        <v>12.12.2019</v>
      </c>
      <c r="G333" t="str">
        <f>""</f>
        <v/>
      </c>
      <c r="H333" t="str">
        <f>"Т 6.4"</f>
        <v>Т 6.4</v>
      </c>
      <c r="I333" t="str">
        <f>"ТС"</f>
        <v>ТС</v>
      </c>
      <c r="J333" t="str">
        <f>""</f>
        <v/>
      </c>
      <c r="K333" t="str">
        <f t="shared" si="109"/>
        <v>МТОК 96</v>
      </c>
      <c r="L333" t="str">
        <f t="shared" si="123"/>
        <v>Опора</v>
      </c>
      <c r="M333" t="str">
        <f>"11.12.2019"</f>
        <v>11.12.2019</v>
      </c>
      <c r="N333" t="str">
        <f>"EmptySerial&lt;84458&gt;"</f>
        <v>EmptySerial&lt;84458&gt;</v>
      </c>
      <c r="O333" t="str">
        <f t="shared" si="122"/>
        <v>Нет</v>
      </c>
      <c r="P333" t="str">
        <f>""</f>
        <v/>
      </c>
      <c r="Q333" t="str">
        <f t="shared" si="112"/>
        <v>Нет</v>
      </c>
      <c r="R333" t="str">
        <f>"Основной"</f>
        <v>Основной</v>
      </c>
      <c r="S333" t="str">
        <f t="shared" si="115"/>
        <v>ГУТС</v>
      </c>
      <c r="T333" t="str">
        <f>""</f>
        <v/>
      </c>
      <c r="U333" t="str">
        <f t="shared" si="116"/>
        <v>Нет</v>
      </c>
      <c r="V333">
        <v>51.73537314</v>
      </c>
      <c r="W333">
        <v>36.225436180000003</v>
      </c>
      <c r="X333" t="str">
        <f>"20000004574246"</f>
        <v>20000004574246</v>
      </c>
    </row>
    <row r="334" spans="1:24" x14ac:dyDescent="0.25">
      <c r="A334">
        <v>907</v>
      </c>
      <c r="B334" t="str">
        <f t="shared" si="113"/>
        <v>Курск</v>
      </c>
      <c r="C334">
        <v>632739</v>
      </c>
      <c r="D334" t="str">
        <f>"Т 6.3"</f>
        <v>Т 6.3</v>
      </c>
      <c r="E334" t="str">
        <f t="shared" si="114"/>
        <v>Муфта оптическая</v>
      </c>
      <c r="F334" t="str">
        <f>"12.12.2019"</f>
        <v>12.12.2019</v>
      </c>
      <c r="G334" t="str">
        <f>""</f>
        <v/>
      </c>
      <c r="H334" t="str">
        <f>"Т 6.3"</f>
        <v>Т 6.3</v>
      </c>
      <c r="I334" t="str">
        <f>"ТС"</f>
        <v>ТС</v>
      </c>
      <c r="J334" t="str">
        <f>""</f>
        <v/>
      </c>
      <c r="K334" t="str">
        <f t="shared" si="109"/>
        <v>МТОК 96</v>
      </c>
      <c r="L334" t="str">
        <f t="shared" si="123"/>
        <v>Опора</v>
      </c>
      <c r="M334" t="str">
        <f>"11.12.2019"</f>
        <v>11.12.2019</v>
      </c>
      <c r="N334" t="str">
        <f>"EmptySerial&lt;84459&gt;"</f>
        <v>EmptySerial&lt;84459&gt;</v>
      </c>
      <c r="O334" t="str">
        <f t="shared" si="122"/>
        <v>Нет</v>
      </c>
      <c r="P334" t="str">
        <f>""</f>
        <v/>
      </c>
      <c r="Q334" t="str">
        <f t="shared" si="112"/>
        <v>Нет</v>
      </c>
      <c r="R334" t="str">
        <f>"Основной"</f>
        <v>Основной</v>
      </c>
      <c r="S334" t="str">
        <f t="shared" si="115"/>
        <v>ГУТС</v>
      </c>
      <c r="T334" t="str">
        <f>""</f>
        <v/>
      </c>
      <c r="U334" t="str">
        <f t="shared" si="116"/>
        <v>Нет</v>
      </c>
      <c r="V334">
        <v>51.728431999999998</v>
      </c>
      <c r="W334">
        <v>36.221925839999997</v>
      </c>
      <c r="X334" t="str">
        <f>"20000004574247"</f>
        <v>20000004574247</v>
      </c>
    </row>
    <row r="335" spans="1:24" x14ac:dyDescent="0.25">
      <c r="A335">
        <v>907</v>
      </c>
      <c r="B335" t="str">
        <f t="shared" si="113"/>
        <v>Курск</v>
      </c>
      <c r="C335">
        <v>632743</v>
      </c>
      <c r="D335" t="str">
        <f>"Т 6.2"</f>
        <v>Т 6.2</v>
      </c>
      <c r="E335" t="str">
        <f t="shared" si="114"/>
        <v>Муфта оптическая</v>
      </c>
      <c r="F335" t="str">
        <f>"12.12.2019"</f>
        <v>12.12.2019</v>
      </c>
      <c r="G335" t="str">
        <f>""</f>
        <v/>
      </c>
      <c r="H335" t="str">
        <f>"Т 6.2"</f>
        <v>Т 6.2</v>
      </c>
      <c r="I335" t="str">
        <f>"ТС"</f>
        <v>ТС</v>
      </c>
      <c r="J335" t="str">
        <f>""</f>
        <v/>
      </c>
      <c r="K335" t="str">
        <f t="shared" si="109"/>
        <v>МТОК 96</v>
      </c>
      <c r="L335" t="str">
        <f t="shared" si="123"/>
        <v>Опора</v>
      </c>
      <c r="M335" t="str">
        <f>"11.12.2019"</f>
        <v>11.12.2019</v>
      </c>
      <c r="N335" t="str">
        <f>"EmptySerial&lt;84460&gt;"</f>
        <v>EmptySerial&lt;84460&gt;</v>
      </c>
      <c r="O335" t="str">
        <f t="shared" si="122"/>
        <v>Нет</v>
      </c>
      <c r="P335" t="str">
        <f>""</f>
        <v/>
      </c>
      <c r="Q335" t="str">
        <f t="shared" si="112"/>
        <v>Нет</v>
      </c>
      <c r="R335" t="str">
        <f>"Основной"</f>
        <v>Основной</v>
      </c>
      <c r="S335" t="str">
        <f t="shared" si="115"/>
        <v>ГУТС</v>
      </c>
      <c r="T335" t="str">
        <f>""</f>
        <v/>
      </c>
      <c r="U335" t="str">
        <f t="shared" si="116"/>
        <v>Нет</v>
      </c>
      <c r="V335">
        <v>51.717330660000002</v>
      </c>
      <c r="W335">
        <v>36.200705880000001</v>
      </c>
      <c r="X335" t="str">
        <f>"20000004574248"</f>
        <v>20000004574248</v>
      </c>
    </row>
    <row r="336" spans="1:24" x14ac:dyDescent="0.25">
      <c r="A336">
        <v>907</v>
      </c>
      <c r="B336" t="str">
        <f t="shared" si="113"/>
        <v>Курск</v>
      </c>
      <c r="C336">
        <v>632747</v>
      </c>
      <c r="D336" t="str">
        <f>"Т 6.1"</f>
        <v>Т 6.1</v>
      </c>
      <c r="E336" t="str">
        <f t="shared" si="114"/>
        <v>Муфта оптическая</v>
      </c>
      <c r="F336" t="str">
        <f>"12.12.2019"</f>
        <v>12.12.2019</v>
      </c>
      <c r="G336" t="str">
        <f>""</f>
        <v/>
      </c>
      <c r="H336" t="str">
        <f>"Т 6.1"</f>
        <v>Т 6.1</v>
      </c>
      <c r="I336" t="str">
        <f>"ТС"</f>
        <v>ТС</v>
      </c>
      <c r="J336" t="str">
        <f>""</f>
        <v/>
      </c>
      <c r="K336" t="str">
        <f t="shared" si="109"/>
        <v>МТОК 96</v>
      </c>
      <c r="L336" t="str">
        <f t="shared" si="123"/>
        <v>Опора</v>
      </c>
      <c r="M336" t="str">
        <f>"11.12.2019"</f>
        <v>11.12.2019</v>
      </c>
      <c r="N336" t="str">
        <f>"EmptySerial&lt;84461&gt;"</f>
        <v>EmptySerial&lt;84461&gt;</v>
      </c>
      <c r="O336" t="str">
        <f t="shared" si="122"/>
        <v>Нет</v>
      </c>
      <c r="P336" t="str">
        <f>""</f>
        <v/>
      </c>
      <c r="Q336" t="str">
        <f t="shared" si="112"/>
        <v>Нет</v>
      </c>
      <c r="R336" t="str">
        <f>"Основной"</f>
        <v>Основной</v>
      </c>
      <c r="S336" t="str">
        <f t="shared" si="115"/>
        <v>ГУТС</v>
      </c>
      <c r="T336" t="str">
        <f>""</f>
        <v/>
      </c>
      <c r="U336" t="str">
        <f t="shared" si="116"/>
        <v>Нет</v>
      </c>
      <c r="V336">
        <v>51.721708509999999</v>
      </c>
      <c r="W336">
        <v>36.190598639999997</v>
      </c>
      <c r="X336" t="str">
        <f>"20000004574249"</f>
        <v>20000004574249</v>
      </c>
    </row>
    <row r="337" spans="1:24" x14ac:dyDescent="0.25">
      <c r="A337">
        <v>907</v>
      </c>
      <c r="B337" t="str">
        <f t="shared" si="113"/>
        <v>Курск</v>
      </c>
      <c r="C337">
        <v>635045</v>
      </c>
      <c r="D337" t="str">
        <f>"М 4.2.12"</f>
        <v>М 4.2.12</v>
      </c>
      <c r="E337" t="str">
        <f t="shared" si="114"/>
        <v>Муфта оптическая</v>
      </c>
      <c r="F337" t="str">
        <f>"22.01.2020"</f>
        <v>22.01.2020</v>
      </c>
      <c r="G337" t="str">
        <f>""</f>
        <v/>
      </c>
      <c r="H337" t="str">
        <f>"М 4.2.12"</f>
        <v>М 4.2.12</v>
      </c>
      <c r="I337" t="str">
        <f>"МС 4.2"</f>
        <v>МС 4.2</v>
      </c>
      <c r="J337" t="str">
        <f>""</f>
        <v/>
      </c>
      <c r="K337" t="str">
        <f t="shared" si="109"/>
        <v>МТОК 96</v>
      </c>
      <c r="L337" t="str">
        <f t="shared" si="123"/>
        <v>Опора</v>
      </c>
      <c r="M337" t="str">
        <f>"21.08.2019"</f>
        <v>21.08.2019</v>
      </c>
      <c r="N337" t="str">
        <f>"KURSK007478"</f>
        <v>KURSK007478</v>
      </c>
      <c r="O337" t="str">
        <f>"Да"</f>
        <v>Да</v>
      </c>
      <c r="P337" t="str">
        <f>""</f>
        <v/>
      </c>
      <c r="Q337" t="str">
        <f t="shared" si="112"/>
        <v>Нет</v>
      </c>
      <c r="R337" t="str">
        <f>"Достройка МЕ"</f>
        <v>Достройка МЕ</v>
      </c>
      <c r="S337" t="str">
        <f t="shared" si="115"/>
        <v>ГУТС</v>
      </c>
      <c r="T337" t="str">
        <f>""</f>
        <v/>
      </c>
      <c r="U337" t="str">
        <f t="shared" si="116"/>
        <v>Нет</v>
      </c>
      <c r="V337">
        <v>51.738828609999999</v>
      </c>
      <c r="W337">
        <v>36.269465680000003</v>
      </c>
      <c r="X337" t="str">
        <f>"20000004574471"</f>
        <v>20000004574471</v>
      </c>
    </row>
    <row r="338" spans="1:24" x14ac:dyDescent="0.25">
      <c r="A338">
        <v>907</v>
      </c>
      <c r="B338" t="str">
        <f t="shared" si="113"/>
        <v>Курск</v>
      </c>
      <c r="C338">
        <v>637319</v>
      </c>
      <c r="D338" t="str">
        <f>"М 5.6.11"</f>
        <v>М 5.6.11</v>
      </c>
      <c r="E338" t="str">
        <f t="shared" si="114"/>
        <v>Муфта оптическая</v>
      </c>
      <c r="F338" t="str">
        <f>"16.03.2020"</f>
        <v>16.03.2020</v>
      </c>
      <c r="G338" t="str">
        <f>"Разварен последний модль"</f>
        <v>Разварен последний модль</v>
      </c>
      <c r="H338" t="str">
        <f>"М 5.6.11"</f>
        <v>М 5.6.11</v>
      </c>
      <c r="I338" t="str">
        <f>"МС 5.6"</f>
        <v>МС 5.6</v>
      </c>
      <c r="J338" t="str">
        <f>""</f>
        <v/>
      </c>
      <c r="K338" t="str">
        <f t="shared" si="109"/>
        <v>МТОК 96</v>
      </c>
      <c r="L338" t="str">
        <f t="shared" si="123"/>
        <v>Опора</v>
      </c>
      <c r="M338" t="str">
        <f>"16.03.2020"</f>
        <v>16.03.2020</v>
      </c>
      <c r="N338" t="str">
        <f>"EmptySerial&lt;89229&gt;"</f>
        <v>EmptySerial&lt;89229&gt;</v>
      </c>
      <c r="O338" t="str">
        <f t="shared" ref="O338:O343" si="124">"Нет"</f>
        <v>Нет</v>
      </c>
      <c r="P338" t="str">
        <f>""</f>
        <v/>
      </c>
      <c r="Q338" t="str">
        <f t="shared" si="112"/>
        <v>Нет</v>
      </c>
      <c r="R338" t="str">
        <f>"Основной"</f>
        <v>Основной</v>
      </c>
      <c r="S338" t="str">
        <f t="shared" si="115"/>
        <v>ГУТС</v>
      </c>
      <c r="T338" t="str">
        <f>""</f>
        <v/>
      </c>
      <c r="U338" t="str">
        <f t="shared" si="116"/>
        <v>Нет</v>
      </c>
      <c r="V338">
        <v>51.663332599999997</v>
      </c>
      <c r="W338">
        <v>36.137230090000003</v>
      </c>
      <c r="X338" t="str">
        <f>"20000004576169"</f>
        <v>20000004576169</v>
      </c>
    </row>
    <row r="339" spans="1:24" x14ac:dyDescent="0.25">
      <c r="A339">
        <v>907</v>
      </c>
      <c r="B339" t="str">
        <f t="shared" si="113"/>
        <v>Курск</v>
      </c>
      <c r="C339">
        <v>641519</v>
      </c>
      <c r="D339" t="str">
        <f>"М 1.5.9"</f>
        <v>М 1.5.9</v>
      </c>
      <c r="E339" t="str">
        <f t="shared" si="114"/>
        <v>Муфта оптическая</v>
      </c>
      <c r="F339" t="str">
        <f>"05.10.2020"</f>
        <v>05.10.2020</v>
      </c>
      <c r="G339" t="str">
        <f>""</f>
        <v/>
      </c>
      <c r="H339" t="str">
        <f>"М 1.5.9"</f>
        <v>М 1.5.9</v>
      </c>
      <c r="I339" t="str">
        <f>"МС 1.5"</f>
        <v>МС 1.5</v>
      </c>
      <c r="J339" t="str">
        <f>""</f>
        <v/>
      </c>
      <c r="K339" t="str">
        <f>"МТОК-6/108"</f>
        <v>МТОК-6/108</v>
      </c>
      <c r="L339" t="str">
        <f t="shared" si="123"/>
        <v>Опора</v>
      </c>
      <c r="M339" t="str">
        <f>"09.09.2020"</f>
        <v>09.09.2020</v>
      </c>
      <c r="N339" t="str">
        <f>"KURSK009805"</f>
        <v>KURSK009805</v>
      </c>
      <c r="O339" t="str">
        <f t="shared" si="124"/>
        <v>Нет</v>
      </c>
      <c r="P339" t="str">
        <f>""</f>
        <v/>
      </c>
      <c r="Q339" t="str">
        <f t="shared" si="112"/>
        <v>Нет</v>
      </c>
      <c r="R339" t="str">
        <f>"Основной"</f>
        <v>Основной</v>
      </c>
      <c r="S339" t="str">
        <f t="shared" si="115"/>
        <v>ГУТС</v>
      </c>
      <c r="T339" t="str">
        <f>""</f>
        <v/>
      </c>
      <c r="U339" t="str">
        <f t="shared" si="116"/>
        <v>Нет</v>
      </c>
      <c r="V339">
        <v>51.732276859999999</v>
      </c>
      <c r="W339">
        <v>36.18489932</v>
      </c>
      <c r="X339" t="str">
        <f>"20000004577232"</f>
        <v>20000004577232</v>
      </c>
    </row>
    <row r="340" spans="1:24" x14ac:dyDescent="0.25">
      <c r="A340">
        <v>907</v>
      </c>
      <c r="B340" t="str">
        <f t="shared" si="113"/>
        <v>Курск</v>
      </c>
      <c r="C340">
        <v>641521</v>
      </c>
      <c r="D340" t="str">
        <f>"М1.1.15"</f>
        <v>М1.1.15</v>
      </c>
      <c r="E340" t="str">
        <f t="shared" si="114"/>
        <v>Муфта оптическая</v>
      </c>
      <c r="F340" t="str">
        <f>"05.10.2020"</f>
        <v>05.10.2020</v>
      </c>
      <c r="G340" t="str">
        <f>""</f>
        <v/>
      </c>
      <c r="H340" t="str">
        <f>"М1.1.15"</f>
        <v>М1.1.15</v>
      </c>
      <c r="I340" t="str">
        <f>"МС 1.5"</f>
        <v>МС 1.5</v>
      </c>
      <c r="J340" t="str">
        <f>""</f>
        <v/>
      </c>
      <c r="K340" t="str">
        <f>"МТОК-6/108"</f>
        <v>МТОК-6/108</v>
      </c>
      <c r="L340" t="str">
        <f t="shared" si="123"/>
        <v>Опора</v>
      </c>
      <c r="M340" t="str">
        <f>"01.10.2020"</f>
        <v>01.10.2020</v>
      </c>
      <c r="N340" t="str">
        <f>"KURSK009806"</f>
        <v>KURSK009806</v>
      </c>
      <c r="O340" t="str">
        <f t="shared" si="124"/>
        <v>Нет</v>
      </c>
      <c r="P340" t="str">
        <f>""</f>
        <v/>
      </c>
      <c r="Q340" t="str">
        <f t="shared" si="112"/>
        <v>Нет</v>
      </c>
      <c r="R340" t="str">
        <f>"Основной"</f>
        <v>Основной</v>
      </c>
      <c r="S340" t="str">
        <f t="shared" si="115"/>
        <v>ГУТС</v>
      </c>
      <c r="T340" t="str">
        <f>""</f>
        <v/>
      </c>
      <c r="U340" t="str">
        <f t="shared" si="116"/>
        <v>Нет</v>
      </c>
      <c r="V340">
        <v>51.733250820000002</v>
      </c>
      <c r="W340">
        <v>36.18862489</v>
      </c>
      <c r="X340" t="str">
        <f>"20000004577233"</f>
        <v>20000004577233</v>
      </c>
    </row>
    <row r="341" spans="1:24" x14ac:dyDescent="0.25">
      <c r="A341">
        <v>907</v>
      </c>
      <c r="B341" t="str">
        <f t="shared" si="113"/>
        <v>Курск</v>
      </c>
      <c r="C341">
        <v>644719</v>
      </c>
      <c r="D341" t="str">
        <f>"М 1.1.10"</f>
        <v>М 1.1.10</v>
      </c>
      <c r="E341" t="str">
        <f t="shared" si="114"/>
        <v>Муфта оптическая</v>
      </c>
      <c r="F341" t="str">
        <f>"16.12.2020"</f>
        <v>16.12.2020</v>
      </c>
      <c r="G341" t="str">
        <f>""</f>
        <v/>
      </c>
      <c r="H341" t="str">
        <f>"М 1.1.10"</f>
        <v>М 1.1.10</v>
      </c>
      <c r="I341" t="str">
        <f>"Кампус - 1110"</f>
        <v>Кампус - 1110</v>
      </c>
      <c r="J341" t="str">
        <f>""</f>
        <v/>
      </c>
      <c r="K341" t="str">
        <f>"МТОК 96"</f>
        <v>МТОК 96</v>
      </c>
      <c r="L341" t="str">
        <f t="shared" si="123"/>
        <v>Опора</v>
      </c>
      <c r="M341" t="str">
        <f>"17.11.2020"</f>
        <v>17.11.2020</v>
      </c>
      <c r="N341" t="str">
        <f>"EmptySerial&lt;97079&gt;"</f>
        <v>EmptySerial&lt;97079&gt;</v>
      </c>
      <c r="O341" t="str">
        <f t="shared" si="124"/>
        <v>Нет</v>
      </c>
      <c r="P341" t="str">
        <f>""</f>
        <v/>
      </c>
      <c r="Q341" t="str">
        <f t="shared" si="112"/>
        <v>Нет</v>
      </c>
      <c r="R341" t="str">
        <f>"Основной"</f>
        <v>Основной</v>
      </c>
      <c r="S341" t="str">
        <f t="shared" si="115"/>
        <v>ГУТС</v>
      </c>
      <c r="T341" t="str">
        <f>""</f>
        <v/>
      </c>
      <c r="U341" t="str">
        <f t="shared" si="116"/>
        <v>Нет</v>
      </c>
      <c r="V341">
        <v>51.731659440000001</v>
      </c>
      <c r="W341">
        <v>36.183918939999998</v>
      </c>
      <c r="X341" t="str">
        <f>"20000006259803"</f>
        <v>20000006259803</v>
      </c>
    </row>
    <row r="342" spans="1:24" x14ac:dyDescent="0.25">
      <c r="A342">
        <v>907</v>
      </c>
      <c r="B342" t="str">
        <f t="shared" si="113"/>
        <v>Курск</v>
      </c>
      <c r="C342">
        <v>662411</v>
      </c>
      <c r="D342" t="str">
        <f>"Т 2.8"</f>
        <v>Т 2.8</v>
      </c>
      <c r="E342" t="str">
        <f t="shared" si="114"/>
        <v>Муфта оптическая</v>
      </c>
      <c r="F342" t="str">
        <f>"24.08.2021"</f>
        <v>24.08.2021</v>
      </c>
      <c r="G342" t="str">
        <f>""</f>
        <v/>
      </c>
      <c r="H342" t="str">
        <f>"Т 2.8"</f>
        <v>Т 2.8</v>
      </c>
      <c r="I342" t="str">
        <f>"ТС"</f>
        <v>ТС</v>
      </c>
      <c r="J342" t="str">
        <f>""</f>
        <v/>
      </c>
      <c r="K342" t="str">
        <f>"МТОК 96"</f>
        <v>МТОК 96</v>
      </c>
      <c r="L342" t="str">
        <f t="shared" si="123"/>
        <v>Опора</v>
      </c>
      <c r="M342" t="str">
        <f>"24.08.2021"</f>
        <v>24.08.2021</v>
      </c>
      <c r="N342" t="str">
        <f>"106275S907"</f>
        <v>106275S907</v>
      </c>
      <c r="O342" t="str">
        <f t="shared" si="124"/>
        <v>Нет</v>
      </c>
      <c r="P342" t="str">
        <f>""</f>
        <v/>
      </c>
      <c r="Q342" t="str">
        <f t="shared" si="112"/>
        <v>Нет</v>
      </c>
      <c r="R342" t="str">
        <f>""</f>
        <v/>
      </c>
      <c r="S342" t="str">
        <f t="shared" si="115"/>
        <v>ГУТС</v>
      </c>
      <c r="T342" t="str">
        <f>""</f>
        <v/>
      </c>
      <c r="U342" t="str">
        <f t="shared" si="116"/>
        <v>Нет</v>
      </c>
      <c r="V342">
        <v>51.760680030000003</v>
      </c>
      <c r="W342">
        <v>36.133036429999997</v>
      </c>
      <c r="X342" t="str">
        <f>"20000006660333"</f>
        <v>20000006660333</v>
      </c>
    </row>
    <row r="343" spans="1:24" x14ac:dyDescent="0.25">
      <c r="A343">
        <v>907</v>
      </c>
      <c r="B343" t="str">
        <f t="shared" si="113"/>
        <v>Курск</v>
      </c>
      <c r="C343">
        <v>665695</v>
      </c>
      <c r="D343" t="str">
        <f>"Т 1.11"</f>
        <v>Т 1.11</v>
      </c>
      <c r="E343" t="str">
        <f t="shared" si="114"/>
        <v>Муфта оптическая</v>
      </c>
      <c r="F343" t="str">
        <f>"26.08.2021"</f>
        <v>26.08.2021</v>
      </c>
      <c r="G343" t="str">
        <f>""</f>
        <v/>
      </c>
      <c r="H343" t="str">
        <f>"Т 1.11"</f>
        <v>Т 1.11</v>
      </c>
      <c r="I343" t="str">
        <f>"ТС"</f>
        <v>ТС</v>
      </c>
      <c r="J343" t="str">
        <f>""</f>
        <v/>
      </c>
      <c r="K343" t="str">
        <f>"МТОК 96"</f>
        <v>МТОК 96</v>
      </c>
      <c r="L343" t="str">
        <f t="shared" si="123"/>
        <v>Опора</v>
      </c>
      <c r="M343" t="str">
        <f>"05.08.2021"</f>
        <v>05.08.2021</v>
      </c>
      <c r="N343" t="str">
        <f>"106315S907"</f>
        <v>106315S907</v>
      </c>
      <c r="O343" t="str">
        <f t="shared" si="124"/>
        <v>Нет</v>
      </c>
      <c r="P343" t="str">
        <f>""</f>
        <v/>
      </c>
      <c r="Q343" t="str">
        <f t="shared" si="112"/>
        <v>Нет</v>
      </c>
      <c r="R343" t="str">
        <f>""</f>
        <v/>
      </c>
      <c r="S343" t="str">
        <f t="shared" si="115"/>
        <v>ГУТС</v>
      </c>
      <c r="T343" t="str">
        <f>""</f>
        <v/>
      </c>
      <c r="U343" t="str">
        <f t="shared" si="116"/>
        <v>Нет</v>
      </c>
      <c r="V343">
        <v>51.720832549999997</v>
      </c>
      <c r="W343">
        <v>36.162172089999999</v>
      </c>
      <c r="X343" t="str">
        <f>"20000006669341"</f>
        <v>20000006669341</v>
      </c>
    </row>
    <row r="344" spans="1:24" x14ac:dyDescent="0.25">
      <c r="A344">
        <v>907</v>
      </c>
      <c r="B344" t="str">
        <f t="shared" si="113"/>
        <v>Курск</v>
      </c>
      <c r="C344">
        <v>799896</v>
      </c>
      <c r="D344" t="str">
        <f>"М 2.5.18"</f>
        <v>М 2.5.18</v>
      </c>
      <c r="E344" t="str">
        <f t="shared" si="114"/>
        <v>Муфта оптическая</v>
      </c>
      <c r="F344" t="str">
        <f t="shared" ref="F344:F350" si="125">"10.11.2022"</f>
        <v>10.11.2022</v>
      </c>
      <c r="G344" t="str">
        <f>""</f>
        <v/>
      </c>
      <c r="H344" t="str">
        <f>"М 2.5.18"</f>
        <v>М 2.5.18</v>
      </c>
      <c r="I344" t="str">
        <f>"МС 2.5"</f>
        <v>МС 2.5</v>
      </c>
      <c r="J344" t="str">
        <f>""</f>
        <v/>
      </c>
      <c r="K344" t="str">
        <f>"МТОК-5/108"</f>
        <v>МТОК-5/108</v>
      </c>
      <c r="L344" t="str">
        <f t="shared" si="123"/>
        <v>Опора</v>
      </c>
      <c r="M344" t="str">
        <f>"01.04.2022"</f>
        <v>01.04.2022</v>
      </c>
      <c r="N344" t="str">
        <f>"108750S907"</f>
        <v>108750S907</v>
      </c>
      <c r="O344" t="str">
        <f>"Да"</f>
        <v>Да</v>
      </c>
      <c r="P344" t="str">
        <f>""</f>
        <v/>
      </c>
      <c r="Q344" t="str">
        <f>"Да"</f>
        <v>Да</v>
      </c>
      <c r="R344" t="str">
        <f>""</f>
        <v/>
      </c>
      <c r="S344" t="str">
        <f t="shared" si="115"/>
        <v>ГУТС</v>
      </c>
      <c r="T344" t="str">
        <f>""</f>
        <v/>
      </c>
      <c r="U344" t="str">
        <f t="shared" si="116"/>
        <v>Нет</v>
      </c>
      <c r="V344">
        <v>51.733081259999999</v>
      </c>
      <c r="W344">
        <v>36.131001079999997</v>
      </c>
      <c r="X344" t="str">
        <f>"20000008074486"</f>
        <v>20000008074486</v>
      </c>
    </row>
    <row r="345" spans="1:24" x14ac:dyDescent="0.25">
      <c r="A345">
        <v>907</v>
      </c>
      <c r="B345" t="str">
        <f t="shared" si="113"/>
        <v>Курск</v>
      </c>
      <c r="C345">
        <v>800414</v>
      </c>
      <c r="D345" t="str">
        <f>"М 2.7.10"</f>
        <v>М 2.7.10</v>
      </c>
      <c r="E345" t="str">
        <f t="shared" si="114"/>
        <v>Муфта оптическая</v>
      </c>
      <c r="F345" t="str">
        <f t="shared" si="125"/>
        <v>10.11.2022</v>
      </c>
      <c r="G345" t="str">
        <f>""</f>
        <v/>
      </c>
      <c r="H345" t="str">
        <f>"М 2.7.10"</f>
        <v>М 2.7.10</v>
      </c>
      <c r="I345" t="str">
        <f>"МС 2.7"</f>
        <v>МС 2.7</v>
      </c>
      <c r="J345" t="str">
        <f>""</f>
        <v/>
      </c>
      <c r="K345" t="str">
        <f>"МТОК-5/108"</f>
        <v>МТОК-5/108</v>
      </c>
      <c r="L345" t="str">
        <f>"Крыша"</f>
        <v>Крыша</v>
      </c>
      <c r="M345" t="str">
        <f>"25.03.2022"</f>
        <v>25.03.2022</v>
      </c>
      <c r="N345" t="str">
        <f>"108752S907"</f>
        <v>108752S907</v>
      </c>
      <c r="O345" t="str">
        <f>"Да"</f>
        <v>Да</v>
      </c>
      <c r="P345" t="str">
        <f>""</f>
        <v/>
      </c>
      <c r="Q345" t="str">
        <f>"Да"</f>
        <v>Да</v>
      </c>
      <c r="R345" t="str">
        <f>""</f>
        <v/>
      </c>
      <c r="S345" t="str">
        <f t="shared" si="115"/>
        <v>ГУТС</v>
      </c>
      <c r="T345" t="str">
        <f>""</f>
        <v/>
      </c>
      <c r="U345" t="str">
        <f t="shared" si="116"/>
        <v>Нет</v>
      </c>
      <c r="V345">
        <v>51.731959019999998</v>
      </c>
      <c r="W345">
        <v>36.137364750000003</v>
      </c>
      <c r="X345" t="str">
        <f>"20000008074494"</f>
        <v>20000008074494</v>
      </c>
    </row>
    <row r="346" spans="1:24" x14ac:dyDescent="0.25">
      <c r="A346">
        <v>907</v>
      </c>
      <c r="B346" t="str">
        <f t="shared" si="113"/>
        <v>Курск</v>
      </c>
      <c r="C346">
        <v>800685</v>
      </c>
      <c r="D346" t="str">
        <f>"М 3.1.32"</f>
        <v>М 3.1.32</v>
      </c>
      <c r="E346" t="str">
        <f t="shared" si="114"/>
        <v>Муфта оптическая</v>
      </c>
      <c r="F346" t="str">
        <f t="shared" si="125"/>
        <v>10.11.2022</v>
      </c>
      <c r="G346" t="str">
        <f>"Ремонтная муфта"</f>
        <v>Ремонтная муфта</v>
      </c>
      <c r="H346" t="str">
        <f>"М 3.1.32"</f>
        <v>М 3.1.32</v>
      </c>
      <c r="I346" t="str">
        <f>"МС 3.1"</f>
        <v>МС 3.1</v>
      </c>
      <c r="J346" t="str">
        <f>""</f>
        <v/>
      </c>
      <c r="K346" t="str">
        <f>"МТОК-6/108"</f>
        <v>МТОК-6/108</v>
      </c>
      <c r="L346" t="str">
        <f>"Опора"</f>
        <v>Опора</v>
      </c>
      <c r="M346" t="str">
        <f>"05.11.2022"</f>
        <v>05.11.2022</v>
      </c>
      <c r="N346" t="str">
        <f>"108753S907"</f>
        <v>108753S907</v>
      </c>
      <c r="O346" t="str">
        <f>"Нет"</f>
        <v>Нет</v>
      </c>
      <c r="P346" t="str">
        <f>""</f>
        <v/>
      </c>
      <c r="Q346" t="str">
        <f>"Нет"</f>
        <v>Нет</v>
      </c>
      <c r="R346" t="str">
        <f>""</f>
        <v/>
      </c>
      <c r="S346" t="str">
        <f t="shared" si="115"/>
        <v>ГУТС</v>
      </c>
      <c r="T346" t="str">
        <f>""</f>
        <v/>
      </c>
      <c r="U346" t="str">
        <f t="shared" si="116"/>
        <v>Нет</v>
      </c>
      <c r="V346">
        <v>51.766010469999998</v>
      </c>
      <c r="W346">
        <v>36.180832959999996</v>
      </c>
      <c r="X346" t="str">
        <f>"20000008074507"</f>
        <v>20000008074507</v>
      </c>
    </row>
    <row r="347" spans="1:24" x14ac:dyDescent="0.25">
      <c r="A347">
        <v>907</v>
      </c>
      <c r="B347" t="str">
        <f t="shared" si="113"/>
        <v>Курск</v>
      </c>
      <c r="C347">
        <v>800944</v>
      </c>
      <c r="D347" t="str">
        <f>"М 5.5.7"</f>
        <v>М 5.5.7</v>
      </c>
      <c r="E347" t="str">
        <f t="shared" si="114"/>
        <v>Муфта оптическая</v>
      </c>
      <c r="F347" t="str">
        <f t="shared" si="125"/>
        <v>10.11.2022</v>
      </c>
      <c r="G347" t="str">
        <f>""</f>
        <v/>
      </c>
      <c r="H347" t="str">
        <f>"М 5.5.7"</f>
        <v>М 5.5.7</v>
      </c>
      <c r="I347" t="str">
        <f>"МС 5.5"</f>
        <v>МС 5.5</v>
      </c>
      <c r="J347" t="str">
        <f>""</f>
        <v/>
      </c>
      <c r="K347" t="str">
        <f>"МТОК-5/108"</f>
        <v>МТОК-5/108</v>
      </c>
      <c r="L347" t="str">
        <f>"Опора"</f>
        <v>Опора</v>
      </c>
      <c r="M347" t="str">
        <f>"28.10.2022"</f>
        <v>28.10.2022</v>
      </c>
      <c r="N347" t="str">
        <f>"108754S907"</f>
        <v>108754S907</v>
      </c>
      <c r="O347" t="str">
        <f>"Да"</f>
        <v>Да</v>
      </c>
      <c r="P347" t="str">
        <f>""</f>
        <v/>
      </c>
      <c r="Q347" t="str">
        <f>"Да"</f>
        <v>Да</v>
      </c>
      <c r="R347" t="str">
        <f>""</f>
        <v/>
      </c>
      <c r="S347" t="str">
        <f t="shared" si="115"/>
        <v>ГУТС</v>
      </c>
      <c r="T347" t="str">
        <f>""</f>
        <v/>
      </c>
      <c r="U347" t="str">
        <f t="shared" si="116"/>
        <v>Нет</v>
      </c>
      <c r="V347">
        <v>51.670705890000001</v>
      </c>
      <c r="W347">
        <v>36.075852939999997</v>
      </c>
      <c r="X347" t="str">
        <f>"20000008074514"</f>
        <v>20000008074514</v>
      </c>
    </row>
    <row r="348" spans="1:24" x14ac:dyDescent="0.25">
      <c r="A348">
        <v>907</v>
      </c>
      <c r="B348" t="str">
        <f t="shared" si="113"/>
        <v>Курск</v>
      </c>
      <c r="C348">
        <v>801721</v>
      </c>
      <c r="D348" t="str">
        <f>"М 2.6.10"</f>
        <v>М 2.6.10</v>
      </c>
      <c r="E348" t="str">
        <f t="shared" si="114"/>
        <v>Муфта оптическая</v>
      </c>
      <c r="F348" t="str">
        <f t="shared" si="125"/>
        <v>10.11.2022</v>
      </c>
      <c r="G348" t="str">
        <f>""</f>
        <v/>
      </c>
      <c r="H348" t="str">
        <f>"М 2.6.10"</f>
        <v>М 2.6.10</v>
      </c>
      <c r="I348" t="str">
        <f>"МС 2.6"</f>
        <v>МС 2.6</v>
      </c>
      <c r="J348" t="str">
        <f>""</f>
        <v/>
      </c>
      <c r="K348" t="str">
        <f>"МТОК-5/108"</f>
        <v>МТОК-5/108</v>
      </c>
      <c r="L348" t="str">
        <f>"Опора"</f>
        <v>Опора</v>
      </c>
      <c r="M348" t="str">
        <f>"21.12.2022"</f>
        <v>21.12.2022</v>
      </c>
      <c r="N348" t="str">
        <f>"108757S907"</f>
        <v>108757S907</v>
      </c>
      <c r="O348" t="str">
        <f>"Да"</f>
        <v>Да</v>
      </c>
      <c r="P348" t="str">
        <f>""</f>
        <v/>
      </c>
      <c r="Q348" t="str">
        <f>"Да"</f>
        <v>Да</v>
      </c>
      <c r="R348" t="str">
        <f>""</f>
        <v/>
      </c>
      <c r="S348" t="str">
        <f t="shared" si="115"/>
        <v>ГУТС</v>
      </c>
      <c r="T348" t="str">
        <f>""</f>
        <v/>
      </c>
      <c r="U348" t="str">
        <f t="shared" si="116"/>
        <v>Нет</v>
      </c>
      <c r="V348">
        <v>51.741764930000002</v>
      </c>
      <c r="W348">
        <v>36.149709960000003</v>
      </c>
      <c r="X348" t="str">
        <f>"20000008074525"</f>
        <v>20000008074525</v>
      </c>
    </row>
    <row r="349" spans="1:24" x14ac:dyDescent="0.25">
      <c r="A349">
        <v>907</v>
      </c>
      <c r="B349" t="str">
        <f t="shared" si="113"/>
        <v>Курск</v>
      </c>
      <c r="C349">
        <v>802498</v>
      </c>
      <c r="D349" t="str">
        <f>"М 4.2.10"</f>
        <v>М 4.2.10</v>
      </c>
      <c r="E349" t="str">
        <f t="shared" si="114"/>
        <v>Муфта оптическая</v>
      </c>
      <c r="F349" t="str">
        <f t="shared" si="125"/>
        <v>10.11.2022</v>
      </c>
      <c r="G349" t="str">
        <f>""</f>
        <v/>
      </c>
      <c r="H349" t="str">
        <f>"М 4.2.10"</f>
        <v>М 4.2.10</v>
      </c>
      <c r="I349" t="str">
        <f>"МС 4.2"</f>
        <v>МС 4.2</v>
      </c>
      <c r="J349" t="str">
        <f>""</f>
        <v/>
      </c>
      <c r="K349" t="str">
        <f>"МТОК-5/108"</f>
        <v>МТОК-5/108</v>
      </c>
      <c r="L349" t="str">
        <f>"Опора"</f>
        <v>Опора</v>
      </c>
      <c r="M349" t="str">
        <f>"21.12.2022"</f>
        <v>21.12.2022</v>
      </c>
      <c r="N349" t="str">
        <f>"108760S907"</f>
        <v>108760S907</v>
      </c>
      <c r="O349" t="str">
        <f>"Да"</f>
        <v>Да</v>
      </c>
      <c r="P349" t="str">
        <f>""</f>
        <v/>
      </c>
      <c r="Q349" t="str">
        <f>"Да"</f>
        <v>Да</v>
      </c>
      <c r="R349" t="str">
        <f>""</f>
        <v/>
      </c>
      <c r="S349" t="str">
        <f t="shared" si="115"/>
        <v>ГУТС</v>
      </c>
      <c r="T349" t="str">
        <f>""</f>
        <v/>
      </c>
      <c r="U349" t="str">
        <f t="shared" si="116"/>
        <v>Нет</v>
      </c>
      <c r="V349">
        <v>51.74060077</v>
      </c>
      <c r="W349">
        <v>36.26328264</v>
      </c>
      <c r="X349" t="str">
        <f>"20000008074533"</f>
        <v>20000008074533</v>
      </c>
    </row>
    <row r="350" spans="1:24" x14ac:dyDescent="0.25">
      <c r="A350">
        <v>907</v>
      </c>
      <c r="B350" t="str">
        <f t="shared" si="113"/>
        <v>Курск</v>
      </c>
      <c r="C350">
        <v>803275</v>
      </c>
      <c r="D350" t="str">
        <f>"М 3.1.33"</f>
        <v>М 3.1.33</v>
      </c>
      <c r="E350" t="str">
        <f t="shared" si="114"/>
        <v>Муфта оптическая</v>
      </c>
      <c r="F350" t="str">
        <f t="shared" si="125"/>
        <v>10.11.2022</v>
      </c>
      <c r="G350" t="str">
        <f>"Ремонтная муфта"</f>
        <v>Ремонтная муфта</v>
      </c>
      <c r="H350" t="str">
        <f>"М 3.1.33"</f>
        <v>М 3.1.33</v>
      </c>
      <c r="I350" t="str">
        <f>"МС 3.1"</f>
        <v>МС 3.1</v>
      </c>
      <c r="J350" t="str">
        <f>""</f>
        <v/>
      </c>
      <c r="K350" t="str">
        <f>"МТОК-6/108"</f>
        <v>МТОК-6/108</v>
      </c>
      <c r="L350" t="str">
        <f>"Колодец"</f>
        <v>Колодец</v>
      </c>
      <c r="M350" t="str">
        <f>"08.11.2022"</f>
        <v>08.11.2022</v>
      </c>
      <c r="N350" t="str">
        <f>"108763S907"</f>
        <v>108763S907</v>
      </c>
      <c r="O350" t="str">
        <f>"Да"</f>
        <v>Да</v>
      </c>
      <c r="P350" t="str">
        <f>""</f>
        <v/>
      </c>
      <c r="Q350" t="str">
        <f>"Нет"</f>
        <v>Нет</v>
      </c>
      <c r="R350" t="str">
        <f>""</f>
        <v/>
      </c>
      <c r="S350" t="str">
        <f t="shared" si="115"/>
        <v>ГУТС</v>
      </c>
      <c r="T350" t="str">
        <f>""</f>
        <v/>
      </c>
      <c r="U350" t="str">
        <f t="shared" si="116"/>
        <v>Нет</v>
      </c>
      <c r="V350">
        <v>51.762817830000003</v>
      </c>
      <c r="W350">
        <v>36.178904250000002</v>
      </c>
      <c r="X350" t="str">
        <f>"20000008074596"</f>
        <v>20000008074596</v>
      </c>
    </row>
    <row r="351" spans="1:24" x14ac:dyDescent="0.25">
      <c r="A351">
        <v>907</v>
      </c>
      <c r="B351" t="str">
        <f t="shared" si="113"/>
        <v>Курск</v>
      </c>
      <c r="C351">
        <v>812118</v>
      </c>
      <c r="D351" t="str">
        <f>"МС 2.2 "</f>
        <v xml:space="preserve">МС 2.2 </v>
      </c>
      <c r="E351" t="str">
        <f t="shared" si="114"/>
        <v>Муфта оптическая</v>
      </c>
      <c r="F351" t="str">
        <f>"21.12.2022"</f>
        <v>21.12.2022</v>
      </c>
      <c r="G351" t="str">
        <f>"Ремонтная при переноси кабеля. 5 подьезд"</f>
        <v>Ремонтная при переноси кабеля. 5 подьезд</v>
      </c>
      <c r="H351" t="str">
        <f>"МС 2.2 "</f>
        <v xml:space="preserve">МС 2.2 </v>
      </c>
      <c r="I351" t="str">
        <f>"МС 2.2"</f>
        <v>МС 2.2</v>
      </c>
      <c r="J351" t="str">
        <f>""</f>
        <v/>
      </c>
      <c r="K351" t="str">
        <f>"МТОК 96"</f>
        <v>МТОК 96</v>
      </c>
      <c r="L351" t="str">
        <f>"Крыша"</f>
        <v>Крыша</v>
      </c>
      <c r="M351" t="str">
        <f>"21.12.2020"</f>
        <v>21.12.2020</v>
      </c>
      <c r="N351" t="str">
        <f>"108845S907"</f>
        <v>108845S907</v>
      </c>
      <c r="O351" t="str">
        <f>"Нет"</f>
        <v>Нет</v>
      </c>
      <c r="P351" t="str">
        <f>""</f>
        <v/>
      </c>
      <c r="Q351" t="str">
        <f>"Да"</f>
        <v>Да</v>
      </c>
      <c r="R351" t="str">
        <f>""</f>
        <v/>
      </c>
      <c r="S351" t="str">
        <f t="shared" si="115"/>
        <v>ГУТС</v>
      </c>
      <c r="T351" t="str">
        <f>""</f>
        <v/>
      </c>
      <c r="U351" t="str">
        <f t="shared" si="116"/>
        <v>Нет</v>
      </c>
      <c r="V351">
        <v>51.74296511</v>
      </c>
      <c r="W351">
        <v>36.143174340000002</v>
      </c>
      <c r="X351" t="str">
        <f>"20000008151064"</f>
        <v>20000008151064</v>
      </c>
    </row>
    <row r="352" spans="1:24" x14ac:dyDescent="0.25">
      <c r="A352">
        <v>907</v>
      </c>
      <c r="B352" t="str">
        <f t="shared" si="113"/>
        <v>Курск</v>
      </c>
      <c r="C352">
        <v>845196</v>
      </c>
      <c r="D352" t="str">
        <f>"Т 6.9"</f>
        <v>Т 6.9</v>
      </c>
      <c r="E352" t="str">
        <f t="shared" si="114"/>
        <v>Муфта оптическая</v>
      </c>
      <c r="F352" t="str">
        <f>"07.07.2023"</f>
        <v>07.07.2023</v>
      </c>
      <c r="G352" t="str">
        <f>""</f>
        <v/>
      </c>
      <c r="H352" t="str">
        <f>"Т 6.9"</f>
        <v>Т 6.9</v>
      </c>
      <c r="I352" t="str">
        <f>"ТС"</f>
        <v>ТС</v>
      </c>
      <c r="J352" t="str">
        <f>""</f>
        <v/>
      </c>
      <c r="K352" t="str">
        <f>"МТОК-5/108"</f>
        <v>МТОК-5/108</v>
      </c>
      <c r="L352" t="str">
        <f t="shared" ref="L352:L359" si="126">"Опора"</f>
        <v>Опора</v>
      </c>
      <c r="M352" t="str">
        <f>"24.06.2023"</f>
        <v>24.06.2023</v>
      </c>
      <c r="N352" t="str">
        <f>"20000006551395"</f>
        <v>20000006551395</v>
      </c>
      <c r="O352" t="str">
        <f>"Да"</f>
        <v>Да</v>
      </c>
      <c r="P352" t="str">
        <f>""</f>
        <v/>
      </c>
      <c r="Q352" t="str">
        <f>"Да"</f>
        <v>Да</v>
      </c>
      <c r="R352" t="str">
        <f>""</f>
        <v/>
      </c>
      <c r="S352" t="str">
        <f t="shared" si="115"/>
        <v>ГУТС</v>
      </c>
      <c r="T352" t="str">
        <f>""</f>
        <v/>
      </c>
      <c r="U352" t="str">
        <f t="shared" si="116"/>
        <v>Нет</v>
      </c>
      <c r="V352">
        <v>51.721303450000001</v>
      </c>
      <c r="W352">
        <v>36.20921706</v>
      </c>
      <c r="X352" t="str">
        <f>"20000008493494"</f>
        <v>20000008493494</v>
      </c>
    </row>
    <row r="353" spans="1:24" x14ac:dyDescent="0.25">
      <c r="A353">
        <v>907</v>
      </c>
      <c r="B353" t="str">
        <f t="shared" si="113"/>
        <v>Курск</v>
      </c>
      <c r="C353">
        <v>850027</v>
      </c>
      <c r="D353" t="str">
        <f>"М 4.2.12"</f>
        <v>М 4.2.12</v>
      </c>
      <c r="E353" t="str">
        <f t="shared" si="114"/>
        <v>Муфта оптическая</v>
      </c>
      <c r="F353" t="str">
        <f>"05.10.2023"</f>
        <v>05.10.2023</v>
      </c>
      <c r="G353" t="str">
        <f>""</f>
        <v/>
      </c>
      <c r="H353" t="str">
        <f>"М 4.2.12"</f>
        <v>М 4.2.12</v>
      </c>
      <c r="I353" t="str">
        <f>"МС 4.2"</f>
        <v>МС 4.2</v>
      </c>
      <c r="J353" t="str">
        <f>""</f>
        <v/>
      </c>
      <c r="K353" t="str">
        <f>"МТОК-5/108"</f>
        <v>МТОК-5/108</v>
      </c>
      <c r="L353" t="str">
        <f t="shared" si="126"/>
        <v>Опора</v>
      </c>
      <c r="M353" t="str">
        <f>"05.10.2023"</f>
        <v>05.10.2023</v>
      </c>
      <c r="N353" t="str">
        <f>"109310S907"</f>
        <v>109310S907</v>
      </c>
      <c r="O353" t="str">
        <f>"Да"</f>
        <v>Да</v>
      </c>
      <c r="P353" t="str">
        <f>""</f>
        <v/>
      </c>
      <c r="Q353" t="str">
        <f>"Да"</f>
        <v>Да</v>
      </c>
      <c r="R353" t="str">
        <f>""</f>
        <v/>
      </c>
      <c r="S353" t="str">
        <f t="shared" si="115"/>
        <v>ГУТС</v>
      </c>
      <c r="T353" t="str">
        <f>""</f>
        <v/>
      </c>
      <c r="U353" t="str">
        <f t="shared" si="116"/>
        <v>Нет</v>
      </c>
      <c r="V353">
        <v>51.748694870000001</v>
      </c>
      <c r="W353">
        <v>36.237888810000001</v>
      </c>
      <c r="X353" t="str">
        <f>"20000008589959"</f>
        <v>20000008589959</v>
      </c>
    </row>
    <row r="354" spans="1:24" x14ac:dyDescent="0.25">
      <c r="A354">
        <v>907</v>
      </c>
      <c r="B354" t="str">
        <f t="shared" si="113"/>
        <v>Курск</v>
      </c>
      <c r="C354">
        <v>855767</v>
      </c>
      <c r="D354" t="str">
        <f>"М 2.7.11"</f>
        <v>М 2.7.11</v>
      </c>
      <c r="E354" t="str">
        <f t="shared" si="114"/>
        <v>Муфта оптическая</v>
      </c>
      <c r="F354" t="str">
        <f>"25.10.2023"</f>
        <v>25.10.2023</v>
      </c>
      <c r="G354" t="str">
        <f>""</f>
        <v/>
      </c>
      <c r="H354" t="str">
        <f>"М 2.7.11"</f>
        <v>М 2.7.11</v>
      </c>
      <c r="I354" t="str">
        <f>"МС 2.7"</f>
        <v>МС 2.7</v>
      </c>
      <c r="J354" t="str">
        <f>""</f>
        <v/>
      </c>
      <c r="K354" t="str">
        <f>"МТОК-5/108"</f>
        <v>МТОК-5/108</v>
      </c>
      <c r="L354" t="str">
        <f t="shared" si="126"/>
        <v>Опора</v>
      </c>
      <c r="M354" t="str">
        <f>"25.10.2023"</f>
        <v>25.10.2023</v>
      </c>
      <c r="N354" t="str">
        <f>"109424S907"</f>
        <v>109424S907</v>
      </c>
      <c r="O354" t="str">
        <f>"Да"</f>
        <v>Да</v>
      </c>
      <c r="P354" t="str">
        <f>""</f>
        <v/>
      </c>
      <c r="Q354" t="str">
        <f>"Да"</f>
        <v>Да</v>
      </c>
      <c r="R354" t="str">
        <f>""</f>
        <v/>
      </c>
      <c r="S354" t="str">
        <f t="shared" si="115"/>
        <v>ГУТС</v>
      </c>
      <c r="T354" t="str">
        <f>""</f>
        <v/>
      </c>
      <c r="U354" t="str">
        <f t="shared" si="116"/>
        <v>Нет</v>
      </c>
      <c r="V354">
        <v>51.735581869999997</v>
      </c>
      <c r="W354">
        <v>36.138047280000002</v>
      </c>
      <c r="X354" t="str">
        <f>"20000008620540"</f>
        <v>20000008620540</v>
      </c>
    </row>
    <row r="355" spans="1:24" x14ac:dyDescent="0.25">
      <c r="A355">
        <v>907</v>
      </c>
      <c r="B355" t="str">
        <f t="shared" si="113"/>
        <v>Курск</v>
      </c>
      <c r="C355">
        <v>864627</v>
      </c>
      <c r="D355" t="str">
        <f>"Т 1.15"</f>
        <v>Т 1.15</v>
      </c>
      <c r="E355" t="str">
        <f t="shared" si="114"/>
        <v>Муфта оптическая</v>
      </c>
      <c r="F355" t="str">
        <f>"11.12.2023"</f>
        <v>11.12.2023</v>
      </c>
      <c r="G355" t="str">
        <f>""</f>
        <v/>
      </c>
      <c r="H355" t="str">
        <f>"Т 1.15"</f>
        <v>Т 1.15</v>
      </c>
      <c r="I355" t="str">
        <f>"ТС"</f>
        <v>ТС</v>
      </c>
      <c r="J355" t="str">
        <f>""</f>
        <v/>
      </c>
      <c r="K355" t="str">
        <f>"МТОК 96"</f>
        <v>МТОК 96</v>
      </c>
      <c r="L355" t="str">
        <f t="shared" si="126"/>
        <v>Опора</v>
      </c>
      <c r="M355" t="str">
        <f>"11.12.2023"</f>
        <v>11.12.2023</v>
      </c>
      <c r="N355" t="str">
        <f>"109489S907"</f>
        <v>109489S907</v>
      </c>
      <c r="O355" t="str">
        <f t="shared" ref="O355:O365" si="127">"Нет"</f>
        <v>Нет</v>
      </c>
      <c r="P355" t="str">
        <f>""</f>
        <v/>
      </c>
      <c r="Q355" t="str">
        <f t="shared" ref="Q355:Q365" si="128">"Нет"</f>
        <v>Нет</v>
      </c>
      <c r="R355" t="str">
        <f>""</f>
        <v/>
      </c>
      <c r="S355" t="str">
        <f t="shared" si="115"/>
        <v>ГУТС</v>
      </c>
      <c r="T355" t="str">
        <f>""</f>
        <v/>
      </c>
      <c r="U355" t="str">
        <f t="shared" si="116"/>
        <v>Нет</v>
      </c>
      <c r="V355">
        <v>51.725982369999997</v>
      </c>
      <c r="W355">
        <v>36.182160510000003</v>
      </c>
      <c r="X355" t="str">
        <f>"20000008680144"</f>
        <v>20000008680144</v>
      </c>
    </row>
    <row r="356" spans="1:24" x14ac:dyDescent="0.25">
      <c r="A356">
        <v>907</v>
      </c>
      <c r="B356" t="str">
        <f t="shared" si="113"/>
        <v>Курск</v>
      </c>
      <c r="C356">
        <v>865210</v>
      </c>
      <c r="D356" t="str">
        <f>"Т 1.16"</f>
        <v>Т 1.16</v>
      </c>
      <c r="E356" t="str">
        <f t="shared" si="114"/>
        <v>Муфта оптическая</v>
      </c>
      <c r="F356" t="str">
        <f>"12.12.2023"</f>
        <v>12.12.2023</v>
      </c>
      <c r="G356" t="str">
        <f>""</f>
        <v/>
      </c>
      <c r="H356" t="str">
        <f>"Т 1.16"</f>
        <v>Т 1.16</v>
      </c>
      <c r="I356" t="str">
        <f>"ТС"</f>
        <v>ТС</v>
      </c>
      <c r="J356" t="str">
        <f>""</f>
        <v/>
      </c>
      <c r="K356" t="str">
        <f>"МТОК 96"</f>
        <v>МТОК 96</v>
      </c>
      <c r="L356" t="str">
        <f t="shared" si="126"/>
        <v>Опора</v>
      </c>
      <c r="M356" t="str">
        <f>"12.12.2023"</f>
        <v>12.12.2023</v>
      </c>
      <c r="N356" t="str">
        <f>"109496S907"</f>
        <v>109496S907</v>
      </c>
      <c r="O356" t="str">
        <f t="shared" si="127"/>
        <v>Нет</v>
      </c>
      <c r="P356" t="str">
        <f>""</f>
        <v/>
      </c>
      <c r="Q356" t="str">
        <f t="shared" si="128"/>
        <v>Нет</v>
      </c>
      <c r="R356" t="str">
        <f>""</f>
        <v/>
      </c>
      <c r="S356" t="str">
        <f t="shared" si="115"/>
        <v>ГУТС</v>
      </c>
      <c r="T356" t="str">
        <f>""</f>
        <v/>
      </c>
      <c r="U356" t="str">
        <f t="shared" si="116"/>
        <v>Нет</v>
      </c>
      <c r="V356">
        <v>51.668996900000003</v>
      </c>
      <c r="W356">
        <v>36.135223779999997</v>
      </c>
      <c r="X356" t="str">
        <f>"20000008681968"</f>
        <v>20000008681968</v>
      </c>
    </row>
    <row r="357" spans="1:24" x14ac:dyDescent="0.25">
      <c r="A357">
        <v>907</v>
      </c>
      <c r="B357" t="str">
        <f t="shared" si="113"/>
        <v>Курск</v>
      </c>
      <c r="C357">
        <v>868768</v>
      </c>
      <c r="D357" t="str">
        <f>"Т6.7.1"</f>
        <v>Т6.7.1</v>
      </c>
      <c r="E357" t="str">
        <f t="shared" si="114"/>
        <v>Муфта оптическая</v>
      </c>
      <c r="F357" t="str">
        <f>"02.02.2024"</f>
        <v>02.02.2024</v>
      </c>
      <c r="G357" t="str">
        <f>"опора, ул. ВЧК, 90"</f>
        <v>опора, ул. ВЧК, 90</v>
      </c>
      <c r="H357" t="str">
        <f>"Т6.7.1"</f>
        <v>Т6.7.1</v>
      </c>
      <c r="I357" t="str">
        <f>"ТС"</f>
        <v>ТС</v>
      </c>
      <c r="J357" t="str">
        <f>""</f>
        <v/>
      </c>
      <c r="K357" t="str">
        <f>"МТОК-Г3"</f>
        <v>МТОК-Г3</v>
      </c>
      <c r="L357" t="str">
        <f t="shared" si="126"/>
        <v>Опора</v>
      </c>
      <c r="M357" t="str">
        <f>"25.01.2024"</f>
        <v>25.01.2024</v>
      </c>
      <c r="N357" t="str">
        <f>"109568S907"</f>
        <v>109568S907</v>
      </c>
      <c r="O357" t="str">
        <f t="shared" si="127"/>
        <v>Нет</v>
      </c>
      <c r="P357" t="str">
        <f>""</f>
        <v/>
      </c>
      <c r="Q357" t="str">
        <f t="shared" si="128"/>
        <v>Нет</v>
      </c>
      <c r="R357" t="str">
        <f>""</f>
        <v/>
      </c>
      <c r="S357" t="str">
        <f t="shared" si="115"/>
        <v>ГУТС</v>
      </c>
      <c r="T357" t="str">
        <f>""</f>
        <v/>
      </c>
      <c r="U357" t="str">
        <f t="shared" si="116"/>
        <v>Нет</v>
      </c>
      <c r="V357">
        <v>51.749813619999998</v>
      </c>
      <c r="W357">
        <v>36.21967755</v>
      </c>
      <c r="X357" t="str">
        <f>"20000008741947"</f>
        <v>20000008741947</v>
      </c>
    </row>
    <row r="358" spans="1:24" x14ac:dyDescent="0.25">
      <c r="A358">
        <v>907</v>
      </c>
      <c r="B358" t="str">
        <f t="shared" si="113"/>
        <v>Курск</v>
      </c>
      <c r="C358">
        <v>872968</v>
      </c>
      <c r="D358" t="str">
        <f>"Т 1.17"</f>
        <v>Т 1.17</v>
      </c>
      <c r="E358" t="str">
        <f t="shared" si="114"/>
        <v>Муфта оптическая</v>
      </c>
      <c r="F358" t="str">
        <f>"18.03.2024"</f>
        <v>18.03.2024</v>
      </c>
      <c r="G358" t="str">
        <f>""</f>
        <v/>
      </c>
      <c r="H358" t="str">
        <f>"Т 1.17"</f>
        <v>Т 1.17</v>
      </c>
      <c r="I358" t="str">
        <f>"ТС"</f>
        <v>ТС</v>
      </c>
      <c r="J358" t="str">
        <f>""</f>
        <v/>
      </c>
      <c r="K358" t="str">
        <f>"МТОК 96"</f>
        <v>МТОК 96</v>
      </c>
      <c r="L358" t="str">
        <f t="shared" si="126"/>
        <v>Опора</v>
      </c>
      <c r="M358" t="str">
        <f>"18.03.2024"</f>
        <v>18.03.2024</v>
      </c>
      <c r="N358" t="str">
        <f>"109688S907"</f>
        <v>109688S907</v>
      </c>
      <c r="O358" t="str">
        <f t="shared" si="127"/>
        <v>Нет</v>
      </c>
      <c r="P358" t="str">
        <f>""</f>
        <v/>
      </c>
      <c r="Q358" t="str">
        <f t="shared" si="128"/>
        <v>Нет</v>
      </c>
      <c r="R358" t="str">
        <f>""</f>
        <v/>
      </c>
      <c r="S358" t="str">
        <f t="shared" si="115"/>
        <v>ГУТС</v>
      </c>
      <c r="T358" t="str">
        <f>""</f>
        <v/>
      </c>
      <c r="U358" t="str">
        <f t="shared" si="116"/>
        <v>Нет</v>
      </c>
      <c r="V358">
        <v>51.758085090000002</v>
      </c>
      <c r="W358">
        <v>36.186127509999999</v>
      </c>
      <c r="X358" t="str">
        <f>"20000008791036"</f>
        <v>20000008791036</v>
      </c>
    </row>
    <row r="359" spans="1:24" x14ac:dyDescent="0.25">
      <c r="A359">
        <v>907</v>
      </c>
      <c r="B359" t="str">
        <f t="shared" si="113"/>
        <v>Курск</v>
      </c>
      <c r="C359">
        <v>876329</v>
      </c>
      <c r="D359" t="str">
        <f>"Р 3.4.6.11"</f>
        <v>Р 3.4.6.11</v>
      </c>
      <c r="E359" t="str">
        <f t="shared" si="114"/>
        <v>Муфта оптическая</v>
      </c>
      <c r="F359" t="str">
        <f>"08.04.2024"</f>
        <v>08.04.2024</v>
      </c>
      <c r="G359" t="str">
        <f>""</f>
        <v/>
      </c>
      <c r="H359" t="str">
        <f>"Р 3.4.6.11"</f>
        <v>Р 3.4.6.11</v>
      </c>
      <c r="I359" t="str">
        <f>"Кампус - 3406"</f>
        <v>Кампус - 3406</v>
      </c>
      <c r="J359" t="str">
        <f>""</f>
        <v/>
      </c>
      <c r="K359" t="str">
        <f>"МТОК-3/216"</f>
        <v>МТОК-3/216</v>
      </c>
      <c r="L359" t="str">
        <f t="shared" si="126"/>
        <v>Опора</v>
      </c>
      <c r="M359" t="str">
        <f>"08.04.2024"</f>
        <v>08.04.2024</v>
      </c>
      <c r="N359" t="str">
        <f>"109792S907"</f>
        <v>109792S907</v>
      </c>
      <c r="O359" t="str">
        <f t="shared" si="127"/>
        <v>Нет</v>
      </c>
      <c r="P359" t="str">
        <f>""</f>
        <v/>
      </c>
      <c r="Q359" t="str">
        <f t="shared" si="128"/>
        <v>Нет</v>
      </c>
      <c r="R359" t="str">
        <f>""</f>
        <v/>
      </c>
      <c r="S359" t="str">
        <f t="shared" si="115"/>
        <v>ГУТС</v>
      </c>
      <c r="T359" t="str">
        <f>""</f>
        <v/>
      </c>
      <c r="U359" t="str">
        <f t="shared" si="116"/>
        <v>Нет</v>
      </c>
      <c r="V359">
        <v>51.73845412</v>
      </c>
      <c r="W359">
        <v>36.196928319999998</v>
      </c>
      <c r="X359" t="str">
        <f>"20000008831328"</f>
        <v>20000008831328</v>
      </c>
    </row>
    <row r="360" spans="1:24" x14ac:dyDescent="0.25">
      <c r="A360">
        <v>907</v>
      </c>
      <c r="B360" t="str">
        <f t="shared" si="113"/>
        <v>Курск</v>
      </c>
      <c r="C360">
        <v>878845</v>
      </c>
      <c r="D360" t="str">
        <f>"Р 4.1.1.1"</f>
        <v>Р 4.1.1.1</v>
      </c>
      <c r="E360" t="str">
        <f t="shared" si="114"/>
        <v>Муфта оптическая</v>
      </c>
      <c r="F360" t="str">
        <f>"30.05.2024"</f>
        <v>30.05.2024</v>
      </c>
      <c r="G360" t="str">
        <f>""</f>
        <v/>
      </c>
      <c r="H360" t="str">
        <f>"Р 4.1.1.1"</f>
        <v>Р 4.1.1.1</v>
      </c>
      <c r="I360" t="str">
        <f>"Кампус - 4101"</f>
        <v>Кампус - 4101</v>
      </c>
      <c r="J360" t="str">
        <f>""</f>
        <v/>
      </c>
      <c r="K360" t="str">
        <f>"МТОК-3/216"</f>
        <v>МТОК-3/216</v>
      </c>
      <c r="L360" t="str">
        <f>"Крыша"</f>
        <v>Крыша</v>
      </c>
      <c r="M360" t="str">
        <f>"30.05.2024"</f>
        <v>30.05.2024</v>
      </c>
      <c r="N360" t="str">
        <f>"109839S907"</f>
        <v>109839S907</v>
      </c>
      <c r="O360" t="str">
        <f t="shared" si="127"/>
        <v>Нет</v>
      </c>
      <c r="P360" t="str">
        <f>""</f>
        <v/>
      </c>
      <c r="Q360" t="str">
        <f t="shared" si="128"/>
        <v>Нет</v>
      </c>
      <c r="R360" t="str">
        <f>""</f>
        <v/>
      </c>
      <c r="S360" t="str">
        <f t="shared" si="115"/>
        <v>ГУТС</v>
      </c>
      <c r="T360" t="str">
        <f>""</f>
        <v/>
      </c>
      <c r="U360" t="str">
        <f t="shared" si="116"/>
        <v>Нет</v>
      </c>
      <c r="V360">
        <v>51.732892829999997</v>
      </c>
      <c r="W360">
        <v>36.235875040000003</v>
      </c>
      <c r="X360" t="str">
        <f>"20000008879870"</f>
        <v>20000008879870</v>
      </c>
    </row>
    <row r="361" spans="1:24" x14ac:dyDescent="0.25">
      <c r="A361">
        <v>907</v>
      </c>
      <c r="B361" t="str">
        <f t="shared" si="113"/>
        <v>Курск</v>
      </c>
      <c r="C361">
        <v>883056</v>
      </c>
      <c r="D361" t="str">
        <f>"М 3.5.3"</f>
        <v>М 3.5.3</v>
      </c>
      <c r="E361" t="str">
        <f t="shared" si="114"/>
        <v>Муфта оптическая</v>
      </c>
      <c r="F361" t="str">
        <f>"08.07.2024"</f>
        <v>08.07.2024</v>
      </c>
      <c r="G361" t="str">
        <f>""</f>
        <v/>
      </c>
      <c r="H361" t="str">
        <f>"М 3.5.3"</f>
        <v>М 3.5.3</v>
      </c>
      <c r="I361" t="str">
        <f>"МС 3.5"</f>
        <v>МС 3.5</v>
      </c>
      <c r="J361" t="str">
        <f>""</f>
        <v/>
      </c>
      <c r="K361" t="str">
        <f>"МТОК 96"</f>
        <v>МТОК 96</v>
      </c>
      <c r="L361" t="str">
        <f>"Опора"</f>
        <v>Опора</v>
      </c>
      <c r="M361" t="str">
        <f>"08.07.2024"</f>
        <v>08.07.2024</v>
      </c>
      <c r="N361" t="str">
        <f>"109914S907"</f>
        <v>109914S907</v>
      </c>
      <c r="O361" t="str">
        <f t="shared" si="127"/>
        <v>Нет</v>
      </c>
      <c r="P361" t="str">
        <f>""</f>
        <v/>
      </c>
      <c r="Q361" t="str">
        <f t="shared" si="128"/>
        <v>Нет</v>
      </c>
      <c r="R361" t="str">
        <f>""</f>
        <v/>
      </c>
      <c r="S361" t="str">
        <f t="shared" si="115"/>
        <v>ГУТС</v>
      </c>
      <c r="T361" t="str">
        <f>""</f>
        <v/>
      </c>
      <c r="U361" t="str">
        <f t="shared" si="116"/>
        <v>Нет</v>
      </c>
      <c r="V361">
        <v>51.754135669999997</v>
      </c>
      <c r="W361">
        <v>36.21290862</v>
      </c>
      <c r="X361" t="str">
        <f>"20000008912044"</f>
        <v>20000008912044</v>
      </c>
    </row>
    <row r="362" spans="1:24" x14ac:dyDescent="0.25">
      <c r="A362">
        <v>907</v>
      </c>
      <c r="B362" t="str">
        <f t="shared" si="113"/>
        <v>Курск</v>
      </c>
      <c r="C362">
        <v>883574</v>
      </c>
      <c r="D362" t="str">
        <f>"М 4.2.14"</f>
        <v>М 4.2.14</v>
      </c>
      <c r="E362" t="str">
        <f t="shared" si="114"/>
        <v>Муфта оптическая</v>
      </c>
      <c r="F362" t="str">
        <f>"09.07.2024"</f>
        <v>09.07.2024</v>
      </c>
      <c r="G362" t="str">
        <f>""</f>
        <v/>
      </c>
      <c r="H362" t="str">
        <f>"М 4.2.14"</f>
        <v>М 4.2.14</v>
      </c>
      <c r="I362" t="str">
        <f>"МС 4.2"</f>
        <v>МС 4.2</v>
      </c>
      <c r="J362" t="str">
        <f>""</f>
        <v/>
      </c>
      <c r="K362" t="str">
        <f>"МТОК 96"</f>
        <v>МТОК 96</v>
      </c>
      <c r="L362" t="str">
        <f>"Опора"</f>
        <v>Опора</v>
      </c>
      <c r="M362" t="str">
        <f>"09.07.2024"</f>
        <v>09.07.2024</v>
      </c>
      <c r="N362" t="str">
        <f>"109916S907"</f>
        <v>109916S907</v>
      </c>
      <c r="O362" t="str">
        <f t="shared" si="127"/>
        <v>Нет</v>
      </c>
      <c r="P362" t="str">
        <f>""</f>
        <v/>
      </c>
      <c r="Q362" t="str">
        <f t="shared" si="128"/>
        <v>Нет</v>
      </c>
      <c r="R362" t="str">
        <f>""</f>
        <v/>
      </c>
      <c r="S362" t="str">
        <f t="shared" si="115"/>
        <v>ГУТС</v>
      </c>
      <c r="T362" t="str">
        <f>""</f>
        <v/>
      </c>
      <c r="U362" t="str">
        <f t="shared" si="116"/>
        <v>Нет</v>
      </c>
      <c r="V362">
        <v>51.750417239999997</v>
      </c>
      <c r="W362">
        <v>36.24456137</v>
      </c>
      <c r="X362" t="str">
        <f>"20000008912175"</f>
        <v>20000008912175</v>
      </c>
    </row>
    <row r="363" spans="1:24" x14ac:dyDescent="0.25">
      <c r="A363">
        <v>907</v>
      </c>
      <c r="B363" t="str">
        <f t="shared" si="113"/>
        <v>Курск</v>
      </c>
      <c r="C363">
        <v>884610</v>
      </c>
      <c r="D363" t="str">
        <f>"М 4.1.10"</f>
        <v>М 4.1.10</v>
      </c>
      <c r="E363" t="str">
        <f t="shared" si="114"/>
        <v>Муфта оптическая</v>
      </c>
      <c r="F363" t="str">
        <f>"09.07.2024"</f>
        <v>09.07.2024</v>
      </c>
      <c r="G363" t="str">
        <f>"Муфты нет?"</f>
        <v>Муфты нет?</v>
      </c>
      <c r="H363" t="str">
        <f>"М 4.1.10"</f>
        <v>М 4.1.10</v>
      </c>
      <c r="I363" t="str">
        <f>"МС 4.1"</f>
        <v>МС 4.1</v>
      </c>
      <c r="J363" t="str">
        <f>""</f>
        <v/>
      </c>
      <c r="K363" t="str">
        <f>"МТОК 96"</f>
        <v>МТОК 96</v>
      </c>
      <c r="L363" t="str">
        <f>"Опора"</f>
        <v>Опора</v>
      </c>
      <c r="M363" t="str">
        <f>"09.07.2024"</f>
        <v>09.07.2024</v>
      </c>
      <c r="N363" t="str">
        <f>"109920S907"</f>
        <v>109920S907</v>
      </c>
      <c r="O363" t="str">
        <f t="shared" si="127"/>
        <v>Нет</v>
      </c>
      <c r="P363" t="str">
        <f>""</f>
        <v/>
      </c>
      <c r="Q363" t="str">
        <f t="shared" si="128"/>
        <v>Нет</v>
      </c>
      <c r="R363" t="str">
        <f>""</f>
        <v/>
      </c>
      <c r="S363" t="str">
        <f t="shared" si="115"/>
        <v>ГУТС</v>
      </c>
      <c r="T363" t="str">
        <f>""</f>
        <v/>
      </c>
      <c r="U363" t="str">
        <f t="shared" si="116"/>
        <v>Нет</v>
      </c>
      <c r="V363">
        <v>51.746648729999997</v>
      </c>
      <c r="W363">
        <v>36.246565310000001</v>
      </c>
      <c r="X363" t="str">
        <f>"20000008912221"</f>
        <v>20000008912221</v>
      </c>
    </row>
    <row r="364" spans="1:24" x14ac:dyDescent="0.25">
      <c r="A364">
        <v>907</v>
      </c>
      <c r="B364" t="str">
        <f t="shared" si="113"/>
        <v>Курск</v>
      </c>
      <c r="C364">
        <v>884869</v>
      </c>
      <c r="D364" t="str">
        <f>"Т 1.22"</f>
        <v>Т 1.22</v>
      </c>
      <c r="E364" t="str">
        <f t="shared" si="114"/>
        <v>Муфта оптическая</v>
      </c>
      <c r="F364" t="str">
        <f>"09.07.2024"</f>
        <v>09.07.2024</v>
      </c>
      <c r="G364" t="str">
        <f>"Муфты нет"</f>
        <v>Муфты нет</v>
      </c>
      <c r="H364" t="str">
        <f>"Т 1.22"</f>
        <v>Т 1.22</v>
      </c>
      <c r="I364" t="str">
        <f>"ТС"</f>
        <v>ТС</v>
      </c>
      <c r="J364" t="str">
        <f>""</f>
        <v/>
      </c>
      <c r="K364" t="str">
        <f>"МТОК 96"</f>
        <v>МТОК 96</v>
      </c>
      <c r="L364" t="str">
        <f>"Опора"</f>
        <v>Опора</v>
      </c>
      <c r="M364" t="str">
        <f>"09.07.2024"</f>
        <v>09.07.2024</v>
      </c>
      <c r="N364" t="str">
        <f>"109921S907"</f>
        <v>109921S907</v>
      </c>
      <c r="O364" t="str">
        <f t="shared" si="127"/>
        <v>Нет</v>
      </c>
      <c r="P364" t="str">
        <f>""</f>
        <v/>
      </c>
      <c r="Q364" t="str">
        <f t="shared" si="128"/>
        <v>Нет</v>
      </c>
      <c r="R364" t="str">
        <f>""</f>
        <v/>
      </c>
      <c r="S364" t="str">
        <f t="shared" si="115"/>
        <v>ГУТС</v>
      </c>
      <c r="T364" t="str">
        <f>""</f>
        <v/>
      </c>
      <c r="U364" t="str">
        <f t="shared" si="116"/>
        <v>Нет</v>
      </c>
      <c r="V364">
        <v>51.758938460000003</v>
      </c>
      <c r="W364">
        <v>36.237395739999997</v>
      </c>
      <c r="X364" t="str">
        <f>"20000008912327"</f>
        <v>20000008912327</v>
      </c>
    </row>
    <row r="365" spans="1:24" x14ac:dyDescent="0.25">
      <c r="A365">
        <v>907</v>
      </c>
      <c r="B365" t="str">
        <f t="shared" si="113"/>
        <v>Курск</v>
      </c>
      <c r="C365">
        <v>885387</v>
      </c>
      <c r="D365" t="str">
        <f>"Т 1.20"</f>
        <v>Т 1.20</v>
      </c>
      <c r="E365" t="str">
        <f t="shared" si="114"/>
        <v>Муфта оптическая</v>
      </c>
      <c r="F365" t="str">
        <f>"09.07.2024"</f>
        <v>09.07.2024</v>
      </c>
      <c r="G365" t="str">
        <f>"Муфты нет"</f>
        <v>Муфты нет</v>
      </c>
      <c r="H365" t="str">
        <f>"Т 1.20"</f>
        <v>Т 1.20</v>
      </c>
      <c r="I365" t="str">
        <f>"ТС"</f>
        <v>ТС</v>
      </c>
      <c r="J365" t="str">
        <f>""</f>
        <v/>
      </c>
      <c r="K365" t="str">
        <f>"МТОК 96"</f>
        <v>МТОК 96</v>
      </c>
      <c r="L365" t="str">
        <f>"Опора"</f>
        <v>Опора</v>
      </c>
      <c r="M365" t="str">
        <f>"09.07.2024"</f>
        <v>09.07.2024</v>
      </c>
      <c r="N365" t="str">
        <f>"109923S907"</f>
        <v>109923S907</v>
      </c>
      <c r="O365" t="str">
        <f t="shared" si="127"/>
        <v>Нет</v>
      </c>
      <c r="P365" t="str">
        <f>""</f>
        <v/>
      </c>
      <c r="Q365" t="str">
        <f t="shared" si="128"/>
        <v>Нет</v>
      </c>
      <c r="R365" t="str">
        <f>""</f>
        <v/>
      </c>
      <c r="S365" t="str">
        <f t="shared" si="115"/>
        <v>ГУТС</v>
      </c>
      <c r="T365" t="str">
        <f>""</f>
        <v/>
      </c>
      <c r="U365" t="str">
        <f t="shared" si="116"/>
        <v>Нет</v>
      </c>
      <c r="V365">
        <v>51.758275660000002</v>
      </c>
      <c r="W365">
        <v>36.237328759999997</v>
      </c>
      <c r="X365" t="str">
        <f>"20000008912672"</f>
        <v>20000008912672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SQLT0701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Хомяков Андрей Владимирович</dc:creator>
  <cp:lastModifiedBy>Дудкинская Наталья Дмитриевна</cp:lastModifiedBy>
  <dcterms:created xsi:type="dcterms:W3CDTF">2024-09-26T09:24:29Z</dcterms:created>
  <dcterms:modified xsi:type="dcterms:W3CDTF">2024-10-02T11:06:12Z</dcterms:modified>
</cp:coreProperties>
</file>