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homiakov.av\Desktop\Проекты\Аудит ТС,МС,РС\"/>
    </mc:Choice>
  </mc:AlternateContent>
  <bookViews>
    <workbookView xWindow="0" yWindow="0" windowWidth="24000" windowHeight="9885"/>
  </bookViews>
  <sheets>
    <sheet name="SQLT0697" sheetId="1" r:id="rId1"/>
  </sheets>
  <calcPr calcId="0"/>
</workbook>
</file>

<file path=xl/calcChain.xml><?xml version="1.0" encoding="utf-8"?>
<calcChain xmlns="http://schemas.openxmlformats.org/spreadsheetml/2006/main">
  <c r="A1" i="1" l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B2" i="1"/>
  <c r="D2" i="1"/>
  <c r="E2" i="1"/>
  <c r="F2" i="1"/>
  <c r="G2" i="1"/>
  <c r="H2" i="1"/>
  <c r="I2" i="1"/>
  <c r="J2" i="1"/>
  <c r="K2" i="1"/>
  <c r="L2" i="1"/>
  <c r="M2" i="1"/>
  <c r="N2" i="1"/>
  <c r="O2" i="1"/>
  <c r="R2" i="1"/>
  <c r="B3" i="1"/>
  <c r="D3" i="1"/>
  <c r="E3" i="1"/>
  <c r="F3" i="1"/>
  <c r="G3" i="1"/>
  <c r="H3" i="1"/>
  <c r="I3" i="1"/>
  <c r="J3" i="1"/>
  <c r="K3" i="1"/>
  <c r="L3" i="1"/>
  <c r="M3" i="1"/>
  <c r="N3" i="1"/>
  <c r="O3" i="1"/>
  <c r="R3" i="1"/>
  <c r="B4" i="1"/>
  <c r="D4" i="1"/>
  <c r="E4" i="1"/>
  <c r="F4" i="1"/>
  <c r="G4" i="1"/>
  <c r="H4" i="1"/>
  <c r="I4" i="1"/>
  <c r="J4" i="1"/>
  <c r="K4" i="1"/>
  <c r="L4" i="1"/>
  <c r="M4" i="1"/>
  <c r="N4" i="1"/>
  <c r="O4" i="1"/>
  <c r="R4" i="1"/>
  <c r="B5" i="1"/>
  <c r="D5" i="1"/>
  <c r="E5" i="1"/>
  <c r="F5" i="1"/>
  <c r="G5" i="1"/>
  <c r="H5" i="1"/>
  <c r="I5" i="1"/>
  <c r="J5" i="1"/>
  <c r="K5" i="1"/>
  <c r="L5" i="1"/>
  <c r="M5" i="1"/>
  <c r="N5" i="1"/>
  <c r="O5" i="1"/>
  <c r="R5" i="1"/>
  <c r="B6" i="1"/>
  <c r="D6" i="1"/>
  <c r="E6" i="1"/>
  <c r="F6" i="1"/>
  <c r="G6" i="1"/>
  <c r="H6" i="1"/>
  <c r="I6" i="1"/>
  <c r="J6" i="1"/>
  <c r="K6" i="1"/>
  <c r="L6" i="1"/>
  <c r="M6" i="1"/>
  <c r="N6" i="1"/>
  <c r="O6" i="1"/>
  <c r="R6" i="1"/>
  <c r="B7" i="1"/>
  <c r="D7" i="1"/>
  <c r="E7" i="1"/>
  <c r="F7" i="1"/>
  <c r="G7" i="1"/>
  <c r="H7" i="1"/>
  <c r="I7" i="1"/>
  <c r="J7" i="1"/>
  <c r="K7" i="1"/>
  <c r="L7" i="1"/>
  <c r="M7" i="1"/>
  <c r="N7" i="1"/>
  <c r="O7" i="1"/>
  <c r="R7" i="1"/>
  <c r="B8" i="1"/>
  <c r="D8" i="1"/>
  <c r="E8" i="1"/>
  <c r="F8" i="1"/>
  <c r="G8" i="1"/>
  <c r="H8" i="1"/>
  <c r="I8" i="1"/>
  <c r="J8" i="1"/>
  <c r="K8" i="1"/>
  <c r="L8" i="1"/>
  <c r="M8" i="1"/>
  <c r="N8" i="1"/>
  <c r="O8" i="1"/>
  <c r="R8" i="1"/>
  <c r="B9" i="1"/>
  <c r="D9" i="1"/>
  <c r="E9" i="1"/>
  <c r="F9" i="1"/>
  <c r="G9" i="1"/>
  <c r="H9" i="1"/>
  <c r="I9" i="1"/>
  <c r="J9" i="1"/>
  <c r="K9" i="1"/>
  <c r="L9" i="1"/>
  <c r="M9" i="1"/>
  <c r="N9" i="1"/>
  <c r="O9" i="1"/>
  <c r="R9" i="1"/>
  <c r="B10" i="1"/>
  <c r="D10" i="1"/>
  <c r="E10" i="1"/>
  <c r="F10" i="1"/>
  <c r="G10" i="1"/>
  <c r="H10" i="1"/>
  <c r="I10" i="1"/>
  <c r="J10" i="1"/>
  <c r="K10" i="1"/>
  <c r="L10" i="1"/>
  <c r="M10" i="1"/>
  <c r="N10" i="1"/>
  <c r="O10" i="1"/>
  <c r="R10" i="1"/>
  <c r="B11" i="1"/>
  <c r="D11" i="1"/>
  <c r="E11" i="1"/>
  <c r="F11" i="1"/>
  <c r="G11" i="1"/>
  <c r="H11" i="1"/>
  <c r="I11" i="1"/>
  <c r="J11" i="1"/>
  <c r="K11" i="1"/>
  <c r="L11" i="1"/>
  <c r="M11" i="1"/>
  <c r="N11" i="1"/>
  <c r="O11" i="1"/>
  <c r="R11" i="1"/>
  <c r="B12" i="1"/>
  <c r="D12" i="1"/>
  <c r="E12" i="1"/>
  <c r="F12" i="1"/>
  <c r="G12" i="1"/>
  <c r="H12" i="1"/>
  <c r="I12" i="1"/>
  <c r="J12" i="1"/>
  <c r="K12" i="1"/>
  <c r="L12" i="1"/>
  <c r="M12" i="1"/>
  <c r="N12" i="1"/>
  <c r="O12" i="1"/>
  <c r="R12" i="1"/>
  <c r="B13" i="1"/>
  <c r="D13" i="1"/>
  <c r="E13" i="1"/>
  <c r="F13" i="1"/>
  <c r="G13" i="1"/>
  <c r="H13" i="1"/>
  <c r="I13" i="1"/>
  <c r="J13" i="1"/>
  <c r="K13" i="1"/>
  <c r="L13" i="1"/>
  <c r="M13" i="1"/>
  <c r="N13" i="1"/>
  <c r="O13" i="1"/>
  <c r="R13" i="1"/>
  <c r="B14" i="1"/>
  <c r="D14" i="1"/>
  <c r="E14" i="1"/>
  <c r="F14" i="1"/>
  <c r="G14" i="1"/>
  <c r="H14" i="1"/>
  <c r="I14" i="1"/>
  <c r="J14" i="1"/>
  <c r="K14" i="1"/>
  <c r="L14" i="1"/>
  <c r="M14" i="1"/>
  <c r="N14" i="1"/>
  <c r="O14" i="1"/>
  <c r="R14" i="1"/>
  <c r="B15" i="1"/>
  <c r="D15" i="1"/>
  <c r="E15" i="1"/>
  <c r="F15" i="1"/>
  <c r="G15" i="1"/>
  <c r="H15" i="1"/>
  <c r="I15" i="1"/>
  <c r="J15" i="1"/>
  <c r="K15" i="1"/>
  <c r="L15" i="1"/>
  <c r="M15" i="1"/>
  <c r="N15" i="1"/>
  <c r="O15" i="1"/>
  <c r="R15" i="1"/>
  <c r="B16" i="1"/>
  <c r="D16" i="1"/>
  <c r="E16" i="1"/>
  <c r="F16" i="1"/>
  <c r="G16" i="1"/>
  <c r="H16" i="1"/>
  <c r="I16" i="1"/>
  <c r="J16" i="1"/>
  <c r="K16" i="1"/>
  <c r="L16" i="1"/>
  <c r="M16" i="1"/>
  <c r="N16" i="1"/>
  <c r="O16" i="1"/>
  <c r="R16" i="1"/>
  <c r="B17" i="1"/>
  <c r="D17" i="1"/>
  <c r="E17" i="1"/>
  <c r="F17" i="1"/>
  <c r="G17" i="1"/>
  <c r="H17" i="1"/>
  <c r="I17" i="1"/>
  <c r="J17" i="1"/>
  <c r="K17" i="1"/>
  <c r="L17" i="1"/>
  <c r="M17" i="1"/>
  <c r="N17" i="1"/>
  <c r="O17" i="1"/>
  <c r="R17" i="1"/>
  <c r="B18" i="1"/>
  <c r="D18" i="1"/>
  <c r="E18" i="1"/>
  <c r="F18" i="1"/>
  <c r="G18" i="1"/>
  <c r="H18" i="1"/>
  <c r="I18" i="1"/>
  <c r="J18" i="1"/>
  <c r="K18" i="1"/>
  <c r="L18" i="1"/>
  <c r="M18" i="1"/>
  <c r="N18" i="1"/>
  <c r="O18" i="1"/>
  <c r="R18" i="1"/>
  <c r="B19" i="1"/>
  <c r="D19" i="1"/>
  <c r="E19" i="1"/>
  <c r="F19" i="1"/>
  <c r="G19" i="1"/>
  <c r="H19" i="1"/>
  <c r="I19" i="1"/>
  <c r="J19" i="1"/>
  <c r="K19" i="1"/>
  <c r="L19" i="1"/>
  <c r="M19" i="1"/>
  <c r="N19" i="1"/>
  <c r="O19" i="1"/>
  <c r="R19" i="1"/>
  <c r="B20" i="1"/>
  <c r="D20" i="1"/>
  <c r="E20" i="1"/>
  <c r="F20" i="1"/>
  <c r="G20" i="1"/>
  <c r="H20" i="1"/>
  <c r="I20" i="1"/>
  <c r="J20" i="1"/>
  <c r="K20" i="1"/>
  <c r="L20" i="1"/>
  <c r="M20" i="1"/>
  <c r="N20" i="1"/>
  <c r="O20" i="1"/>
  <c r="R20" i="1"/>
  <c r="B21" i="1"/>
  <c r="D21" i="1"/>
  <c r="E21" i="1"/>
  <c r="F21" i="1"/>
  <c r="G21" i="1"/>
  <c r="H21" i="1"/>
  <c r="I21" i="1"/>
  <c r="J21" i="1"/>
  <c r="K21" i="1"/>
  <c r="L21" i="1"/>
  <c r="M21" i="1"/>
  <c r="N21" i="1"/>
  <c r="O21" i="1"/>
  <c r="R21" i="1"/>
  <c r="B22" i="1"/>
  <c r="D22" i="1"/>
  <c r="E22" i="1"/>
  <c r="F22" i="1"/>
  <c r="G22" i="1"/>
  <c r="H22" i="1"/>
  <c r="I22" i="1"/>
  <c r="J22" i="1"/>
  <c r="K22" i="1"/>
  <c r="L22" i="1"/>
  <c r="M22" i="1"/>
  <c r="N22" i="1"/>
  <c r="O22" i="1"/>
  <c r="R22" i="1"/>
  <c r="B23" i="1"/>
  <c r="D23" i="1"/>
  <c r="E23" i="1"/>
  <c r="F23" i="1"/>
  <c r="G23" i="1"/>
  <c r="H23" i="1"/>
  <c r="I23" i="1"/>
  <c r="J23" i="1"/>
  <c r="K23" i="1"/>
  <c r="L23" i="1"/>
  <c r="M23" i="1"/>
  <c r="N23" i="1"/>
  <c r="O23" i="1"/>
  <c r="R23" i="1"/>
  <c r="B24" i="1"/>
  <c r="D24" i="1"/>
  <c r="E24" i="1"/>
  <c r="F24" i="1"/>
  <c r="G24" i="1"/>
  <c r="H24" i="1"/>
  <c r="I24" i="1"/>
  <c r="J24" i="1"/>
  <c r="K24" i="1"/>
  <c r="L24" i="1"/>
  <c r="M24" i="1"/>
  <c r="N24" i="1"/>
  <c r="O24" i="1"/>
  <c r="R24" i="1"/>
  <c r="B25" i="1"/>
  <c r="D25" i="1"/>
  <c r="E25" i="1"/>
  <c r="F25" i="1"/>
  <c r="G25" i="1"/>
  <c r="H25" i="1"/>
  <c r="I25" i="1"/>
  <c r="J25" i="1"/>
  <c r="K25" i="1"/>
  <c r="L25" i="1"/>
  <c r="M25" i="1"/>
  <c r="N25" i="1"/>
  <c r="O25" i="1"/>
  <c r="R25" i="1"/>
  <c r="B26" i="1"/>
  <c r="D26" i="1"/>
  <c r="E26" i="1"/>
  <c r="F26" i="1"/>
  <c r="G26" i="1"/>
  <c r="H26" i="1"/>
  <c r="I26" i="1"/>
  <c r="J26" i="1"/>
  <c r="K26" i="1"/>
  <c r="L26" i="1"/>
  <c r="M26" i="1"/>
  <c r="N26" i="1"/>
  <c r="O26" i="1"/>
  <c r="R26" i="1"/>
  <c r="B27" i="1"/>
  <c r="D27" i="1"/>
  <c r="E27" i="1"/>
  <c r="F27" i="1"/>
  <c r="G27" i="1"/>
  <c r="H27" i="1"/>
  <c r="I27" i="1"/>
  <c r="J27" i="1"/>
  <c r="K27" i="1"/>
  <c r="L27" i="1"/>
  <c r="M27" i="1"/>
  <c r="N27" i="1"/>
  <c r="O27" i="1"/>
  <c r="R27" i="1"/>
  <c r="B28" i="1"/>
  <c r="D28" i="1"/>
  <c r="E28" i="1"/>
  <c r="F28" i="1"/>
  <c r="G28" i="1"/>
  <c r="H28" i="1"/>
  <c r="I28" i="1"/>
  <c r="J28" i="1"/>
  <c r="K28" i="1"/>
  <c r="L28" i="1"/>
  <c r="M28" i="1"/>
  <c r="N28" i="1"/>
  <c r="O28" i="1"/>
  <c r="R28" i="1"/>
  <c r="B29" i="1"/>
  <c r="D29" i="1"/>
  <c r="E29" i="1"/>
  <c r="F29" i="1"/>
  <c r="G29" i="1"/>
  <c r="H29" i="1"/>
  <c r="I29" i="1"/>
  <c r="J29" i="1"/>
  <c r="K29" i="1"/>
  <c r="L29" i="1"/>
  <c r="M29" i="1"/>
  <c r="N29" i="1"/>
  <c r="O29" i="1"/>
  <c r="R29" i="1"/>
  <c r="B30" i="1"/>
  <c r="D30" i="1"/>
  <c r="E30" i="1"/>
  <c r="F30" i="1"/>
  <c r="G30" i="1"/>
  <c r="H30" i="1"/>
  <c r="I30" i="1"/>
  <c r="J30" i="1"/>
  <c r="K30" i="1"/>
  <c r="L30" i="1"/>
  <c r="M30" i="1"/>
  <c r="N30" i="1"/>
  <c r="O30" i="1"/>
  <c r="R30" i="1"/>
  <c r="B31" i="1"/>
  <c r="D31" i="1"/>
  <c r="E31" i="1"/>
  <c r="F31" i="1"/>
  <c r="G31" i="1"/>
  <c r="H31" i="1"/>
  <c r="I31" i="1"/>
  <c r="J31" i="1"/>
  <c r="K31" i="1"/>
  <c r="L31" i="1"/>
  <c r="M31" i="1"/>
  <c r="N31" i="1"/>
  <c r="O31" i="1"/>
  <c r="R31" i="1"/>
  <c r="B32" i="1"/>
  <c r="D32" i="1"/>
  <c r="E32" i="1"/>
  <c r="F32" i="1"/>
  <c r="G32" i="1"/>
  <c r="H32" i="1"/>
  <c r="I32" i="1"/>
  <c r="J32" i="1"/>
  <c r="K32" i="1"/>
  <c r="L32" i="1"/>
  <c r="M32" i="1"/>
  <c r="N32" i="1"/>
  <c r="O32" i="1"/>
  <c r="R32" i="1"/>
  <c r="B33" i="1"/>
  <c r="D33" i="1"/>
  <c r="E33" i="1"/>
  <c r="F33" i="1"/>
  <c r="G33" i="1"/>
  <c r="H33" i="1"/>
  <c r="I33" i="1"/>
  <c r="J33" i="1"/>
  <c r="K33" i="1"/>
  <c r="L33" i="1"/>
  <c r="M33" i="1"/>
  <c r="N33" i="1"/>
  <c r="O33" i="1"/>
  <c r="R33" i="1"/>
  <c r="B34" i="1"/>
  <c r="D34" i="1"/>
  <c r="E34" i="1"/>
  <c r="F34" i="1"/>
  <c r="G34" i="1"/>
  <c r="H34" i="1"/>
  <c r="I34" i="1"/>
  <c r="J34" i="1"/>
  <c r="K34" i="1"/>
  <c r="L34" i="1"/>
  <c r="M34" i="1"/>
  <c r="N34" i="1"/>
  <c r="O34" i="1"/>
  <c r="R34" i="1"/>
  <c r="B35" i="1"/>
  <c r="D35" i="1"/>
  <c r="E35" i="1"/>
  <c r="F35" i="1"/>
  <c r="G35" i="1"/>
  <c r="H35" i="1"/>
  <c r="I35" i="1"/>
  <c r="J35" i="1"/>
  <c r="K35" i="1"/>
  <c r="L35" i="1"/>
  <c r="M35" i="1"/>
  <c r="N35" i="1"/>
  <c r="O35" i="1"/>
  <c r="R35" i="1"/>
  <c r="B36" i="1"/>
  <c r="D36" i="1"/>
  <c r="E36" i="1"/>
  <c r="F36" i="1"/>
  <c r="G36" i="1"/>
  <c r="H36" i="1"/>
  <c r="I36" i="1"/>
  <c r="J36" i="1"/>
  <c r="K36" i="1"/>
  <c r="L36" i="1"/>
  <c r="M36" i="1"/>
  <c r="N36" i="1"/>
  <c r="O36" i="1"/>
  <c r="R36" i="1"/>
  <c r="B37" i="1"/>
  <c r="D37" i="1"/>
  <c r="E37" i="1"/>
  <c r="F37" i="1"/>
  <c r="G37" i="1"/>
  <c r="H37" i="1"/>
  <c r="I37" i="1"/>
  <c r="J37" i="1"/>
  <c r="K37" i="1"/>
  <c r="L37" i="1"/>
  <c r="M37" i="1"/>
  <c r="N37" i="1"/>
  <c r="O37" i="1"/>
  <c r="R37" i="1"/>
  <c r="B38" i="1"/>
  <c r="D38" i="1"/>
  <c r="E38" i="1"/>
  <c r="F38" i="1"/>
  <c r="G38" i="1"/>
  <c r="H38" i="1"/>
  <c r="I38" i="1"/>
  <c r="J38" i="1"/>
  <c r="K38" i="1"/>
  <c r="L38" i="1"/>
  <c r="M38" i="1"/>
  <c r="N38" i="1"/>
  <c r="O38" i="1"/>
  <c r="R38" i="1"/>
  <c r="B39" i="1"/>
  <c r="D39" i="1"/>
  <c r="E39" i="1"/>
  <c r="F39" i="1"/>
  <c r="G39" i="1"/>
  <c r="H39" i="1"/>
  <c r="I39" i="1"/>
  <c r="J39" i="1"/>
  <c r="K39" i="1"/>
  <c r="L39" i="1"/>
  <c r="M39" i="1"/>
  <c r="N39" i="1"/>
  <c r="O39" i="1"/>
  <c r="R39" i="1"/>
  <c r="B40" i="1"/>
  <c r="D40" i="1"/>
  <c r="E40" i="1"/>
  <c r="F40" i="1"/>
  <c r="G40" i="1"/>
  <c r="H40" i="1"/>
  <c r="I40" i="1"/>
  <c r="J40" i="1"/>
  <c r="K40" i="1"/>
  <c r="L40" i="1"/>
  <c r="M40" i="1"/>
  <c r="N40" i="1"/>
  <c r="O40" i="1"/>
  <c r="R40" i="1"/>
  <c r="B41" i="1"/>
  <c r="D41" i="1"/>
  <c r="E41" i="1"/>
  <c r="F41" i="1"/>
  <c r="G41" i="1"/>
  <c r="H41" i="1"/>
  <c r="I41" i="1"/>
  <c r="J41" i="1"/>
  <c r="K41" i="1"/>
  <c r="L41" i="1"/>
  <c r="M41" i="1"/>
  <c r="N41" i="1"/>
  <c r="O41" i="1"/>
  <c r="R41" i="1"/>
  <c r="B42" i="1"/>
  <c r="D42" i="1"/>
  <c r="E42" i="1"/>
  <c r="F42" i="1"/>
  <c r="G42" i="1"/>
  <c r="H42" i="1"/>
  <c r="I42" i="1"/>
  <c r="J42" i="1"/>
  <c r="K42" i="1"/>
  <c r="L42" i="1"/>
  <c r="M42" i="1"/>
  <c r="N42" i="1"/>
  <c r="O42" i="1"/>
  <c r="R42" i="1"/>
  <c r="B43" i="1"/>
  <c r="D43" i="1"/>
  <c r="E43" i="1"/>
  <c r="F43" i="1"/>
  <c r="G43" i="1"/>
  <c r="H43" i="1"/>
  <c r="I43" i="1"/>
  <c r="J43" i="1"/>
  <c r="K43" i="1"/>
  <c r="L43" i="1"/>
  <c r="M43" i="1"/>
  <c r="N43" i="1"/>
  <c r="O43" i="1"/>
  <c r="R43" i="1"/>
  <c r="B44" i="1"/>
  <c r="D44" i="1"/>
  <c r="E44" i="1"/>
  <c r="F44" i="1"/>
  <c r="G44" i="1"/>
  <c r="H44" i="1"/>
  <c r="I44" i="1"/>
  <c r="J44" i="1"/>
  <c r="K44" i="1"/>
  <c r="L44" i="1"/>
  <c r="M44" i="1"/>
  <c r="N44" i="1"/>
  <c r="O44" i="1"/>
  <c r="R44" i="1"/>
  <c r="B45" i="1"/>
  <c r="D45" i="1"/>
  <c r="E45" i="1"/>
  <c r="F45" i="1"/>
  <c r="G45" i="1"/>
  <c r="H45" i="1"/>
  <c r="I45" i="1"/>
  <c r="J45" i="1"/>
  <c r="K45" i="1"/>
  <c r="L45" i="1"/>
  <c r="M45" i="1"/>
  <c r="N45" i="1"/>
  <c r="O45" i="1"/>
  <c r="R45" i="1"/>
  <c r="B46" i="1"/>
  <c r="D46" i="1"/>
  <c r="E46" i="1"/>
  <c r="F46" i="1"/>
  <c r="G46" i="1"/>
  <c r="H46" i="1"/>
  <c r="I46" i="1"/>
  <c r="J46" i="1"/>
  <c r="K46" i="1"/>
  <c r="L46" i="1"/>
  <c r="M46" i="1"/>
  <c r="N46" i="1"/>
  <c r="O46" i="1"/>
  <c r="R46" i="1"/>
  <c r="B47" i="1"/>
  <c r="D47" i="1"/>
  <c r="E47" i="1"/>
  <c r="F47" i="1"/>
  <c r="G47" i="1"/>
  <c r="H47" i="1"/>
  <c r="I47" i="1"/>
  <c r="J47" i="1"/>
  <c r="K47" i="1"/>
  <c r="L47" i="1"/>
  <c r="M47" i="1"/>
  <c r="N47" i="1"/>
  <c r="O47" i="1"/>
  <c r="R47" i="1"/>
  <c r="B48" i="1"/>
  <c r="D48" i="1"/>
  <c r="E48" i="1"/>
  <c r="F48" i="1"/>
  <c r="G48" i="1"/>
  <c r="H48" i="1"/>
  <c r="I48" i="1"/>
  <c r="J48" i="1"/>
  <c r="K48" i="1"/>
  <c r="L48" i="1"/>
  <c r="M48" i="1"/>
  <c r="N48" i="1"/>
  <c r="O48" i="1"/>
  <c r="R48" i="1"/>
  <c r="B49" i="1"/>
  <c r="D49" i="1"/>
  <c r="E49" i="1"/>
  <c r="F49" i="1"/>
  <c r="G49" i="1"/>
  <c r="H49" i="1"/>
  <c r="I49" i="1"/>
  <c r="J49" i="1"/>
  <c r="K49" i="1"/>
  <c r="L49" i="1"/>
  <c r="M49" i="1"/>
  <c r="N49" i="1"/>
  <c r="O49" i="1"/>
  <c r="R49" i="1"/>
  <c r="B50" i="1"/>
  <c r="D50" i="1"/>
  <c r="E50" i="1"/>
  <c r="F50" i="1"/>
  <c r="G50" i="1"/>
  <c r="H50" i="1"/>
  <c r="I50" i="1"/>
  <c r="J50" i="1"/>
  <c r="K50" i="1"/>
  <c r="L50" i="1"/>
  <c r="M50" i="1"/>
  <c r="N50" i="1"/>
  <c r="O50" i="1"/>
  <c r="R50" i="1"/>
  <c r="B51" i="1"/>
  <c r="D51" i="1"/>
  <c r="E51" i="1"/>
  <c r="F51" i="1"/>
  <c r="G51" i="1"/>
  <c r="H51" i="1"/>
  <c r="I51" i="1"/>
  <c r="J51" i="1"/>
  <c r="K51" i="1"/>
  <c r="L51" i="1"/>
  <c r="M51" i="1"/>
  <c r="N51" i="1"/>
  <c r="O51" i="1"/>
  <c r="R51" i="1"/>
  <c r="B52" i="1"/>
  <c r="D52" i="1"/>
  <c r="E52" i="1"/>
  <c r="F52" i="1"/>
  <c r="G52" i="1"/>
  <c r="H52" i="1"/>
  <c r="I52" i="1"/>
  <c r="J52" i="1"/>
  <c r="K52" i="1"/>
  <c r="L52" i="1"/>
  <c r="M52" i="1"/>
  <c r="N52" i="1"/>
  <c r="O52" i="1"/>
  <c r="R52" i="1"/>
  <c r="B53" i="1"/>
  <c r="D53" i="1"/>
  <c r="E53" i="1"/>
  <c r="F53" i="1"/>
  <c r="G53" i="1"/>
  <c r="H53" i="1"/>
  <c r="I53" i="1"/>
  <c r="J53" i="1"/>
  <c r="K53" i="1"/>
  <c r="L53" i="1"/>
  <c r="M53" i="1"/>
  <c r="N53" i="1"/>
  <c r="O53" i="1"/>
  <c r="R53" i="1"/>
  <c r="B54" i="1"/>
  <c r="D54" i="1"/>
  <c r="E54" i="1"/>
  <c r="F54" i="1"/>
  <c r="G54" i="1"/>
  <c r="H54" i="1"/>
  <c r="I54" i="1"/>
  <c r="J54" i="1"/>
  <c r="K54" i="1"/>
  <c r="L54" i="1"/>
  <c r="M54" i="1"/>
  <c r="N54" i="1"/>
  <c r="O54" i="1"/>
  <c r="R54" i="1"/>
  <c r="B55" i="1"/>
  <c r="D55" i="1"/>
  <c r="E55" i="1"/>
  <c r="F55" i="1"/>
  <c r="G55" i="1"/>
  <c r="H55" i="1"/>
  <c r="I55" i="1"/>
  <c r="J55" i="1"/>
  <c r="K55" i="1"/>
  <c r="L55" i="1"/>
  <c r="M55" i="1"/>
  <c r="N55" i="1"/>
  <c r="O55" i="1"/>
  <c r="R55" i="1"/>
  <c r="B56" i="1"/>
  <c r="D56" i="1"/>
  <c r="E56" i="1"/>
  <c r="F56" i="1"/>
  <c r="G56" i="1"/>
  <c r="H56" i="1"/>
  <c r="I56" i="1"/>
  <c r="J56" i="1"/>
  <c r="K56" i="1"/>
  <c r="L56" i="1"/>
  <c r="M56" i="1"/>
  <c r="N56" i="1"/>
  <c r="O56" i="1"/>
  <c r="R56" i="1"/>
  <c r="B57" i="1"/>
  <c r="D57" i="1"/>
  <c r="E57" i="1"/>
  <c r="F57" i="1"/>
  <c r="G57" i="1"/>
  <c r="H57" i="1"/>
  <c r="I57" i="1"/>
  <c r="J57" i="1"/>
  <c r="K57" i="1"/>
  <c r="L57" i="1"/>
  <c r="M57" i="1"/>
  <c r="N57" i="1"/>
  <c r="O57" i="1"/>
  <c r="R57" i="1"/>
  <c r="B58" i="1"/>
  <c r="D58" i="1"/>
  <c r="E58" i="1"/>
  <c r="F58" i="1"/>
  <c r="G58" i="1"/>
  <c r="H58" i="1"/>
  <c r="I58" i="1"/>
  <c r="J58" i="1"/>
  <c r="K58" i="1"/>
  <c r="L58" i="1"/>
  <c r="M58" i="1"/>
  <c r="N58" i="1"/>
  <c r="O58" i="1"/>
  <c r="R58" i="1"/>
  <c r="B59" i="1"/>
  <c r="D59" i="1"/>
  <c r="E59" i="1"/>
  <c r="F59" i="1"/>
  <c r="G59" i="1"/>
  <c r="H59" i="1"/>
  <c r="I59" i="1"/>
  <c r="J59" i="1"/>
  <c r="K59" i="1"/>
  <c r="L59" i="1"/>
  <c r="M59" i="1"/>
  <c r="N59" i="1"/>
  <c r="O59" i="1"/>
  <c r="R59" i="1"/>
  <c r="B60" i="1"/>
  <c r="D60" i="1"/>
  <c r="E60" i="1"/>
  <c r="F60" i="1"/>
  <c r="G60" i="1"/>
  <c r="H60" i="1"/>
  <c r="I60" i="1"/>
  <c r="J60" i="1"/>
  <c r="K60" i="1"/>
  <c r="L60" i="1"/>
  <c r="M60" i="1"/>
  <c r="N60" i="1"/>
  <c r="O60" i="1"/>
  <c r="R60" i="1"/>
  <c r="B61" i="1"/>
  <c r="D61" i="1"/>
  <c r="E61" i="1"/>
  <c r="F61" i="1"/>
  <c r="G61" i="1"/>
  <c r="H61" i="1"/>
  <c r="I61" i="1"/>
  <c r="J61" i="1"/>
  <c r="K61" i="1"/>
  <c r="L61" i="1"/>
  <c r="M61" i="1"/>
  <c r="N61" i="1"/>
  <c r="O61" i="1"/>
  <c r="R61" i="1"/>
  <c r="B62" i="1"/>
  <c r="D62" i="1"/>
  <c r="E62" i="1"/>
  <c r="F62" i="1"/>
  <c r="G62" i="1"/>
  <c r="H62" i="1"/>
  <c r="I62" i="1"/>
  <c r="J62" i="1"/>
  <c r="K62" i="1"/>
  <c r="L62" i="1"/>
  <c r="M62" i="1"/>
  <c r="N62" i="1"/>
  <c r="O62" i="1"/>
  <c r="R62" i="1"/>
  <c r="B63" i="1"/>
  <c r="D63" i="1"/>
  <c r="E63" i="1"/>
  <c r="F63" i="1"/>
  <c r="G63" i="1"/>
  <c r="H63" i="1"/>
  <c r="I63" i="1"/>
  <c r="J63" i="1"/>
  <c r="K63" i="1"/>
  <c r="L63" i="1"/>
  <c r="M63" i="1"/>
  <c r="N63" i="1"/>
  <c r="O63" i="1"/>
  <c r="R63" i="1"/>
  <c r="B64" i="1"/>
  <c r="D64" i="1"/>
  <c r="E64" i="1"/>
  <c r="F64" i="1"/>
  <c r="G64" i="1"/>
  <c r="H64" i="1"/>
  <c r="I64" i="1"/>
  <c r="J64" i="1"/>
  <c r="K64" i="1"/>
  <c r="L64" i="1"/>
  <c r="M64" i="1"/>
  <c r="N64" i="1"/>
  <c r="O64" i="1"/>
  <c r="R64" i="1"/>
  <c r="B65" i="1"/>
  <c r="D65" i="1"/>
  <c r="E65" i="1"/>
  <c r="F65" i="1"/>
  <c r="G65" i="1"/>
  <c r="H65" i="1"/>
  <c r="I65" i="1"/>
  <c r="J65" i="1"/>
  <c r="K65" i="1"/>
  <c r="L65" i="1"/>
  <c r="M65" i="1"/>
  <c r="N65" i="1"/>
  <c r="O65" i="1"/>
  <c r="R65" i="1"/>
  <c r="B66" i="1"/>
  <c r="D66" i="1"/>
  <c r="E66" i="1"/>
  <c r="F66" i="1"/>
  <c r="G66" i="1"/>
  <c r="H66" i="1"/>
  <c r="I66" i="1"/>
  <c r="J66" i="1"/>
  <c r="K66" i="1"/>
  <c r="L66" i="1"/>
  <c r="M66" i="1"/>
  <c r="N66" i="1"/>
  <c r="O66" i="1"/>
  <c r="R66" i="1"/>
  <c r="B67" i="1"/>
  <c r="D67" i="1"/>
  <c r="E67" i="1"/>
  <c r="F67" i="1"/>
  <c r="G67" i="1"/>
  <c r="H67" i="1"/>
  <c r="I67" i="1"/>
  <c r="J67" i="1"/>
  <c r="K67" i="1"/>
  <c r="L67" i="1"/>
  <c r="M67" i="1"/>
  <c r="N67" i="1"/>
  <c r="O67" i="1"/>
  <c r="R67" i="1"/>
  <c r="B68" i="1"/>
  <c r="D68" i="1"/>
  <c r="E68" i="1"/>
  <c r="F68" i="1"/>
  <c r="G68" i="1"/>
  <c r="H68" i="1"/>
  <c r="I68" i="1"/>
  <c r="J68" i="1"/>
  <c r="K68" i="1"/>
  <c r="L68" i="1"/>
  <c r="M68" i="1"/>
  <c r="N68" i="1"/>
  <c r="O68" i="1"/>
  <c r="R68" i="1"/>
  <c r="B69" i="1"/>
  <c r="D69" i="1"/>
  <c r="E69" i="1"/>
  <c r="F69" i="1"/>
  <c r="G69" i="1"/>
  <c r="H69" i="1"/>
  <c r="I69" i="1"/>
  <c r="J69" i="1"/>
  <c r="K69" i="1"/>
  <c r="L69" i="1"/>
  <c r="M69" i="1"/>
  <c r="N69" i="1"/>
  <c r="O69" i="1"/>
  <c r="R69" i="1"/>
  <c r="B70" i="1"/>
  <c r="D70" i="1"/>
  <c r="E70" i="1"/>
  <c r="F70" i="1"/>
  <c r="G70" i="1"/>
  <c r="H70" i="1"/>
  <c r="I70" i="1"/>
  <c r="J70" i="1"/>
  <c r="K70" i="1"/>
  <c r="L70" i="1"/>
  <c r="M70" i="1"/>
  <c r="N70" i="1"/>
  <c r="O70" i="1"/>
  <c r="R70" i="1"/>
  <c r="B71" i="1"/>
  <c r="D71" i="1"/>
  <c r="E71" i="1"/>
  <c r="F71" i="1"/>
  <c r="G71" i="1"/>
  <c r="H71" i="1"/>
  <c r="I71" i="1"/>
  <c r="J71" i="1"/>
  <c r="K71" i="1"/>
  <c r="L71" i="1"/>
  <c r="M71" i="1"/>
  <c r="N71" i="1"/>
  <c r="O71" i="1"/>
  <c r="R71" i="1"/>
  <c r="B72" i="1"/>
  <c r="D72" i="1"/>
  <c r="E72" i="1"/>
  <c r="F72" i="1"/>
  <c r="G72" i="1"/>
  <c r="H72" i="1"/>
  <c r="I72" i="1"/>
  <c r="J72" i="1"/>
  <c r="K72" i="1"/>
  <c r="L72" i="1"/>
  <c r="M72" i="1"/>
  <c r="N72" i="1"/>
  <c r="O72" i="1"/>
  <c r="R72" i="1"/>
  <c r="B73" i="1"/>
  <c r="D73" i="1"/>
  <c r="E73" i="1"/>
  <c r="F73" i="1"/>
  <c r="G73" i="1"/>
  <c r="H73" i="1"/>
  <c r="I73" i="1"/>
  <c r="J73" i="1"/>
  <c r="K73" i="1"/>
  <c r="L73" i="1"/>
  <c r="M73" i="1"/>
  <c r="N73" i="1"/>
  <c r="O73" i="1"/>
  <c r="R73" i="1"/>
  <c r="B74" i="1"/>
  <c r="D74" i="1"/>
  <c r="E74" i="1"/>
  <c r="F74" i="1"/>
  <c r="G74" i="1"/>
  <c r="H74" i="1"/>
  <c r="I74" i="1"/>
  <c r="J74" i="1"/>
  <c r="K74" i="1"/>
  <c r="L74" i="1"/>
  <c r="M74" i="1"/>
  <c r="N74" i="1"/>
  <c r="O74" i="1"/>
  <c r="R74" i="1"/>
  <c r="B75" i="1"/>
  <c r="D75" i="1"/>
  <c r="E75" i="1"/>
  <c r="F75" i="1"/>
  <c r="G75" i="1"/>
  <c r="H75" i="1"/>
  <c r="I75" i="1"/>
  <c r="J75" i="1"/>
  <c r="K75" i="1"/>
  <c r="L75" i="1"/>
  <c r="M75" i="1"/>
  <c r="N75" i="1"/>
  <c r="O75" i="1"/>
  <c r="R75" i="1"/>
  <c r="B76" i="1"/>
  <c r="D76" i="1"/>
  <c r="E76" i="1"/>
  <c r="F76" i="1"/>
  <c r="G76" i="1"/>
  <c r="H76" i="1"/>
  <c r="I76" i="1"/>
  <c r="J76" i="1"/>
  <c r="K76" i="1"/>
  <c r="L76" i="1"/>
  <c r="M76" i="1"/>
  <c r="N76" i="1"/>
  <c r="O76" i="1"/>
  <c r="R76" i="1"/>
  <c r="B77" i="1"/>
  <c r="D77" i="1"/>
  <c r="E77" i="1"/>
  <c r="F77" i="1"/>
  <c r="G77" i="1"/>
  <c r="H77" i="1"/>
  <c r="I77" i="1"/>
  <c r="J77" i="1"/>
  <c r="K77" i="1"/>
  <c r="L77" i="1"/>
  <c r="M77" i="1"/>
  <c r="N77" i="1"/>
  <c r="O77" i="1"/>
  <c r="R77" i="1"/>
  <c r="B78" i="1"/>
  <c r="D78" i="1"/>
  <c r="E78" i="1"/>
  <c r="F78" i="1"/>
  <c r="G78" i="1"/>
  <c r="H78" i="1"/>
  <c r="I78" i="1"/>
  <c r="J78" i="1"/>
  <c r="K78" i="1"/>
  <c r="L78" i="1"/>
  <c r="M78" i="1"/>
  <c r="N78" i="1"/>
  <c r="O78" i="1"/>
  <c r="R78" i="1"/>
  <c r="B79" i="1"/>
  <c r="D79" i="1"/>
  <c r="E79" i="1"/>
  <c r="F79" i="1"/>
  <c r="G79" i="1"/>
  <c r="H79" i="1"/>
  <c r="I79" i="1"/>
  <c r="J79" i="1"/>
  <c r="K79" i="1"/>
  <c r="L79" i="1"/>
  <c r="M79" i="1"/>
  <c r="N79" i="1"/>
  <c r="O79" i="1"/>
  <c r="R79" i="1"/>
  <c r="B80" i="1"/>
  <c r="D80" i="1"/>
  <c r="E80" i="1"/>
  <c r="F80" i="1"/>
  <c r="G80" i="1"/>
  <c r="H80" i="1"/>
  <c r="I80" i="1"/>
  <c r="J80" i="1"/>
  <c r="K80" i="1"/>
  <c r="L80" i="1"/>
  <c r="M80" i="1"/>
  <c r="N80" i="1"/>
  <c r="O80" i="1"/>
  <c r="R80" i="1"/>
  <c r="B81" i="1"/>
  <c r="D81" i="1"/>
  <c r="E81" i="1"/>
  <c r="F81" i="1"/>
  <c r="G81" i="1"/>
  <c r="H81" i="1"/>
  <c r="I81" i="1"/>
  <c r="J81" i="1"/>
  <c r="K81" i="1"/>
  <c r="L81" i="1"/>
  <c r="M81" i="1"/>
  <c r="N81" i="1"/>
  <c r="O81" i="1"/>
  <c r="R81" i="1"/>
  <c r="B82" i="1"/>
  <c r="D82" i="1"/>
  <c r="E82" i="1"/>
  <c r="F82" i="1"/>
  <c r="G82" i="1"/>
  <c r="H82" i="1"/>
  <c r="I82" i="1"/>
  <c r="J82" i="1"/>
  <c r="K82" i="1"/>
  <c r="L82" i="1"/>
  <c r="M82" i="1"/>
  <c r="N82" i="1"/>
  <c r="O82" i="1"/>
  <c r="R82" i="1"/>
  <c r="B83" i="1"/>
  <c r="D83" i="1"/>
  <c r="E83" i="1"/>
  <c r="F83" i="1"/>
  <c r="G83" i="1"/>
  <c r="H83" i="1"/>
  <c r="I83" i="1"/>
  <c r="J83" i="1"/>
  <c r="K83" i="1"/>
  <c r="L83" i="1"/>
  <c r="M83" i="1"/>
  <c r="N83" i="1"/>
  <c r="O83" i="1"/>
  <c r="R83" i="1"/>
  <c r="B84" i="1"/>
  <c r="D84" i="1"/>
  <c r="E84" i="1"/>
  <c r="F84" i="1"/>
  <c r="G84" i="1"/>
  <c r="H84" i="1"/>
  <c r="I84" i="1"/>
  <c r="J84" i="1"/>
  <c r="K84" i="1"/>
  <c r="L84" i="1"/>
  <c r="M84" i="1"/>
  <c r="N84" i="1"/>
  <c r="O84" i="1"/>
  <c r="R84" i="1"/>
  <c r="B85" i="1"/>
  <c r="D85" i="1"/>
  <c r="E85" i="1"/>
  <c r="F85" i="1"/>
  <c r="G85" i="1"/>
  <c r="H85" i="1"/>
  <c r="I85" i="1"/>
  <c r="J85" i="1"/>
  <c r="K85" i="1"/>
  <c r="L85" i="1"/>
  <c r="M85" i="1"/>
  <c r="N85" i="1"/>
  <c r="O85" i="1"/>
  <c r="R85" i="1"/>
  <c r="B86" i="1"/>
  <c r="D86" i="1"/>
  <c r="E86" i="1"/>
  <c r="F86" i="1"/>
  <c r="G86" i="1"/>
  <c r="H86" i="1"/>
  <c r="I86" i="1"/>
  <c r="J86" i="1"/>
  <c r="K86" i="1"/>
  <c r="L86" i="1"/>
  <c r="M86" i="1"/>
  <c r="N86" i="1"/>
  <c r="O86" i="1"/>
  <c r="R86" i="1"/>
  <c r="B87" i="1"/>
  <c r="D87" i="1"/>
  <c r="E87" i="1"/>
  <c r="F87" i="1"/>
  <c r="G87" i="1"/>
  <c r="H87" i="1"/>
  <c r="I87" i="1"/>
  <c r="J87" i="1"/>
  <c r="K87" i="1"/>
  <c r="L87" i="1"/>
  <c r="M87" i="1"/>
  <c r="N87" i="1"/>
  <c r="O87" i="1"/>
  <c r="R87" i="1"/>
  <c r="B88" i="1"/>
  <c r="D88" i="1"/>
  <c r="E88" i="1"/>
  <c r="F88" i="1"/>
  <c r="G88" i="1"/>
  <c r="H88" i="1"/>
  <c r="I88" i="1"/>
  <c r="J88" i="1"/>
  <c r="K88" i="1"/>
  <c r="L88" i="1"/>
  <c r="M88" i="1"/>
  <c r="N88" i="1"/>
  <c r="O88" i="1"/>
  <c r="R88" i="1"/>
  <c r="B89" i="1"/>
  <c r="D89" i="1"/>
  <c r="E89" i="1"/>
  <c r="F89" i="1"/>
  <c r="G89" i="1"/>
  <c r="H89" i="1"/>
  <c r="I89" i="1"/>
  <c r="J89" i="1"/>
  <c r="K89" i="1"/>
  <c r="L89" i="1"/>
  <c r="M89" i="1"/>
  <c r="N89" i="1"/>
  <c r="O89" i="1"/>
  <c r="R89" i="1"/>
  <c r="B90" i="1"/>
  <c r="D90" i="1"/>
  <c r="E90" i="1"/>
  <c r="F90" i="1"/>
  <c r="G90" i="1"/>
  <c r="H90" i="1"/>
  <c r="I90" i="1"/>
  <c r="J90" i="1"/>
  <c r="K90" i="1"/>
  <c r="L90" i="1"/>
  <c r="M90" i="1"/>
  <c r="N90" i="1"/>
  <c r="O90" i="1"/>
  <c r="R90" i="1"/>
  <c r="B91" i="1"/>
  <c r="D91" i="1"/>
  <c r="E91" i="1"/>
  <c r="F91" i="1"/>
  <c r="G91" i="1"/>
  <c r="H91" i="1"/>
  <c r="I91" i="1"/>
  <c r="J91" i="1"/>
  <c r="K91" i="1"/>
  <c r="L91" i="1"/>
  <c r="M91" i="1"/>
  <c r="N91" i="1"/>
  <c r="O91" i="1"/>
  <c r="R91" i="1"/>
  <c r="B92" i="1"/>
  <c r="D92" i="1"/>
  <c r="E92" i="1"/>
  <c r="F92" i="1"/>
  <c r="G92" i="1"/>
  <c r="H92" i="1"/>
  <c r="I92" i="1"/>
  <c r="J92" i="1"/>
  <c r="K92" i="1"/>
  <c r="L92" i="1"/>
  <c r="M92" i="1"/>
  <c r="N92" i="1"/>
  <c r="O92" i="1"/>
  <c r="R92" i="1"/>
  <c r="B93" i="1"/>
  <c r="D93" i="1"/>
  <c r="E93" i="1"/>
  <c r="F93" i="1"/>
  <c r="G93" i="1"/>
  <c r="H93" i="1"/>
  <c r="I93" i="1"/>
  <c r="J93" i="1"/>
  <c r="K93" i="1"/>
  <c r="L93" i="1"/>
  <c r="M93" i="1"/>
  <c r="N93" i="1"/>
  <c r="O93" i="1"/>
  <c r="R93" i="1"/>
  <c r="B94" i="1"/>
  <c r="D94" i="1"/>
  <c r="E94" i="1"/>
  <c r="F94" i="1"/>
  <c r="G94" i="1"/>
  <c r="H94" i="1"/>
  <c r="I94" i="1"/>
  <c r="J94" i="1"/>
  <c r="K94" i="1"/>
  <c r="L94" i="1"/>
  <c r="M94" i="1"/>
  <c r="N94" i="1"/>
  <c r="O94" i="1"/>
  <c r="R94" i="1"/>
  <c r="B95" i="1"/>
  <c r="D95" i="1"/>
  <c r="E95" i="1"/>
  <c r="F95" i="1"/>
  <c r="G95" i="1"/>
  <c r="H95" i="1"/>
  <c r="I95" i="1"/>
  <c r="J95" i="1"/>
  <c r="K95" i="1"/>
  <c r="L95" i="1"/>
  <c r="M95" i="1"/>
  <c r="N95" i="1"/>
  <c r="O95" i="1"/>
  <c r="R95" i="1"/>
  <c r="B96" i="1"/>
  <c r="D96" i="1"/>
  <c r="E96" i="1"/>
  <c r="F96" i="1"/>
  <c r="G96" i="1"/>
  <c r="H96" i="1"/>
  <c r="I96" i="1"/>
  <c r="J96" i="1"/>
  <c r="K96" i="1"/>
  <c r="L96" i="1"/>
  <c r="M96" i="1"/>
  <c r="N96" i="1"/>
  <c r="O96" i="1"/>
  <c r="R96" i="1"/>
  <c r="B97" i="1"/>
  <c r="D97" i="1"/>
  <c r="E97" i="1"/>
  <c r="F97" i="1"/>
  <c r="G97" i="1"/>
  <c r="H97" i="1"/>
  <c r="I97" i="1"/>
  <c r="J97" i="1"/>
  <c r="K97" i="1"/>
  <c r="L97" i="1"/>
  <c r="M97" i="1"/>
  <c r="N97" i="1"/>
  <c r="O97" i="1"/>
  <c r="R97" i="1"/>
  <c r="B98" i="1"/>
  <c r="D98" i="1"/>
  <c r="E98" i="1"/>
  <c r="F98" i="1"/>
  <c r="G98" i="1"/>
  <c r="H98" i="1"/>
  <c r="I98" i="1"/>
  <c r="J98" i="1"/>
  <c r="K98" i="1"/>
  <c r="L98" i="1"/>
  <c r="M98" i="1"/>
  <c r="N98" i="1"/>
  <c r="O98" i="1"/>
  <c r="R98" i="1"/>
  <c r="B99" i="1"/>
  <c r="D99" i="1"/>
  <c r="E99" i="1"/>
  <c r="F99" i="1"/>
  <c r="G99" i="1"/>
  <c r="H99" i="1"/>
  <c r="I99" i="1"/>
  <c r="J99" i="1"/>
  <c r="K99" i="1"/>
  <c r="L99" i="1"/>
  <c r="M99" i="1"/>
  <c r="N99" i="1"/>
  <c r="O99" i="1"/>
  <c r="R99" i="1"/>
  <c r="B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R100" i="1"/>
  <c r="B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R101" i="1"/>
  <c r="B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R102" i="1"/>
  <c r="B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R103" i="1"/>
  <c r="B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R104" i="1"/>
  <c r="B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R105" i="1"/>
  <c r="B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R106" i="1"/>
  <c r="B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R107" i="1"/>
  <c r="B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R108" i="1"/>
  <c r="B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R109" i="1"/>
  <c r="B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R110" i="1"/>
  <c r="B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R111" i="1"/>
  <c r="B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R112" i="1"/>
  <c r="B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R113" i="1"/>
  <c r="B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R114" i="1"/>
  <c r="B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R115" i="1"/>
  <c r="B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R116" i="1"/>
  <c r="B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R117" i="1"/>
  <c r="B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R118" i="1"/>
  <c r="B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R119" i="1"/>
  <c r="B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R120" i="1"/>
  <c r="B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R121" i="1"/>
  <c r="B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R122" i="1"/>
  <c r="B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R123" i="1"/>
  <c r="B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R124" i="1"/>
  <c r="B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R125" i="1"/>
  <c r="B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R126" i="1"/>
  <c r="B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R127" i="1"/>
  <c r="B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R128" i="1"/>
  <c r="B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R129" i="1"/>
  <c r="B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R130" i="1"/>
  <c r="B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R131" i="1"/>
  <c r="B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R132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R133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R134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R135" i="1"/>
  <c r="B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R136" i="1"/>
  <c r="B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R137" i="1"/>
  <c r="B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R138" i="1"/>
  <c r="B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R139" i="1"/>
  <c r="B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R140" i="1"/>
  <c r="B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R141" i="1"/>
  <c r="B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R142" i="1"/>
  <c r="B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R143" i="1"/>
  <c r="B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R144" i="1"/>
  <c r="B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R145" i="1"/>
  <c r="B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R146" i="1"/>
  <c r="B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R147" i="1"/>
  <c r="B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R148" i="1"/>
  <c r="B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R149" i="1"/>
  <c r="B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R150" i="1"/>
  <c r="B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R151" i="1"/>
  <c r="B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R152" i="1"/>
  <c r="B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R153" i="1"/>
  <c r="B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R154" i="1"/>
  <c r="B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R155" i="1"/>
  <c r="B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R156" i="1"/>
  <c r="B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R157" i="1"/>
  <c r="B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R158" i="1"/>
  <c r="B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R159" i="1"/>
  <c r="B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R160" i="1"/>
  <c r="B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R161" i="1"/>
  <c r="B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R162" i="1"/>
  <c r="B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R163" i="1"/>
  <c r="B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R164" i="1"/>
  <c r="B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R165" i="1"/>
  <c r="B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R166" i="1"/>
  <c r="B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R167" i="1"/>
  <c r="B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R168" i="1"/>
  <c r="B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R169" i="1"/>
  <c r="B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R170" i="1"/>
  <c r="B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R171" i="1"/>
  <c r="B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R172" i="1"/>
  <c r="B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R173" i="1"/>
  <c r="B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R174" i="1"/>
  <c r="B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R175" i="1"/>
  <c r="B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R176" i="1"/>
  <c r="B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R177" i="1"/>
  <c r="B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R178" i="1"/>
  <c r="B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R179" i="1"/>
  <c r="B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R180" i="1"/>
  <c r="B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R181" i="1"/>
  <c r="B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R182" i="1"/>
  <c r="B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R183" i="1"/>
  <c r="B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R184" i="1"/>
  <c r="B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R185" i="1"/>
  <c r="B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R186" i="1"/>
  <c r="B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R187" i="1"/>
  <c r="B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R188" i="1"/>
  <c r="B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R189" i="1"/>
  <c r="B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R190" i="1"/>
  <c r="B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R191" i="1"/>
  <c r="B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R192" i="1"/>
  <c r="B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R193" i="1"/>
  <c r="B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R194" i="1"/>
  <c r="B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R195" i="1"/>
  <c r="B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R196" i="1"/>
  <c r="B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R197" i="1"/>
  <c r="B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R198" i="1"/>
  <c r="B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R199" i="1"/>
  <c r="B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R200" i="1"/>
  <c r="B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R201" i="1"/>
  <c r="B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R202" i="1"/>
  <c r="B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R203" i="1"/>
  <c r="B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R204" i="1"/>
  <c r="B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R205" i="1"/>
  <c r="B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R206" i="1"/>
  <c r="B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R207" i="1"/>
  <c r="B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R208" i="1"/>
  <c r="B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R209" i="1"/>
  <c r="B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R210" i="1"/>
  <c r="B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R211" i="1"/>
  <c r="B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R212" i="1"/>
  <c r="B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R213" i="1"/>
  <c r="B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R214" i="1"/>
  <c r="B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R215" i="1"/>
  <c r="B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R216" i="1"/>
  <c r="B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R217" i="1"/>
  <c r="B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R218" i="1"/>
  <c r="B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R219" i="1"/>
  <c r="B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R220" i="1"/>
  <c r="B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R221" i="1"/>
  <c r="B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R222" i="1"/>
  <c r="B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R223" i="1"/>
  <c r="B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R224" i="1"/>
  <c r="B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R225" i="1"/>
  <c r="B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R226" i="1"/>
  <c r="B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R227" i="1"/>
  <c r="B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R228" i="1"/>
  <c r="B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R229" i="1"/>
  <c r="B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R230" i="1"/>
  <c r="B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R231" i="1"/>
  <c r="B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R232" i="1"/>
  <c r="B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R233" i="1"/>
  <c r="B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R234" i="1"/>
  <c r="B235" i="1"/>
  <c r="D235" i="1"/>
  <c r="E235" i="1"/>
  <c r="F235" i="1"/>
  <c r="G235" i="1"/>
  <c r="H235" i="1"/>
  <c r="I235" i="1"/>
  <c r="J235" i="1"/>
  <c r="K235" i="1"/>
  <c r="L235" i="1"/>
  <c r="M235" i="1"/>
  <c r="N235" i="1"/>
  <c r="R235" i="1"/>
  <c r="B236" i="1"/>
  <c r="D236" i="1"/>
  <c r="E236" i="1"/>
  <c r="F236" i="1"/>
  <c r="G236" i="1"/>
  <c r="H236" i="1"/>
  <c r="I236" i="1"/>
  <c r="J236" i="1"/>
  <c r="K236" i="1"/>
  <c r="L236" i="1"/>
  <c r="M236" i="1"/>
  <c r="N236" i="1"/>
  <c r="R236" i="1"/>
  <c r="B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R237" i="1"/>
  <c r="B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R238" i="1"/>
  <c r="B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R239" i="1"/>
  <c r="B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R240" i="1"/>
  <c r="B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R241" i="1"/>
  <c r="B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R242" i="1"/>
  <c r="B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R243" i="1"/>
  <c r="B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R244" i="1"/>
  <c r="B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R245" i="1"/>
  <c r="B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R246" i="1"/>
  <c r="B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R247" i="1"/>
  <c r="B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R248" i="1"/>
  <c r="B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R249" i="1"/>
  <c r="B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R250" i="1"/>
  <c r="B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R251" i="1"/>
  <c r="B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R252" i="1"/>
  <c r="B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R253" i="1"/>
  <c r="B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R254" i="1"/>
  <c r="B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R255" i="1"/>
  <c r="B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R256" i="1"/>
  <c r="B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R257" i="1"/>
  <c r="B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R258" i="1"/>
  <c r="B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R259" i="1"/>
  <c r="B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R260" i="1"/>
  <c r="B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R261" i="1"/>
  <c r="B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R262" i="1"/>
  <c r="B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R263" i="1"/>
  <c r="B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R264" i="1"/>
  <c r="B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R265" i="1"/>
  <c r="B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R266" i="1"/>
  <c r="B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R267" i="1"/>
  <c r="B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R268" i="1"/>
  <c r="B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R269" i="1"/>
  <c r="B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R270" i="1"/>
  <c r="B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R271" i="1"/>
  <c r="B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R272" i="1"/>
  <c r="B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R273" i="1"/>
  <c r="B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R274" i="1"/>
  <c r="B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R275" i="1"/>
  <c r="B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R276" i="1"/>
  <c r="B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R277" i="1"/>
  <c r="B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R278" i="1"/>
  <c r="B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R279" i="1"/>
  <c r="B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R280" i="1"/>
  <c r="B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R281" i="1"/>
  <c r="B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R282" i="1"/>
  <c r="B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R283" i="1"/>
  <c r="B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R284" i="1"/>
  <c r="B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R285" i="1"/>
  <c r="B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R286" i="1"/>
  <c r="B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R287" i="1"/>
  <c r="B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R288" i="1"/>
  <c r="B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R289" i="1"/>
  <c r="B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R290" i="1"/>
  <c r="B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R291" i="1"/>
  <c r="B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R292" i="1"/>
  <c r="B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R293" i="1"/>
  <c r="B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R294" i="1"/>
  <c r="B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R295" i="1"/>
  <c r="B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R296" i="1"/>
  <c r="B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R297" i="1"/>
  <c r="B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R298" i="1"/>
  <c r="B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R299" i="1"/>
  <c r="B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R300" i="1"/>
  <c r="B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R301" i="1"/>
  <c r="B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R302" i="1"/>
  <c r="B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R303" i="1"/>
  <c r="B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R304" i="1"/>
  <c r="B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R305" i="1"/>
  <c r="B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R306" i="1"/>
  <c r="B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R307" i="1"/>
  <c r="B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R308" i="1"/>
  <c r="B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R309" i="1"/>
  <c r="B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R310" i="1"/>
  <c r="B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R311" i="1"/>
  <c r="B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R312" i="1"/>
  <c r="B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R313" i="1"/>
  <c r="B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R314" i="1"/>
  <c r="B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R315" i="1"/>
  <c r="B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R316" i="1"/>
  <c r="B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R317" i="1"/>
  <c r="B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R318" i="1"/>
  <c r="B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R319" i="1"/>
  <c r="B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R320" i="1"/>
  <c r="B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R321" i="1"/>
  <c r="B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R322" i="1"/>
  <c r="B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R323" i="1"/>
  <c r="B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R324" i="1"/>
  <c r="B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R325" i="1"/>
  <c r="B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R326" i="1"/>
  <c r="B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R327" i="1"/>
  <c r="B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R328" i="1"/>
  <c r="B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R329" i="1"/>
  <c r="B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R330" i="1"/>
  <c r="B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R331" i="1"/>
  <c r="B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R332" i="1"/>
  <c r="B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R333" i="1"/>
  <c r="B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R334" i="1"/>
  <c r="B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R335" i="1"/>
  <c r="B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R336" i="1"/>
  <c r="B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R337" i="1"/>
  <c r="B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R338" i="1"/>
  <c r="B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R339" i="1"/>
  <c r="B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R340" i="1"/>
  <c r="B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R341" i="1"/>
  <c r="B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R342" i="1"/>
  <c r="B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R343" i="1"/>
  <c r="B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R344" i="1"/>
  <c r="B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R345" i="1"/>
  <c r="B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R346" i="1"/>
  <c r="B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R347" i="1"/>
  <c r="B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R348" i="1"/>
  <c r="B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R349" i="1"/>
  <c r="B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R350" i="1"/>
  <c r="B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R351" i="1"/>
  <c r="B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R352" i="1"/>
  <c r="B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R353" i="1"/>
  <c r="B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R354" i="1"/>
  <c r="B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R355" i="1"/>
  <c r="B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R356" i="1"/>
  <c r="B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R357" i="1"/>
  <c r="B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R358" i="1"/>
  <c r="B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R359" i="1"/>
  <c r="B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R360" i="1"/>
  <c r="B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R361" i="1"/>
  <c r="B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R362" i="1"/>
  <c r="B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R363" i="1"/>
  <c r="B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R364" i="1"/>
  <c r="B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R365" i="1"/>
  <c r="B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R366" i="1"/>
  <c r="B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R367" i="1"/>
  <c r="B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R368" i="1"/>
  <c r="B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R369" i="1"/>
  <c r="B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R370" i="1"/>
  <c r="B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R371" i="1"/>
  <c r="B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R372" i="1"/>
  <c r="B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R373" i="1"/>
  <c r="B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R374" i="1"/>
  <c r="B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R375" i="1"/>
  <c r="B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R376" i="1"/>
  <c r="B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R377" i="1"/>
  <c r="B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R378" i="1"/>
  <c r="B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R379" i="1"/>
  <c r="B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R380" i="1"/>
  <c r="B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R381" i="1"/>
  <c r="B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R382" i="1"/>
  <c r="B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R383" i="1"/>
  <c r="B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R384" i="1"/>
  <c r="B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R385" i="1"/>
  <c r="B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R386" i="1"/>
  <c r="B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R387" i="1"/>
  <c r="B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R388" i="1"/>
  <c r="B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R389" i="1"/>
  <c r="B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R390" i="1"/>
  <c r="B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R391" i="1"/>
  <c r="B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R392" i="1"/>
  <c r="B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R393" i="1"/>
  <c r="B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R394" i="1"/>
  <c r="B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R395" i="1"/>
  <c r="B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R396" i="1"/>
  <c r="B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R397" i="1"/>
  <c r="B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R398" i="1"/>
  <c r="B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R399" i="1"/>
  <c r="B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R400" i="1"/>
  <c r="B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R401" i="1"/>
  <c r="B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R402" i="1"/>
  <c r="B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R403" i="1"/>
  <c r="B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R404" i="1"/>
  <c r="B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R405" i="1"/>
  <c r="B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R406" i="1"/>
  <c r="B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R407" i="1"/>
  <c r="B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R408" i="1"/>
  <c r="B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R409" i="1"/>
  <c r="B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R410" i="1"/>
  <c r="B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R411" i="1"/>
  <c r="B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R412" i="1"/>
  <c r="B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R413" i="1"/>
  <c r="B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R414" i="1"/>
  <c r="B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R415" i="1"/>
  <c r="B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R416" i="1"/>
  <c r="B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R417" i="1"/>
  <c r="B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R418" i="1"/>
  <c r="B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R419" i="1"/>
  <c r="B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R420" i="1"/>
  <c r="B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R421" i="1"/>
  <c r="B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R422" i="1"/>
  <c r="B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R423" i="1"/>
  <c r="B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R424" i="1"/>
  <c r="B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R425" i="1"/>
  <c r="B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R426" i="1"/>
  <c r="B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R427" i="1"/>
  <c r="B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R428" i="1"/>
  <c r="B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R429" i="1"/>
  <c r="B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R430" i="1"/>
  <c r="B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R431" i="1"/>
  <c r="B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R432" i="1"/>
  <c r="B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R433" i="1"/>
  <c r="B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R434" i="1"/>
  <c r="B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R435" i="1"/>
  <c r="B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R436" i="1"/>
  <c r="B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R437" i="1"/>
  <c r="B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R438" i="1"/>
  <c r="B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R439" i="1"/>
  <c r="B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R440" i="1"/>
  <c r="B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R441" i="1"/>
  <c r="B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R442" i="1"/>
  <c r="B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R443" i="1"/>
  <c r="B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R444" i="1"/>
  <c r="B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R445" i="1"/>
  <c r="B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R446" i="1"/>
  <c r="B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R447" i="1"/>
  <c r="B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R448" i="1"/>
  <c r="B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R449" i="1"/>
  <c r="B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R450" i="1"/>
  <c r="B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R451" i="1"/>
  <c r="B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R452" i="1"/>
  <c r="B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R453" i="1"/>
  <c r="B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R454" i="1"/>
  <c r="B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R455" i="1"/>
  <c r="B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R456" i="1"/>
  <c r="B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R457" i="1"/>
  <c r="B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R458" i="1"/>
  <c r="B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R459" i="1"/>
  <c r="B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R460" i="1"/>
  <c r="B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R461" i="1"/>
  <c r="B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R462" i="1"/>
  <c r="B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R463" i="1"/>
  <c r="B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R464" i="1"/>
  <c r="B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R465" i="1"/>
  <c r="B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R466" i="1"/>
  <c r="B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R467" i="1"/>
  <c r="B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R468" i="1"/>
  <c r="B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R469" i="1"/>
  <c r="B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R470" i="1"/>
  <c r="B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R471" i="1"/>
  <c r="B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R472" i="1"/>
  <c r="B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R473" i="1"/>
  <c r="B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R474" i="1"/>
  <c r="B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R475" i="1"/>
  <c r="B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R476" i="1"/>
  <c r="B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R477" i="1"/>
  <c r="B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R478" i="1"/>
  <c r="B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R479" i="1"/>
  <c r="B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R480" i="1"/>
  <c r="B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R481" i="1"/>
  <c r="B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R482" i="1"/>
  <c r="B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R483" i="1"/>
  <c r="B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R484" i="1"/>
  <c r="B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R485" i="1"/>
  <c r="B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R486" i="1"/>
  <c r="B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R487" i="1"/>
  <c r="B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R488" i="1"/>
  <c r="B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R489" i="1"/>
  <c r="B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R490" i="1"/>
  <c r="B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R491" i="1"/>
  <c r="B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R492" i="1"/>
  <c r="B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R493" i="1"/>
  <c r="B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R494" i="1"/>
  <c r="B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R495" i="1"/>
  <c r="B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R496" i="1"/>
  <c r="B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R497" i="1"/>
  <c r="B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R498" i="1"/>
  <c r="B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R499" i="1"/>
  <c r="B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R500" i="1"/>
  <c r="B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R501" i="1"/>
  <c r="B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R502" i="1"/>
  <c r="B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R503" i="1"/>
  <c r="B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R504" i="1"/>
  <c r="B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R505" i="1"/>
  <c r="B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R506" i="1"/>
  <c r="B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R507" i="1"/>
  <c r="B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R508" i="1"/>
  <c r="B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R509" i="1"/>
  <c r="B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R510" i="1"/>
  <c r="B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R511" i="1"/>
  <c r="B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R512" i="1"/>
  <c r="B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R513" i="1"/>
  <c r="B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R514" i="1"/>
  <c r="B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R515" i="1"/>
  <c r="B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R516" i="1"/>
  <c r="B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R517" i="1"/>
  <c r="B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R518" i="1"/>
  <c r="B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R519" i="1"/>
  <c r="B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R520" i="1"/>
  <c r="B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R521" i="1"/>
  <c r="B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R522" i="1"/>
  <c r="B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R523" i="1"/>
  <c r="B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R524" i="1"/>
  <c r="B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R525" i="1"/>
  <c r="B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R526" i="1"/>
  <c r="B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R527" i="1"/>
  <c r="B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R528" i="1"/>
  <c r="B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R529" i="1"/>
  <c r="B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R530" i="1"/>
  <c r="B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R531" i="1"/>
  <c r="B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R532" i="1"/>
  <c r="B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R533" i="1"/>
  <c r="B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R534" i="1"/>
  <c r="B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R535" i="1"/>
  <c r="B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R536" i="1"/>
  <c r="B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R537" i="1"/>
  <c r="B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R538" i="1"/>
  <c r="B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R539" i="1"/>
  <c r="B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R540" i="1"/>
  <c r="B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R541" i="1"/>
  <c r="B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R542" i="1"/>
  <c r="B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R543" i="1"/>
  <c r="B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R544" i="1"/>
  <c r="B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R545" i="1"/>
  <c r="B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R546" i="1"/>
  <c r="B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R547" i="1"/>
  <c r="B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R548" i="1"/>
  <c r="B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R549" i="1"/>
  <c r="B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R550" i="1"/>
  <c r="B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R551" i="1"/>
  <c r="B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R552" i="1"/>
  <c r="B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R553" i="1"/>
  <c r="B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R554" i="1"/>
  <c r="B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R555" i="1"/>
  <c r="B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R556" i="1"/>
  <c r="B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R557" i="1"/>
  <c r="B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R558" i="1"/>
  <c r="B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R559" i="1"/>
  <c r="B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R560" i="1"/>
  <c r="B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R561" i="1"/>
  <c r="B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R562" i="1"/>
  <c r="B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R563" i="1"/>
  <c r="B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R564" i="1"/>
  <c r="B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R565" i="1"/>
  <c r="B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R566" i="1"/>
  <c r="B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R567" i="1"/>
  <c r="B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R568" i="1"/>
  <c r="B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R569" i="1"/>
  <c r="B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R570" i="1"/>
  <c r="B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R571" i="1"/>
  <c r="B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R572" i="1"/>
  <c r="B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R573" i="1"/>
  <c r="B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R574" i="1"/>
  <c r="B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R575" i="1"/>
  <c r="B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R576" i="1"/>
  <c r="B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R577" i="1"/>
  <c r="B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R578" i="1"/>
  <c r="B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R579" i="1"/>
  <c r="B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R580" i="1"/>
  <c r="B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R581" i="1"/>
  <c r="B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R582" i="1"/>
  <c r="B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R583" i="1"/>
  <c r="B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R584" i="1"/>
  <c r="B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R585" i="1"/>
  <c r="B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R586" i="1"/>
  <c r="B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R587" i="1"/>
  <c r="B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R588" i="1"/>
  <c r="B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R589" i="1"/>
  <c r="B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R590" i="1"/>
  <c r="B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R591" i="1"/>
  <c r="B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R592" i="1"/>
  <c r="B593" i="1"/>
  <c r="D593" i="1"/>
  <c r="E593" i="1"/>
  <c r="F593" i="1"/>
  <c r="G593" i="1"/>
  <c r="H593" i="1"/>
  <c r="I593" i="1"/>
  <c r="J593" i="1"/>
  <c r="K593" i="1"/>
  <c r="L593" i="1"/>
  <c r="M593" i="1"/>
  <c r="N593" i="1"/>
  <c r="O593" i="1"/>
  <c r="R593" i="1"/>
  <c r="B594" i="1"/>
  <c r="D594" i="1"/>
  <c r="E594" i="1"/>
  <c r="F594" i="1"/>
  <c r="G594" i="1"/>
  <c r="H594" i="1"/>
  <c r="I594" i="1"/>
  <c r="J594" i="1"/>
  <c r="K594" i="1"/>
  <c r="L594" i="1"/>
  <c r="M594" i="1"/>
  <c r="N594" i="1"/>
  <c r="O594" i="1"/>
  <c r="R594" i="1"/>
  <c r="B595" i="1"/>
  <c r="D595" i="1"/>
  <c r="E595" i="1"/>
  <c r="F595" i="1"/>
  <c r="G595" i="1"/>
  <c r="H595" i="1"/>
  <c r="I595" i="1"/>
  <c r="J595" i="1"/>
  <c r="K595" i="1"/>
  <c r="L595" i="1"/>
  <c r="M595" i="1"/>
  <c r="N595" i="1"/>
  <c r="O595" i="1"/>
  <c r="R595" i="1"/>
  <c r="B596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R596" i="1"/>
  <c r="B597" i="1"/>
  <c r="D597" i="1"/>
  <c r="E597" i="1"/>
  <c r="F597" i="1"/>
  <c r="G597" i="1"/>
  <c r="H597" i="1"/>
  <c r="I597" i="1"/>
  <c r="J597" i="1"/>
  <c r="K597" i="1"/>
  <c r="L597" i="1"/>
  <c r="M597" i="1"/>
  <c r="N597" i="1"/>
  <c r="O597" i="1"/>
  <c r="R597" i="1"/>
  <c r="B598" i="1"/>
  <c r="D598" i="1"/>
  <c r="E598" i="1"/>
  <c r="F598" i="1"/>
  <c r="G598" i="1"/>
  <c r="H598" i="1"/>
  <c r="I598" i="1"/>
  <c r="J598" i="1"/>
  <c r="K598" i="1"/>
  <c r="L598" i="1"/>
  <c r="M598" i="1"/>
  <c r="N598" i="1"/>
  <c r="O598" i="1"/>
  <c r="R598" i="1"/>
  <c r="B599" i="1"/>
  <c r="D599" i="1"/>
  <c r="E599" i="1"/>
  <c r="F599" i="1"/>
  <c r="G599" i="1"/>
  <c r="H599" i="1"/>
  <c r="I599" i="1"/>
  <c r="J599" i="1"/>
  <c r="K599" i="1"/>
  <c r="L599" i="1"/>
  <c r="M599" i="1"/>
  <c r="N599" i="1"/>
  <c r="O599" i="1"/>
  <c r="R599" i="1"/>
  <c r="B600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R600" i="1"/>
  <c r="B601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R601" i="1"/>
  <c r="B602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R602" i="1"/>
  <c r="B603" i="1"/>
  <c r="D603" i="1"/>
  <c r="E603" i="1"/>
  <c r="F603" i="1"/>
  <c r="G603" i="1"/>
  <c r="H603" i="1"/>
  <c r="I603" i="1"/>
  <c r="J603" i="1"/>
  <c r="K603" i="1"/>
  <c r="L603" i="1"/>
  <c r="M603" i="1"/>
  <c r="N603" i="1"/>
  <c r="O603" i="1"/>
  <c r="R603" i="1"/>
  <c r="B604" i="1"/>
  <c r="D604" i="1"/>
  <c r="E604" i="1"/>
  <c r="F604" i="1"/>
  <c r="G604" i="1"/>
  <c r="H604" i="1"/>
  <c r="I604" i="1"/>
  <c r="J604" i="1"/>
  <c r="K604" i="1"/>
  <c r="L604" i="1"/>
  <c r="M604" i="1"/>
  <c r="N604" i="1"/>
  <c r="O604" i="1"/>
  <c r="R604" i="1"/>
  <c r="B605" i="1"/>
  <c r="D605" i="1"/>
  <c r="E605" i="1"/>
  <c r="F605" i="1"/>
  <c r="G605" i="1"/>
  <c r="H605" i="1"/>
  <c r="I605" i="1"/>
  <c r="J605" i="1"/>
  <c r="K605" i="1"/>
  <c r="L605" i="1"/>
  <c r="M605" i="1"/>
  <c r="N605" i="1"/>
  <c r="O605" i="1"/>
  <c r="R605" i="1"/>
  <c r="B606" i="1"/>
  <c r="D606" i="1"/>
  <c r="E606" i="1"/>
  <c r="F606" i="1"/>
  <c r="G606" i="1"/>
  <c r="H606" i="1"/>
  <c r="I606" i="1"/>
  <c r="J606" i="1"/>
  <c r="K606" i="1"/>
  <c r="L606" i="1"/>
  <c r="M606" i="1"/>
  <c r="N606" i="1"/>
  <c r="O606" i="1"/>
  <c r="R606" i="1"/>
  <c r="B607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R607" i="1"/>
  <c r="B608" i="1"/>
  <c r="D608" i="1"/>
  <c r="E608" i="1"/>
  <c r="F608" i="1"/>
  <c r="G608" i="1"/>
  <c r="H608" i="1"/>
  <c r="I608" i="1"/>
  <c r="J608" i="1"/>
  <c r="K608" i="1"/>
  <c r="L608" i="1"/>
  <c r="M608" i="1"/>
  <c r="N608" i="1"/>
  <c r="O608" i="1"/>
  <c r="R608" i="1"/>
  <c r="B609" i="1"/>
  <c r="D609" i="1"/>
  <c r="E609" i="1"/>
  <c r="F609" i="1"/>
  <c r="G609" i="1"/>
  <c r="H609" i="1"/>
  <c r="I609" i="1"/>
  <c r="J609" i="1"/>
  <c r="K609" i="1"/>
  <c r="L609" i="1"/>
  <c r="M609" i="1"/>
  <c r="N609" i="1"/>
  <c r="O609" i="1"/>
  <c r="R609" i="1"/>
  <c r="B610" i="1"/>
  <c r="D610" i="1"/>
  <c r="E610" i="1"/>
  <c r="F610" i="1"/>
  <c r="G610" i="1"/>
  <c r="H610" i="1"/>
  <c r="I610" i="1"/>
  <c r="J610" i="1"/>
  <c r="K610" i="1"/>
  <c r="L610" i="1"/>
  <c r="M610" i="1"/>
  <c r="N610" i="1"/>
  <c r="O610" i="1"/>
  <c r="R610" i="1"/>
  <c r="B611" i="1"/>
  <c r="D611" i="1"/>
  <c r="E611" i="1"/>
  <c r="F611" i="1"/>
  <c r="G611" i="1"/>
  <c r="H611" i="1"/>
  <c r="I611" i="1"/>
  <c r="J611" i="1"/>
  <c r="K611" i="1"/>
  <c r="L611" i="1"/>
  <c r="M611" i="1"/>
  <c r="N611" i="1"/>
  <c r="O611" i="1"/>
  <c r="R611" i="1"/>
  <c r="B612" i="1"/>
  <c r="D612" i="1"/>
  <c r="E612" i="1"/>
  <c r="F612" i="1"/>
  <c r="G612" i="1"/>
  <c r="H612" i="1"/>
  <c r="I612" i="1"/>
  <c r="J612" i="1"/>
  <c r="K612" i="1"/>
  <c r="L612" i="1"/>
  <c r="M612" i="1"/>
  <c r="N612" i="1"/>
  <c r="O612" i="1"/>
  <c r="R612" i="1"/>
  <c r="B613" i="1"/>
  <c r="D613" i="1"/>
  <c r="E613" i="1"/>
  <c r="F613" i="1"/>
  <c r="G613" i="1"/>
  <c r="H613" i="1"/>
  <c r="I613" i="1"/>
  <c r="J613" i="1"/>
  <c r="K613" i="1"/>
  <c r="L613" i="1"/>
  <c r="M613" i="1"/>
  <c r="N613" i="1"/>
  <c r="O613" i="1"/>
  <c r="R613" i="1"/>
  <c r="B614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R614" i="1"/>
  <c r="B615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R615" i="1"/>
  <c r="B616" i="1"/>
  <c r="D616" i="1"/>
  <c r="E616" i="1"/>
  <c r="F616" i="1"/>
  <c r="G616" i="1"/>
  <c r="H616" i="1"/>
  <c r="I616" i="1"/>
  <c r="J616" i="1"/>
  <c r="K616" i="1"/>
  <c r="L616" i="1"/>
  <c r="M616" i="1"/>
  <c r="N616" i="1"/>
  <c r="O616" i="1"/>
  <c r="R616" i="1"/>
  <c r="B617" i="1"/>
  <c r="D617" i="1"/>
  <c r="E617" i="1"/>
  <c r="F617" i="1"/>
  <c r="G617" i="1"/>
  <c r="H617" i="1"/>
  <c r="I617" i="1"/>
  <c r="J617" i="1"/>
  <c r="K617" i="1"/>
  <c r="L617" i="1"/>
  <c r="M617" i="1"/>
  <c r="N617" i="1"/>
  <c r="O617" i="1"/>
  <c r="R617" i="1"/>
  <c r="B618" i="1"/>
  <c r="D618" i="1"/>
  <c r="E618" i="1"/>
  <c r="F618" i="1"/>
  <c r="G618" i="1"/>
  <c r="H618" i="1"/>
  <c r="I618" i="1"/>
  <c r="J618" i="1"/>
  <c r="K618" i="1"/>
  <c r="L618" i="1"/>
  <c r="M618" i="1"/>
  <c r="N618" i="1"/>
  <c r="O618" i="1"/>
  <c r="R618" i="1"/>
  <c r="B619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R619" i="1"/>
  <c r="B620" i="1"/>
  <c r="D620" i="1"/>
  <c r="E620" i="1"/>
  <c r="F620" i="1"/>
  <c r="G620" i="1"/>
  <c r="H620" i="1"/>
  <c r="I620" i="1"/>
  <c r="J620" i="1"/>
  <c r="K620" i="1"/>
  <c r="L620" i="1"/>
  <c r="M620" i="1"/>
  <c r="N620" i="1"/>
  <c r="O620" i="1"/>
  <c r="R620" i="1"/>
  <c r="B621" i="1"/>
  <c r="D621" i="1"/>
  <c r="E621" i="1"/>
  <c r="F621" i="1"/>
  <c r="G621" i="1"/>
  <c r="H621" i="1"/>
  <c r="I621" i="1"/>
  <c r="J621" i="1"/>
  <c r="K621" i="1"/>
  <c r="L621" i="1"/>
  <c r="M621" i="1"/>
  <c r="N621" i="1"/>
  <c r="O621" i="1"/>
  <c r="R621" i="1"/>
  <c r="B622" i="1"/>
  <c r="D622" i="1"/>
  <c r="E622" i="1"/>
  <c r="F622" i="1"/>
  <c r="G622" i="1"/>
  <c r="H622" i="1"/>
  <c r="I622" i="1"/>
  <c r="J622" i="1"/>
  <c r="K622" i="1"/>
  <c r="L622" i="1"/>
  <c r="M622" i="1"/>
  <c r="N622" i="1"/>
  <c r="O622" i="1"/>
  <c r="R622" i="1"/>
  <c r="B623" i="1"/>
  <c r="D623" i="1"/>
  <c r="E623" i="1"/>
  <c r="F623" i="1"/>
  <c r="G623" i="1"/>
  <c r="H623" i="1"/>
  <c r="I623" i="1"/>
  <c r="J623" i="1"/>
  <c r="K623" i="1"/>
  <c r="L623" i="1"/>
  <c r="M623" i="1"/>
  <c r="N623" i="1"/>
  <c r="O623" i="1"/>
  <c r="R623" i="1"/>
  <c r="B624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R624" i="1"/>
  <c r="B625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R625" i="1"/>
  <c r="B626" i="1"/>
  <c r="D626" i="1"/>
  <c r="E626" i="1"/>
  <c r="F626" i="1"/>
  <c r="G626" i="1"/>
  <c r="H626" i="1"/>
  <c r="I626" i="1"/>
  <c r="J626" i="1"/>
  <c r="K626" i="1"/>
  <c r="L626" i="1"/>
  <c r="M626" i="1"/>
  <c r="N626" i="1"/>
  <c r="O626" i="1"/>
  <c r="R626" i="1"/>
  <c r="B627" i="1"/>
  <c r="D627" i="1"/>
  <c r="E627" i="1"/>
  <c r="F627" i="1"/>
  <c r="G627" i="1"/>
  <c r="H627" i="1"/>
  <c r="I627" i="1"/>
  <c r="J627" i="1"/>
  <c r="K627" i="1"/>
  <c r="L627" i="1"/>
  <c r="M627" i="1"/>
  <c r="N627" i="1"/>
  <c r="O627" i="1"/>
  <c r="R627" i="1"/>
  <c r="B628" i="1"/>
  <c r="D628" i="1"/>
  <c r="E628" i="1"/>
  <c r="F628" i="1"/>
  <c r="G628" i="1"/>
  <c r="H628" i="1"/>
  <c r="I628" i="1"/>
  <c r="J628" i="1"/>
  <c r="K628" i="1"/>
  <c r="L628" i="1"/>
  <c r="M628" i="1"/>
  <c r="N628" i="1"/>
  <c r="O628" i="1"/>
  <c r="R628" i="1"/>
  <c r="B629" i="1"/>
  <c r="D629" i="1"/>
  <c r="E629" i="1"/>
  <c r="F629" i="1"/>
  <c r="G629" i="1"/>
  <c r="H629" i="1"/>
  <c r="I629" i="1"/>
  <c r="J629" i="1"/>
  <c r="K629" i="1"/>
  <c r="L629" i="1"/>
  <c r="M629" i="1"/>
  <c r="N629" i="1"/>
  <c r="O629" i="1"/>
  <c r="R629" i="1"/>
  <c r="B630" i="1"/>
  <c r="D630" i="1"/>
  <c r="E630" i="1"/>
  <c r="F630" i="1"/>
  <c r="G630" i="1"/>
  <c r="H630" i="1"/>
  <c r="I630" i="1"/>
  <c r="J630" i="1"/>
  <c r="K630" i="1"/>
  <c r="L630" i="1"/>
  <c r="M630" i="1"/>
  <c r="N630" i="1"/>
  <c r="O630" i="1"/>
  <c r="R630" i="1"/>
  <c r="B631" i="1"/>
  <c r="D631" i="1"/>
  <c r="E631" i="1"/>
  <c r="F631" i="1"/>
  <c r="G631" i="1"/>
  <c r="H631" i="1"/>
  <c r="I631" i="1"/>
  <c r="J631" i="1"/>
  <c r="K631" i="1"/>
  <c r="L631" i="1"/>
  <c r="M631" i="1"/>
  <c r="N631" i="1"/>
  <c r="O631" i="1"/>
  <c r="R631" i="1"/>
  <c r="B632" i="1"/>
  <c r="D632" i="1"/>
  <c r="E632" i="1"/>
  <c r="F632" i="1"/>
  <c r="G632" i="1"/>
  <c r="H632" i="1"/>
  <c r="I632" i="1"/>
  <c r="J632" i="1"/>
  <c r="K632" i="1"/>
  <c r="L632" i="1"/>
  <c r="M632" i="1"/>
  <c r="N632" i="1"/>
  <c r="O632" i="1"/>
  <c r="R632" i="1"/>
  <c r="B633" i="1"/>
  <c r="D633" i="1"/>
  <c r="E633" i="1"/>
  <c r="F633" i="1"/>
  <c r="G633" i="1"/>
  <c r="H633" i="1"/>
  <c r="I633" i="1"/>
  <c r="J633" i="1"/>
  <c r="K633" i="1"/>
  <c r="L633" i="1"/>
  <c r="M633" i="1"/>
  <c r="N633" i="1"/>
  <c r="O633" i="1"/>
  <c r="R633" i="1"/>
  <c r="B634" i="1"/>
  <c r="D634" i="1"/>
  <c r="E634" i="1"/>
  <c r="F634" i="1"/>
  <c r="G634" i="1"/>
  <c r="H634" i="1"/>
  <c r="I634" i="1"/>
  <c r="J634" i="1"/>
  <c r="K634" i="1"/>
  <c r="L634" i="1"/>
  <c r="M634" i="1"/>
  <c r="N634" i="1"/>
  <c r="O634" i="1"/>
  <c r="R634" i="1"/>
  <c r="B635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R635" i="1"/>
  <c r="B636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R636" i="1"/>
  <c r="B637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R637" i="1"/>
  <c r="B638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R638" i="1"/>
  <c r="B639" i="1"/>
  <c r="D639" i="1"/>
  <c r="E639" i="1"/>
  <c r="F639" i="1"/>
  <c r="G639" i="1"/>
  <c r="H639" i="1"/>
  <c r="I639" i="1"/>
  <c r="J639" i="1"/>
  <c r="K639" i="1"/>
  <c r="L639" i="1"/>
  <c r="M639" i="1"/>
  <c r="N639" i="1"/>
  <c r="O639" i="1"/>
  <c r="R639" i="1"/>
  <c r="B640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R640" i="1"/>
  <c r="B641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R641" i="1"/>
  <c r="B642" i="1"/>
  <c r="D642" i="1"/>
  <c r="E642" i="1"/>
  <c r="F642" i="1"/>
  <c r="G642" i="1"/>
  <c r="H642" i="1"/>
  <c r="I642" i="1"/>
  <c r="J642" i="1"/>
  <c r="K642" i="1"/>
  <c r="L642" i="1"/>
  <c r="M642" i="1"/>
  <c r="N642" i="1"/>
  <c r="O642" i="1"/>
  <c r="R642" i="1"/>
  <c r="B643" i="1"/>
  <c r="D643" i="1"/>
  <c r="E643" i="1"/>
  <c r="F643" i="1"/>
  <c r="G643" i="1"/>
  <c r="H643" i="1"/>
  <c r="I643" i="1"/>
  <c r="J643" i="1"/>
  <c r="K643" i="1"/>
  <c r="L643" i="1"/>
  <c r="M643" i="1"/>
  <c r="N643" i="1"/>
  <c r="O643" i="1"/>
  <c r="R643" i="1"/>
  <c r="B644" i="1"/>
  <c r="D644" i="1"/>
  <c r="E644" i="1"/>
  <c r="F644" i="1"/>
  <c r="G644" i="1"/>
  <c r="H644" i="1"/>
  <c r="I644" i="1"/>
  <c r="J644" i="1"/>
  <c r="K644" i="1"/>
  <c r="L644" i="1"/>
  <c r="M644" i="1"/>
  <c r="N644" i="1"/>
  <c r="O644" i="1"/>
  <c r="R644" i="1"/>
  <c r="B645" i="1"/>
  <c r="D645" i="1"/>
  <c r="E645" i="1"/>
  <c r="F645" i="1"/>
  <c r="G645" i="1"/>
  <c r="H645" i="1"/>
  <c r="I645" i="1"/>
  <c r="J645" i="1"/>
  <c r="K645" i="1"/>
  <c r="L645" i="1"/>
  <c r="M645" i="1"/>
  <c r="N645" i="1"/>
  <c r="O645" i="1"/>
  <c r="R645" i="1"/>
  <c r="B646" i="1"/>
  <c r="D646" i="1"/>
  <c r="E646" i="1"/>
  <c r="F646" i="1"/>
  <c r="G646" i="1"/>
  <c r="H646" i="1"/>
  <c r="I646" i="1"/>
  <c r="J646" i="1"/>
  <c r="K646" i="1"/>
  <c r="L646" i="1"/>
  <c r="M646" i="1"/>
  <c r="N646" i="1"/>
  <c r="O646" i="1"/>
  <c r="R646" i="1"/>
  <c r="B647" i="1"/>
  <c r="D647" i="1"/>
  <c r="E647" i="1"/>
  <c r="F647" i="1"/>
  <c r="G647" i="1"/>
  <c r="H647" i="1"/>
  <c r="I647" i="1"/>
  <c r="J647" i="1"/>
  <c r="K647" i="1"/>
  <c r="L647" i="1"/>
  <c r="M647" i="1"/>
  <c r="N647" i="1"/>
  <c r="O647" i="1"/>
  <c r="R647" i="1"/>
  <c r="B648" i="1"/>
  <c r="D648" i="1"/>
  <c r="E648" i="1"/>
  <c r="F648" i="1"/>
  <c r="G648" i="1"/>
  <c r="H648" i="1"/>
  <c r="I648" i="1"/>
  <c r="J648" i="1"/>
  <c r="K648" i="1"/>
  <c r="L648" i="1"/>
  <c r="M648" i="1"/>
  <c r="N648" i="1"/>
  <c r="O648" i="1"/>
  <c r="R648" i="1"/>
  <c r="B649" i="1"/>
  <c r="D649" i="1"/>
  <c r="E649" i="1"/>
  <c r="F649" i="1"/>
  <c r="G649" i="1"/>
  <c r="H649" i="1"/>
  <c r="I649" i="1"/>
  <c r="J649" i="1"/>
  <c r="K649" i="1"/>
  <c r="L649" i="1"/>
  <c r="M649" i="1"/>
  <c r="N649" i="1"/>
  <c r="O649" i="1"/>
  <c r="R649" i="1"/>
  <c r="B650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R650" i="1"/>
  <c r="B651" i="1"/>
  <c r="D651" i="1"/>
  <c r="E651" i="1"/>
  <c r="F651" i="1"/>
  <c r="G651" i="1"/>
  <c r="H651" i="1"/>
  <c r="I651" i="1"/>
  <c r="J651" i="1"/>
  <c r="K651" i="1"/>
  <c r="L651" i="1"/>
  <c r="M651" i="1"/>
  <c r="N651" i="1"/>
  <c r="R651" i="1"/>
  <c r="B652" i="1"/>
  <c r="D652" i="1"/>
  <c r="E652" i="1"/>
  <c r="F652" i="1"/>
  <c r="G652" i="1"/>
  <c r="H652" i="1"/>
  <c r="I652" i="1"/>
  <c r="J652" i="1"/>
  <c r="K652" i="1"/>
  <c r="L652" i="1"/>
  <c r="M652" i="1"/>
  <c r="N652" i="1"/>
  <c r="O652" i="1"/>
  <c r="R652" i="1"/>
  <c r="B653" i="1"/>
  <c r="D653" i="1"/>
  <c r="E653" i="1"/>
  <c r="F653" i="1"/>
  <c r="G653" i="1"/>
  <c r="H653" i="1"/>
  <c r="I653" i="1"/>
  <c r="J653" i="1"/>
  <c r="K653" i="1"/>
  <c r="L653" i="1"/>
  <c r="M653" i="1"/>
  <c r="N653" i="1"/>
  <c r="O653" i="1"/>
  <c r="R653" i="1"/>
  <c r="B654" i="1"/>
  <c r="D654" i="1"/>
  <c r="E654" i="1"/>
  <c r="F654" i="1"/>
  <c r="G654" i="1"/>
  <c r="H654" i="1"/>
  <c r="I654" i="1"/>
  <c r="J654" i="1"/>
  <c r="K654" i="1"/>
  <c r="L654" i="1"/>
  <c r="M654" i="1"/>
  <c r="N654" i="1"/>
  <c r="O654" i="1"/>
  <c r="R654" i="1"/>
  <c r="B655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R655" i="1"/>
  <c r="B656" i="1"/>
  <c r="D656" i="1"/>
  <c r="E656" i="1"/>
  <c r="F656" i="1"/>
  <c r="G656" i="1"/>
  <c r="H656" i="1"/>
  <c r="I656" i="1"/>
  <c r="J656" i="1"/>
  <c r="K656" i="1"/>
  <c r="L656" i="1"/>
  <c r="M656" i="1"/>
  <c r="N656" i="1"/>
  <c r="O656" i="1"/>
  <c r="R656" i="1"/>
  <c r="B657" i="1"/>
  <c r="D657" i="1"/>
  <c r="E657" i="1"/>
  <c r="F657" i="1"/>
  <c r="G657" i="1"/>
  <c r="H657" i="1"/>
  <c r="I657" i="1"/>
  <c r="J657" i="1"/>
  <c r="K657" i="1"/>
  <c r="L657" i="1"/>
  <c r="M657" i="1"/>
  <c r="N657" i="1"/>
  <c r="O657" i="1"/>
  <c r="R657" i="1"/>
  <c r="B658" i="1"/>
  <c r="D658" i="1"/>
  <c r="E658" i="1"/>
  <c r="F658" i="1"/>
  <c r="G658" i="1"/>
  <c r="H658" i="1"/>
  <c r="I658" i="1"/>
  <c r="J658" i="1"/>
  <c r="K658" i="1"/>
  <c r="L658" i="1"/>
  <c r="M658" i="1"/>
  <c r="N658" i="1"/>
  <c r="O658" i="1"/>
  <c r="R658" i="1"/>
  <c r="B659" i="1"/>
  <c r="D659" i="1"/>
  <c r="E659" i="1"/>
  <c r="F659" i="1"/>
  <c r="G659" i="1"/>
  <c r="H659" i="1"/>
  <c r="I659" i="1"/>
  <c r="J659" i="1"/>
  <c r="K659" i="1"/>
  <c r="L659" i="1"/>
  <c r="M659" i="1"/>
  <c r="N659" i="1"/>
  <c r="O659" i="1"/>
  <c r="R659" i="1"/>
  <c r="B660" i="1"/>
  <c r="D660" i="1"/>
  <c r="E660" i="1"/>
  <c r="F660" i="1"/>
  <c r="G660" i="1"/>
  <c r="H660" i="1"/>
  <c r="I660" i="1"/>
  <c r="J660" i="1"/>
  <c r="K660" i="1"/>
  <c r="L660" i="1"/>
  <c r="M660" i="1"/>
  <c r="N660" i="1"/>
  <c r="O660" i="1"/>
  <c r="R660" i="1"/>
  <c r="B661" i="1"/>
  <c r="D661" i="1"/>
  <c r="E661" i="1"/>
  <c r="F661" i="1"/>
  <c r="G661" i="1"/>
  <c r="H661" i="1"/>
  <c r="I661" i="1"/>
  <c r="J661" i="1"/>
  <c r="K661" i="1"/>
  <c r="L661" i="1"/>
  <c r="M661" i="1"/>
  <c r="N661" i="1"/>
  <c r="O661" i="1"/>
  <c r="R661" i="1"/>
  <c r="B662" i="1"/>
  <c r="D662" i="1"/>
  <c r="E662" i="1"/>
  <c r="F662" i="1"/>
  <c r="G662" i="1"/>
  <c r="H662" i="1"/>
  <c r="I662" i="1"/>
  <c r="J662" i="1"/>
  <c r="K662" i="1"/>
  <c r="L662" i="1"/>
  <c r="M662" i="1"/>
  <c r="N662" i="1"/>
  <c r="O662" i="1"/>
  <c r="R662" i="1"/>
  <c r="B663" i="1"/>
  <c r="D663" i="1"/>
  <c r="E663" i="1"/>
  <c r="F663" i="1"/>
  <c r="G663" i="1"/>
  <c r="H663" i="1"/>
  <c r="I663" i="1"/>
  <c r="J663" i="1"/>
  <c r="K663" i="1"/>
  <c r="L663" i="1"/>
  <c r="M663" i="1"/>
  <c r="N663" i="1"/>
  <c r="O663" i="1"/>
  <c r="R663" i="1"/>
  <c r="B664" i="1"/>
  <c r="D664" i="1"/>
  <c r="E664" i="1"/>
  <c r="F664" i="1"/>
  <c r="G664" i="1"/>
  <c r="H664" i="1"/>
  <c r="I664" i="1"/>
  <c r="J664" i="1"/>
  <c r="K664" i="1"/>
  <c r="L664" i="1"/>
  <c r="M664" i="1"/>
  <c r="N664" i="1"/>
  <c r="O664" i="1"/>
  <c r="R664" i="1"/>
  <c r="B665" i="1"/>
  <c r="D665" i="1"/>
  <c r="E665" i="1"/>
  <c r="F665" i="1"/>
  <c r="G665" i="1"/>
  <c r="H665" i="1"/>
  <c r="I665" i="1"/>
  <c r="J665" i="1"/>
  <c r="K665" i="1"/>
  <c r="L665" i="1"/>
  <c r="M665" i="1"/>
  <c r="N665" i="1"/>
  <c r="O665" i="1"/>
  <c r="R665" i="1"/>
  <c r="B666" i="1"/>
  <c r="D666" i="1"/>
  <c r="E666" i="1"/>
  <c r="F666" i="1"/>
  <c r="G666" i="1"/>
  <c r="H666" i="1"/>
  <c r="I666" i="1"/>
  <c r="J666" i="1"/>
  <c r="K666" i="1"/>
  <c r="L666" i="1"/>
  <c r="M666" i="1"/>
  <c r="N666" i="1"/>
  <c r="O666" i="1"/>
  <c r="R666" i="1"/>
  <c r="B667" i="1"/>
  <c r="D667" i="1"/>
  <c r="E667" i="1"/>
  <c r="F667" i="1"/>
  <c r="G667" i="1"/>
  <c r="H667" i="1"/>
  <c r="I667" i="1"/>
  <c r="J667" i="1"/>
  <c r="K667" i="1"/>
  <c r="L667" i="1"/>
  <c r="M667" i="1"/>
  <c r="N667" i="1"/>
  <c r="O667" i="1"/>
  <c r="R667" i="1"/>
  <c r="B668" i="1"/>
  <c r="D668" i="1"/>
  <c r="E668" i="1"/>
  <c r="F668" i="1"/>
  <c r="G668" i="1"/>
  <c r="H668" i="1"/>
  <c r="I668" i="1"/>
  <c r="J668" i="1"/>
  <c r="K668" i="1"/>
  <c r="L668" i="1"/>
  <c r="M668" i="1"/>
  <c r="N668" i="1"/>
  <c r="O668" i="1"/>
  <c r="R668" i="1"/>
</calcChain>
</file>

<file path=xl/sharedStrings.xml><?xml version="1.0" encoding="utf-8"?>
<sst xmlns="http://schemas.openxmlformats.org/spreadsheetml/2006/main" count="3" uniqueCount="3">
  <si>
    <t>="[46/4458] ОК4.1-1.1 Баранова Вера Анатольевна Курск, Станционная, 35  п. 1 - М 4.1.5, [46/2141] М 4.1.4 - М 4.1.5, [46/2142] М 4.1.5 - ГОК4.1.5.1 Курск, Республиканская, 8  п. 3, [46/2143] М 4.1.5 - М 4.1.6, [46/2286] М 4.1.5 - ОК415-1 ППК4.1.5 Курск, Р</t>
  </si>
  <si>
    <t>="[46/4458] ОК4.1-1.1 Баранова Вера Анатольевна Курск, Станционная, 35  п. 1 - М 4.1.5, [46/2141] М 4.1.4 - М 4.1.5, [46/2142] М 4.1.5 - ГОК4.1.5.1 Курск, Республиканская, 8  п. 3, [46/2286] М 4.1.5 - ОК415-1 ППК4.1.5 Курск, Республиканская, 1 б п. 1, [46</t>
  </si>
  <si>
    <t>="[46/2866] Т 1.2 - ОК1.5.3-3 ППК1.5.3 Курск, Дзержинского, 47 а п. 1, [46/858] Т 1.3 - Т 1.2, [46/859] Т 1.2 - Т 1.1, [46/2565] Т 1.2 - ОК1.1.1-33 Курск, Дзержинского, 49  п. 1, [46/2619] Т 1.2 - , [46/2807] Т 1.2 - ОК 1.1.1-82.1 ППК 1.1.1 Курск, Дзержин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</si>
</sst>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8"/>
  <sheetViews>
    <sheetView tabSelected="1" workbookViewId="0"/>
  </sheetViews>
  <sheetFormatPr defaultRowHeight="15" x14ac:dyDescent="0.25"/>
  <sheetData>
    <row r="1" spans="1:18" x14ac:dyDescent="0.25">
      <c r="A1" t="str">
        <f>"city_id"</f>
        <v>city_id</v>
      </c>
      <c r="B1" t="str">
        <f>"city_name"</f>
        <v>city_name</v>
      </c>
      <c r="C1" t="str">
        <f>"pnt_id"</f>
        <v>pnt_id</v>
      </c>
      <c r="D1" t="str">
        <f>"pnt_type_name"</f>
        <v>pnt_type_name</v>
      </c>
      <c r="E1" t="str">
        <f>"pnt_name"</f>
        <v>pnt_name</v>
      </c>
      <c r="F1" t="str">
        <f>"remark"</f>
        <v>remark</v>
      </c>
      <c r="G1" t="str">
        <f>"project_type_name"</f>
        <v>project_type_name</v>
      </c>
      <c r="H1" t="str">
        <f>"project_name"</f>
        <v>project_name</v>
      </c>
      <c r="I1" t="str">
        <f>"create_date"</f>
        <v>create_date</v>
      </c>
      <c r="J1" t="str">
        <f>"street_name"</f>
        <v>street_name</v>
      </c>
      <c r="K1" t="str">
        <f>"tc_number"</f>
        <v>tc_number</v>
      </c>
      <c r="L1" t="str">
        <f>"ref_supp_org"</f>
        <v>ref_supp_org</v>
      </c>
      <c r="M1" t="str">
        <f>"rent"</f>
        <v>rent</v>
      </c>
      <c r="N1" t="str">
        <f>"ustanovlena_legalno"</f>
        <v>ustanovlena_legalno</v>
      </c>
      <c r="O1" t="str">
        <f>"cab_named"</f>
        <v>cab_named</v>
      </c>
      <c r="P1" t="str">
        <f>"longitude"</f>
        <v>longitude</v>
      </c>
      <c r="Q1" t="str">
        <f>"latitude"</f>
        <v>latitude</v>
      </c>
      <c r="R1" t="str">
        <f>"eo_sap_code"</f>
        <v>eo_sap_code</v>
      </c>
    </row>
    <row r="2" spans="1:18" x14ac:dyDescent="0.25">
      <c r="A2">
        <v>907</v>
      </c>
      <c r="B2" t="str">
        <f t="shared" ref="B2:B65" si="0">"Курск"</f>
        <v>Курск</v>
      </c>
      <c r="C2">
        <v>859985</v>
      </c>
      <c r="D2" t="str">
        <f>"Опора"</f>
        <v>Опора</v>
      </c>
      <c r="E2" t="str">
        <f>"КИ 111 (64)"</f>
        <v>КИ 111 (64)</v>
      </c>
      <c r="F2" t="str">
        <f>""</f>
        <v/>
      </c>
      <c r="G2" t="str">
        <f>""</f>
        <v/>
      </c>
      <c r="H2" t="str">
        <f>""</f>
        <v/>
      </c>
      <c r="I2" t="str">
        <f>"23.05.2013"</f>
        <v>23.05.2013</v>
      </c>
      <c r="J2" t="str">
        <f>""</f>
        <v/>
      </c>
      <c r="K2" t="str">
        <f>"Отсутствует"</f>
        <v>Отсутствует</v>
      </c>
      <c r="L2" t="str">
        <f>"Комитет по управлению муниципальным имуществом города Курска"</f>
        <v>Комитет по управлению муниципальным имуществом города Курска</v>
      </c>
      <c r="M2" t="str">
        <f t="shared" ref="M2:N5" si="1">"Нет"</f>
        <v>Нет</v>
      </c>
      <c r="N2" t="str">
        <f t="shared" si="1"/>
        <v>Нет</v>
      </c>
      <c r="O2" t="str">
        <f>"[46/2442] М 5.2.13 - М 5.2.5"</f>
        <v>[46/2442] М 5.2.13 - М 5.2.5</v>
      </c>
      <c r="P2">
        <v>36.149675846099903</v>
      </c>
      <c r="Q2">
        <v>51.674032210179298</v>
      </c>
      <c r="R2" t="str">
        <f>""</f>
        <v/>
      </c>
    </row>
    <row r="3" spans="1:18" x14ac:dyDescent="0.25">
      <c r="A3">
        <v>907</v>
      </c>
      <c r="B3" t="str">
        <f t="shared" si="0"/>
        <v>Курск</v>
      </c>
      <c r="C3">
        <v>859984</v>
      </c>
      <c r="D3" t="str">
        <f>"Опора"</f>
        <v>Опора</v>
      </c>
      <c r="E3" t="str">
        <f>"КИ 111 (63)"</f>
        <v>КИ 111 (63)</v>
      </c>
      <c r="F3" t="str">
        <f>""</f>
        <v/>
      </c>
      <c r="G3" t="str">
        <f>""</f>
        <v/>
      </c>
      <c r="H3" t="str">
        <f>""</f>
        <v/>
      </c>
      <c r="I3" t="str">
        <f>"23.05.2013"</f>
        <v>23.05.2013</v>
      </c>
      <c r="J3" t="str">
        <f>""</f>
        <v/>
      </c>
      <c r="K3" t="str">
        <f>"Отсутствует"</f>
        <v>Отсутствует</v>
      </c>
      <c r="L3" t="str">
        <f>"Комитет по управлению муниципальным имуществом города Курска"</f>
        <v>Комитет по управлению муниципальным имуществом города Курска</v>
      </c>
      <c r="M3" t="str">
        <f t="shared" si="1"/>
        <v>Нет</v>
      </c>
      <c r="N3" t="str">
        <f t="shared" si="1"/>
        <v>Нет</v>
      </c>
      <c r="O3" t="str">
        <f>"[46/2442] М 5.2.13 - М 5.2.5"</f>
        <v>[46/2442] М 5.2.13 - М 5.2.5</v>
      </c>
      <c r="P3">
        <v>36.1494719982147</v>
      </c>
      <c r="Q3">
        <v>51.673712849551102</v>
      </c>
      <c r="R3" t="str">
        <f>""</f>
        <v/>
      </c>
    </row>
    <row r="4" spans="1:18" x14ac:dyDescent="0.25">
      <c r="A4">
        <v>907</v>
      </c>
      <c r="B4" t="str">
        <f t="shared" si="0"/>
        <v>Курск</v>
      </c>
      <c r="C4">
        <v>859983</v>
      </c>
      <c r="D4" t="str">
        <f>"Опора"</f>
        <v>Опора</v>
      </c>
      <c r="E4" t="str">
        <f>"КИ 111 (65)"</f>
        <v>КИ 111 (65)</v>
      </c>
      <c r="F4" t="str">
        <f>""</f>
        <v/>
      </c>
      <c r="G4" t="str">
        <f>""</f>
        <v/>
      </c>
      <c r="H4" t="str">
        <f>""</f>
        <v/>
      </c>
      <c r="I4" t="str">
        <f>"23.05.2013"</f>
        <v>23.05.2013</v>
      </c>
      <c r="J4" t="str">
        <f>""</f>
        <v/>
      </c>
      <c r="K4" t="str">
        <f>"Отсутствует"</f>
        <v>Отсутствует</v>
      </c>
      <c r="L4" t="str">
        <f>"Комитет по управлению муниципальным имуществом города Курска"</f>
        <v>Комитет по управлению муниципальным имуществом города Курска</v>
      </c>
      <c r="M4" t="str">
        <f t="shared" si="1"/>
        <v>Нет</v>
      </c>
      <c r="N4" t="str">
        <f t="shared" si="1"/>
        <v>Нет</v>
      </c>
      <c r="O4" t="str">
        <f>"[46/2442] М 5.2.13 - М 5.2.5"</f>
        <v>[46/2442] М 5.2.13 - М 5.2.5</v>
      </c>
      <c r="P4">
        <v>36.149896793067498</v>
      </c>
      <c r="Q4">
        <v>51.674376726248703</v>
      </c>
      <c r="R4" t="str">
        <f>""</f>
        <v/>
      </c>
    </row>
    <row r="5" spans="1:18" x14ac:dyDescent="0.25">
      <c r="A5">
        <v>907</v>
      </c>
      <c r="B5" t="str">
        <f t="shared" si="0"/>
        <v>Курск</v>
      </c>
      <c r="C5">
        <v>859982</v>
      </c>
      <c r="D5" t="str">
        <f>"Опора"</f>
        <v>Опора</v>
      </c>
      <c r="E5" t="str">
        <f>"КИ 111 (62)"</f>
        <v>КИ 111 (62)</v>
      </c>
      <c r="F5" t="str">
        <f>""</f>
        <v/>
      </c>
      <c r="G5" t="str">
        <f>""</f>
        <v/>
      </c>
      <c r="H5" t="str">
        <f>""</f>
        <v/>
      </c>
      <c r="I5" t="str">
        <f>"23.05.2013"</f>
        <v>23.05.2013</v>
      </c>
      <c r="J5" t="str">
        <f>""</f>
        <v/>
      </c>
      <c r="K5" t="str">
        <f>"Отсутствует"</f>
        <v>Отсутствует</v>
      </c>
      <c r="L5" t="str">
        <f>"Комитет по управлению муниципальным имуществом города Курска"</f>
        <v>Комитет по управлению муниципальным имуществом города Курска</v>
      </c>
      <c r="M5" t="str">
        <f t="shared" si="1"/>
        <v>Нет</v>
      </c>
      <c r="N5" t="str">
        <f t="shared" si="1"/>
        <v>Нет</v>
      </c>
      <c r="O5" t="str">
        <f>"[46/2442] М 5.2.13 - М 5.2.5"</f>
        <v>[46/2442] М 5.2.13 - М 5.2.5</v>
      </c>
      <c r="P5">
        <v>36.149230599403403</v>
      </c>
      <c r="Q5">
        <v>51.673383506544702</v>
      </c>
      <c r="R5" t="str">
        <f>""</f>
        <v/>
      </c>
    </row>
    <row r="6" spans="1:18" x14ac:dyDescent="0.25">
      <c r="A6">
        <v>907</v>
      </c>
      <c r="B6" t="str">
        <f t="shared" si="0"/>
        <v>Курск</v>
      </c>
      <c r="C6">
        <v>832363</v>
      </c>
      <c r="D6" t="str">
        <f>"Опора контактной сети"</f>
        <v>Опора контактной сети</v>
      </c>
      <c r="E6" t="str">
        <f>"08/1137 (1)"</f>
        <v>08/1137 (1)</v>
      </c>
      <c r="F6" t="str">
        <f>""</f>
        <v/>
      </c>
      <c r="G6" t="str">
        <f>""</f>
        <v/>
      </c>
      <c r="H6" t="str">
        <f>""</f>
        <v/>
      </c>
      <c r="I6" t="str">
        <f>"16.08.2012"</f>
        <v>16.08.2012</v>
      </c>
      <c r="J6" t="str">
        <f>""</f>
        <v/>
      </c>
      <c r="K6" t="str">
        <f>"ТУ № 08/1137"</f>
        <v>ТУ № 08/1137</v>
      </c>
      <c r="L6" t="str">
        <f>"МУП ""Курскэлектротранс"""</f>
        <v>МУП "Курскэлектротранс"</v>
      </c>
      <c r="M6" t="str">
        <f t="shared" ref="M6:N9" si="2">"Да"</f>
        <v>Да</v>
      </c>
      <c r="N6" t="str">
        <f t="shared" si="2"/>
        <v>Да</v>
      </c>
      <c r="O6" t="str">
        <f>"[46/805] М 1.1.1 - М 1.2.1"</f>
        <v>[46/805] М 1.1.1 - М 1.2.1</v>
      </c>
      <c r="P6">
        <v>36.166412829999999</v>
      </c>
      <c r="Q6">
        <v>51.71431845</v>
      </c>
      <c r="R6" t="str">
        <f>""</f>
        <v/>
      </c>
    </row>
    <row r="7" spans="1:18" x14ac:dyDescent="0.25">
      <c r="A7">
        <v>907</v>
      </c>
      <c r="B7" t="str">
        <f t="shared" si="0"/>
        <v>Курск</v>
      </c>
      <c r="C7">
        <v>835024</v>
      </c>
      <c r="D7" t="str">
        <f>"Опора контактной сети"</f>
        <v>Опора контактной сети</v>
      </c>
      <c r="E7" t="str">
        <f>"08/1137 (04)"</f>
        <v>08/1137 (04)</v>
      </c>
      <c r="F7" t="str">
        <f>""</f>
        <v/>
      </c>
      <c r="G7" t="str">
        <f>""</f>
        <v/>
      </c>
      <c r="H7" t="str">
        <f>""</f>
        <v/>
      </c>
      <c r="I7" t="str">
        <f>"29.08.2012"</f>
        <v>29.08.2012</v>
      </c>
      <c r="J7" t="str">
        <f>""</f>
        <v/>
      </c>
      <c r="K7" t="str">
        <f>"ТУ № 08/1137"</f>
        <v>ТУ № 08/1137</v>
      </c>
      <c r="L7" t="str">
        <f>"МУП ""Курскэлектротранс"""</f>
        <v>МУП "Курскэлектротранс"</v>
      </c>
      <c r="M7" t="str">
        <f t="shared" si="2"/>
        <v>Да</v>
      </c>
      <c r="N7" t="str">
        <f t="shared" si="2"/>
        <v>Да</v>
      </c>
      <c r="O7" t="str">
        <f>"[46/807] М 1.2.1 - М 1.2.11, [46/805] М 1.1.1 - М 1.2.1, [46/806] М 1.2.1 - ГОК1.2.1.1 Курск, Энгельса, 14  п. 2"</f>
        <v>[46/807] М 1.2.1 - М 1.2.11, [46/805] М 1.1.1 - М 1.2.1, [46/806] М 1.2.1 - ГОК1.2.1.1 Курск, Энгельса, 14  п. 2</v>
      </c>
      <c r="P7">
        <v>36.166412830352797</v>
      </c>
      <c r="Q7">
        <v>51.713560428358001</v>
      </c>
      <c r="R7" t="str">
        <f>""</f>
        <v/>
      </c>
    </row>
    <row r="8" spans="1:18" x14ac:dyDescent="0.25">
      <c r="A8">
        <v>907</v>
      </c>
      <c r="B8" t="str">
        <f t="shared" si="0"/>
        <v>Курск</v>
      </c>
      <c r="C8">
        <v>835023</v>
      </c>
      <c r="D8" t="str">
        <f>"Опора контактной сети"</f>
        <v>Опора контактной сети</v>
      </c>
      <c r="E8" t="str">
        <f>"08/1137 (03)"</f>
        <v>08/1137 (03)</v>
      </c>
      <c r="F8" t="str">
        <f>""</f>
        <v/>
      </c>
      <c r="G8" t="str">
        <f>""</f>
        <v/>
      </c>
      <c r="H8" t="str">
        <f>""</f>
        <v/>
      </c>
      <c r="I8" t="str">
        <f>"29.08.2012"</f>
        <v>29.08.2012</v>
      </c>
      <c r="J8" t="str">
        <f>""</f>
        <v/>
      </c>
      <c r="K8" t="str">
        <f>"ТУ № 08/1137"</f>
        <v>ТУ № 08/1137</v>
      </c>
      <c r="L8" t="str">
        <f>"МУП ""Курскэлектротранс"""</f>
        <v>МУП "Курскэлектротранс"</v>
      </c>
      <c r="M8" t="str">
        <f t="shared" si="2"/>
        <v>Да</v>
      </c>
      <c r="N8" t="str">
        <f t="shared" si="2"/>
        <v>Да</v>
      </c>
      <c r="O8" t="str">
        <f>"[46/805] М 1.1.1 - М 1.2.1"</f>
        <v>[46/805] М 1.1.1 - М 1.2.1</v>
      </c>
      <c r="P8">
        <v>36.166466470000003</v>
      </c>
      <c r="Q8">
        <v>51.713671980000001</v>
      </c>
      <c r="R8" t="str">
        <f>""</f>
        <v/>
      </c>
    </row>
    <row r="9" spans="1:18" x14ac:dyDescent="0.25">
      <c r="A9">
        <v>907</v>
      </c>
      <c r="B9" t="str">
        <f t="shared" si="0"/>
        <v>Курск</v>
      </c>
      <c r="C9">
        <v>835003</v>
      </c>
      <c r="D9" t="str">
        <f>"Опора контактной сети"</f>
        <v>Опора контактной сети</v>
      </c>
      <c r="E9" t="str">
        <f>"08/1137 (2)"</f>
        <v>08/1137 (2)</v>
      </c>
      <c r="F9" t="str">
        <f>""</f>
        <v/>
      </c>
      <c r="G9" t="str">
        <f>""</f>
        <v/>
      </c>
      <c r="H9" t="str">
        <f>""</f>
        <v/>
      </c>
      <c r="I9" t="str">
        <f>"29.08.2012"</f>
        <v>29.08.2012</v>
      </c>
      <c r="J9" t="str">
        <f>""</f>
        <v/>
      </c>
      <c r="K9" t="str">
        <f>"ТУ № 08/1137"</f>
        <v>ТУ № 08/1137</v>
      </c>
      <c r="L9" t="str">
        <f>"МУП ""Курскэлектротранс"""</f>
        <v>МУП "Курскэлектротранс"</v>
      </c>
      <c r="M9" t="str">
        <f t="shared" si="2"/>
        <v>Да</v>
      </c>
      <c r="N9" t="str">
        <f t="shared" si="2"/>
        <v>Да</v>
      </c>
      <c r="O9" t="str">
        <f>"[46/805] М 1.1.1 - М 1.2.1"</f>
        <v>[46/805] М 1.1.1 - М 1.2.1</v>
      </c>
      <c r="P9">
        <v>36.166436969999999</v>
      </c>
      <c r="Q9">
        <v>51.71392625</v>
      </c>
      <c r="R9" t="str">
        <f>""</f>
        <v/>
      </c>
    </row>
    <row r="10" spans="1:18" x14ac:dyDescent="0.25">
      <c r="A10">
        <v>907</v>
      </c>
      <c r="B10" t="str">
        <f t="shared" si="0"/>
        <v>Курск</v>
      </c>
      <c r="C10">
        <v>859981</v>
      </c>
      <c r="D10" t="str">
        <f>"Опора"</f>
        <v>Опора</v>
      </c>
      <c r="E10" t="str">
        <f>"КИ 111 (61)"</f>
        <v>КИ 111 (61)</v>
      </c>
      <c r="F10" t="str">
        <f>""</f>
        <v/>
      </c>
      <c r="G10" t="str">
        <f>""</f>
        <v/>
      </c>
      <c r="H10" t="str">
        <f>""</f>
        <v/>
      </c>
      <c r="I10" t="str">
        <f>"23.05.2013"</f>
        <v>23.05.2013</v>
      </c>
      <c r="J10" t="str">
        <f>""</f>
        <v/>
      </c>
      <c r="K10" t="str">
        <f t="shared" ref="K10:K15" si="3">"Отсутствует"</f>
        <v>Отсутствует</v>
      </c>
      <c r="L10" t="str">
        <f>"Комитет по управлению муниципальным имуществом города Курска"</f>
        <v>Комитет по управлению муниципальным имуществом города Курска</v>
      </c>
      <c r="M10" t="str">
        <f>"Нет"</f>
        <v>Нет</v>
      </c>
      <c r="N10" t="str">
        <f>"Нет"</f>
        <v>Нет</v>
      </c>
      <c r="O10" t="str">
        <f>"[46/2442] М 5.2.13 - М 5.2.5"</f>
        <v>[46/2442] М 5.2.13 - М 5.2.5</v>
      </c>
      <c r="P10">
        <v>36.149042844772303</v>
      </c>
      <c r="Q10">
        <v>51.673034200739203</v>
      </c>
      <c r="R10" t="str">
        <f>""</f>
        <v/>
      </c>
    </row>
    <row r="11" spans="1:18" x14ac:dyDescent="0.25">
      <c r="A11">
        <v>907</v>
      </c>
      <c r="B11" t="str">
        <f t="shared" si="0"/>
        <v>Курск</v>
      </c>
      <c r="C11">
        <v>992788</v>
      </c>
      <c r="D11" t="str">
        <f>"Осветительная опора"</f>
        <v>Осветительная опора</v>
      </c>
      <c r="E11" t="str">
        <f>"2"</f>
        <v>2</v>
      </c>
      <c r="F11" t="str">
        <f>""</f>
        <v/>
      </c>
      <c r="G11" t="str">
        <f>"_Кампус (CAMPUS)"</f>
        <v>_Кампус (CAMPUS)</v>
      </c>
      <c r="H11" t="str">
        <f>"Кампус - 1101"</f>
        <v>Кампус - 1101</v>
      </c>
      <c r="I11" t="str">
        <f>"12.01.2023"</f>
        <v>12.01.2023</v>
      </c>
      <c r="J11" t="str">
        <f>""</f>
        <v/>
      </c>
      <c r="K11" t="str">
        <f t="shared" si="3"/>
        <v>Отсутствует</v>
      </c>
      <c r="L11" t="str">
        <f t="shared" ref="L11:L17" si="4">"Не указан"</f>
        <v>Не указан</v>
      </c>
      <c r="M11" t="str">
        <f t="shared" ref="M11:N14" si="5">"Неизвестно"</f>
        <v>Неизвестно</v>
      </c>
      <c r="N11" t="str">
        <f t="shared" si="5"/>
        <v>Неизвестно</v>
      </c>
      <c r="O11" t="str">
        <f>"[46/3323] Т5.5 - ОК 1.1.1-73 ППК 1.1.1 Курск, Ендовищенская, 21  п. 1"</f>
        <v>[46/3323] Т5.5 - ОК 1.1.1-73 ППК 1.1.1 Курск, Ендовищенская, 21  п. 1</v>
      </c>
      <c r="P11">
        <v>36.186211190000002</v>
      </c>
      <c r="Q11">
        <v>51.729848009999998</v>
      </c>
      <c r="R11" t="str">
        <f>""</f>
        <v/>
      </c>
    </row>
    <row r="12" spans="1:18" x14ac:dyDescent="0.25">
      <c r="A12">
        <v>907</v>
      </c>
      <c r="B12" t="str">
        <f t="shared" si="0"/>
        <v>Курск</v>
      </c>
      <c r="C12">
        <v>992789</v>
      </c>
      <c r="D12" t="str">
        <f>"Осветительная опора"</f>
        <v>Осветительная опора</v>
      </c>
      <c r="E12" t="str">
        <f>"3"</f>
        <v>3</v>
      </c>
      <c r="F12" t="str">
        <f>""</f>
        <v/>
      </c>
      <c r="G12" t="str">
        <f>"_Кампус (CAMPUS)"</f>
        <v>_Кампус (CAMPUS)</v>
      </c>
      <c r="H12" t="str">
        <f>"Кампус - 1101"</f>
        <v>Кампус - 1101</v>
      </c>
      <c r="I12" t="str">
        <f>"12.01.2023"</f>
        <v>12.01.2023</v>
      </c>
      <c r="J12" t="str">
        <f>""</f>
        <v/>
      </c>
      <c r="K12" t="str">
        <f t="shared" si="3"/>
        <v>Отсутствует</v>
      </c>
      <c r="L12" t="str">
        <f t="shared" si="4"/>
        <v>Не указан</v>
      </c>
      <c r="M12" t="str">
        <f t="shared" si="5"/>
        <v>Неизвестно</v>
      </c>
      <c r="N12" t="str">
        <f t="shared" si="5"/>
        <v>Неизвестно</v>
      </c>
      <c r="O12" t="str">
        <f>"[46/2773] Т5.5 - ОК 1.1.1-77 ППК 1.1.1 Курск, Ендовищенская, 31  п. 1, [46/3323] Т5.5 - ОК 1.1.1-73 ППК 1.1.1 Курск, Ендовищенская, 21  п. 1"</f>
        <v>[46/2773] Т5.5 - ОК 1.1.1-77 ППК 1.1.1 Курск, Ендовищенская, 31  п. 1, [46/3323] Т5.5 - ОК 1.1.1-73 ППК 1.1.1 Курск, Ендовищенская, 21  п. 1</v>
      </c>
      <c r="P12">
        <v>36.186286629999998</v>
      </c>
      <c r="Q12">
        <v>51.72975228</v>
      </c>
      <c r="R12" t="str">
        <f>""</f>
        <v/>
      </c>
    </row>
    <row r="13" spans="1:18" x14ac:dyDescent="0.25">
      <c r="A13">
        <v>907</v>
      </c>
      <c r="B13" t="str">
        <f t="shared" si="0"/>
        <v>Курск</v>
      </c>
      <c r="C13">
        <v>992786</v>
      </c>
      <c r="D13" t="str">
        <f>"Осветительная опора"</f>
        <v>Осветительная опора</v>
      </c>
      <c r="E13" t="str">
        <f>"4"</f>
        <v>4</v>
      </c>
      <c r="F13" t="str">
        <f>""</f>
        <v/>
      </c>
      <c r="G13" t="str">
        <f>"_Кампус (CAMPUS)"</f>
        <v>_Кампус (CAMPUS)</v>
      </c>
      <c r="H13" t="str">
        <f>"Кампус - 1101"</f>
        <v>Кампус - 1101</v>
      </c>
      <c r="I13" t="str">
        <f>"12.01.2023"</f>
        <v>12.01.2023</v>
      </c>
      <c r="J13" t="str">
        <f>""</f>
        <v/>
      </c>
      <c r="K13" t="str">
        <f t="shared" si="3"/>
        <v>Отсутствует</v>
      </c>
      <c r="L13" t="str">
        <f t="shared" si="4"/>
        <v>Не указан</v>
      </c>
      <c r="M13" t="str">
        <f t="shared" si="5"/>
        <v>Неизвестно</v>
      </c>
      <c r="N13" t="str">
        <f t="shared" si="5"/>
        <v>Неизвестно</v>
      </c>
      <c r="O13" t="str">
        <f>"[46/3323] Т5.5 - ОК 1.1.1-73 ППК 1.1.1 Курск, Ендовищенская, 21  п. 1"</f>
        <v>[46/3323] Т5.5 - ОК 1.1.1-73 ППК 1.1.1 Курск, Ендовищенская, 21  п. 1</v>
      </c>
      <c r="P13">
        <v>36.185714310000002</v>
      </c>
      <c r="Q13">
        <v>51.730408070000003</v>
      </c>
      <c r="R13" t="str">
        <f>""</f>
        <v/>
      </c>
    </row>
    <row r="14" spans="1:18" x14ac:dyDescent="0.25">
      <c r="A14">
        <v>907</v>
      </c>
      <c r="B14" t="str">
        <f t="shared" si="0"/>
        <v>Курск</v>
      </c>
      <c r="C14">
        <v>992787</v>
      </c>
      <c r="D14" t="str">
        <f>"Осветительная опора"</f>
        <v>Осветительная опора</v>
      </c>
      <c r="E14" t="str">
        <f>"3"</f>
        <v>3</v>
      </c>
      <c r="F14" t="str">
        <f>""</f>
        <v/>
      </c>
      <c r="G14" t="str">
        <f>"_Кампус (CAMPUS)"</f>
        <v>_Кампус (CAMPUS)</v>
      </c>
      <c r="H14" t="str">
        <f>"Кампус - 1101"</f>
        <v>Кампус - 1101</v>
      </c>
      <c r="I14" t="str">
        <f>"12.01.2023"</f>
        <v>12.01.2023</v>
      </c>
      <c r="J14" t="str">
        <f>""</f>
        <v/>
      </c>
      <c r="K14" t="str">
        <f t="shared" si="3"/>
        <v>Отсутствует</v>
      </c>
      <c r="L14" t="str">
        <f t="shared" si="4"/>
        <v>Не указан</v>
      </c>
      <c r="M14" t="str">
        <f t="shared" si="5"/>
        <v>Неизвестно</v>
      </c>
      <c r="N14" t="str">
        <f t="shared" si="5"/>
        <v>Неизвестно</v>
      </c>
      <c r="O14" t="str">
        <f>"[46/3323] Т5.5 - ОК 1.1.1-73 ППК 1.1.1 Курск, Ендовищенская, 21  п. 1"</f>
        <v>[46/3323] Т5.5 - ОК 1.1.1-73 ППК 1.1.1 Курск, Ендовищенская, 21  п. 1</v>
      </c>
      <c r="P14">
        <v>36.185951019999997</v>
      </c>
      <c r="Q14">
        <v>51.730149740000002</v>
      </c>
      <c r="R14" t="str">
        <f>""</f>
        <v/>
      </c>
    </row>
    <row r="15" spans="1:18" x14ac:dyDescent="0.25">
      <c r="A15">
        <v>907</v>
      </c>
      <c r="B15" t="str">
        <f t="shared" si="0"/>
        <v>Курск</v>
      </c>
      <c r="C15">
        <v>920345</v>
      </c>
      <c r="D15" t="str">
        <f t="shared" ref="D15:D44" si="6">"Опора"</f>
        <v>Опора</v>
      </c>
      <c r="E15" t="str">
        <f>"(Опора)"</f>
        <v>(Опора)</v>
      </c>
      <c r="F15" t="str">
        <f>""</f>
        <v/>
      </c>
      <c r="G15" t="str">
        <f>"_Кампус (CAMPUS)"</f>
        <v>_Кампус (CAMPUS)</v>
      </c>
      <c r="H15" t="str">
        <f>"Кампус - 1505"</f>
        <v>Кампус - 1505</v>
      </c>
      <c r="I15" t="str">
        <f>"22.12.2020"</f>
        <v>22.12.2020</v>
      </c>
      <c r="J15" t="str">
        <f>""</f>
        <v/>
      </c>
      <c r="K15" t="str">
        <f t="shared" si="3"/>
        <v>Отсутствует</v>
      </c>
      <c r="L15" t="str">
        <f t="shared" si="4"/>
        <v>Не указан</v>
      </c>
      <c r="M15" t="str">
        <f>"Неизвестно"</f>
        <v>Неизвестно</v>
      </c>
      <c r="N15" t="str">
        <f>"Да"</f>
        <v>Да</v>
      </c>
      <c r="O15" t="str">
        <f>"[46/3334] М1.1.15 -  Курск, Почтовая, 23  п. 1, [46/2995] М1.1.15 - ОК1.1 ППК 1.1.10 Курск, Почтовая, 12  п. 2, [46/3220] М 1.5.9 - М1.1.15"</f>
        <v>[46/3334] М1.1.15 -  Курск, Почтовая, 23  п. 1, [46/2995] М1.1.15 - ОК1.1 ППК 1.1.10 Курск, Почтовая, 12  п. 2, [46/3220] М 1.5.9 - М1.1.15</v>
      </c>
      <c r="P15">
        <v>36.18862489</v>
      </c>
      <c r="Q15">
        <v>51.733250820000002</v>
      </c>
      <c r="R15" t="str">
        <f>""</f>
        <v/>
      </c>
    </row>
    <row r="16" spans="1:18" x14ac:dyDescent="0.25">
      <c r="A16">
        <v>907</v>
      </c>
      <c r="B16" t="str">
        <f t="shared" si="0"/>
        <v>Курск</v>
      </c>
      <c r="C16">
        <v>828284</v>
      </c>
      <c r="D16" t="str">
        <f t="shared" si="6"/>
        <v>Опора</v>
      </c>
      <c r="E16" t="str">
        <f>"КЭС 30"</f>
        <v>КЭС 30</v>
      </c>
      <c r="F16" t="str">
        <f>""</f>
        <v/>
      </c>
      <c r="G16" t="str">
        <f t="shared" ref="G16:G79" si="7">"_МС (CAB_MS)"</f>
        <v>_МС (CAB_MS)</v>
      </c>
      <c r="H16" t="str">
        <f t="shared" ref="H16:H44" si="8">"МС 1.1"</f>
        <v>МС 1.1</v>
      </c>
      <c r="I16" t="str">
        <f>"08.08.2012"</f>
        <v>08.08.2012</v>
      </c>
      <c r="J16" t="str">
        <f>""</f>
        <v/>
      </c>
      <c r="K16" t="str">
        <f>"ТУ № 1071/6"</f>
        <v>ТУ № 1071/6</v>
      </c>
      <c r="L16" t="str">
        <f t="shared" si="4"/>
        <v>Не указан</v>
      </c>
      <c r="M16" t="str">
        <f>"Нет"</f>
        <v>Нет</v>
      </c>
      <c r="N16" t="str">
        <f>"Нет"</f>
        <v>Нет</v>
      </c>
      <c r="O16" t="str">
        <f>"[46/804] М 1.1.9 - МОК1.1.2 Курск, Добролюбова, 22 а п. 1"</f>
        <v>[46/804] М 1.1.9 - МОК1.1.2 Курск, Добролюбова, 22 а п. 1</v>
      </c>
      <c r="P16">
        <v>36.187559366226203</v>
      </c>
      <c r="Q16">
        <v>51.723469332958601</v>
      </c>
      <c r="R16" t="str">
        <f>"20000004578039"</f>
        <v>20000004578039</v>
      </c>
    </row>
    <row r="17" spans="1:18" x14ac:dyDescent="0.25">
      <c r="A17">
        <v>907</v>
      </c>
      <c r="B17" t="str">
        <f t="shared" si="0"/>
        <v>Курск</v>
      </c>
      <c r="C17">
        <v>920374</v>
      </c>
      <c r="D17" t="str">
        <f t="shared" si="6"/>
        <v>Опора</v>
      </c>
      <c r="E17" t="str">
        <f>"(Опора)"</f>
        <v>(Опора)</v>
      </c>
      <c r="F17" t="str">
        <f>""</f>
        <v/>
      </c>
      <c r="G17" t="str">
        <f t="shared" si="7"/>
        <v>_МС (CAB_MS)</v>
      </c>
      <c r="H17" t="str">
        <f t="shared" si="8"/>
        <v>МС 1.1</v>
      </c>
      <c r="I17" t="str">
        <f>"23.12.2020"</f>
        <v>23.12.2020</v>
      </c>
      <c r="J17" t="str">
        <f>""</f>
        <v/>
      </c>
      <c r="K17" t="str">
        <f>"Отсутствует"</f>
        <v>Отсутствует</v>
      </c>
      <c r="L17" t="str">
        <f t="shared" si="4"/>
        <v>Не указан</v>
      </c>
      <c r="M17" t="str">
        <f>"Неизвестно"</f>
        <v>Неизвестно</v>
      </c>
      <c r="N17" t="str">
        <f>"Нет"</f>
        <v>Нет</v>
      </c>
      <c r="O17" t="str">
        <f>"[46/3216] М 1.5.6 - М 1.1.10"</f>
        <v>[46/3216] М 1.5.6 - М 1.1.10</v>
      </c>
      <c r="P17">
        <v>36.175993009999999</v>
      </c>
      <c r="Q17">
        <v>51.729631060000003</v>
      </c>
      <c r="R17" t="str">
        <f>""</f>
        <v/>
      </c>
    </row>
    <row r="18" spans="1:18" x14ac:dyDescent="0.25">
      <c r="A18">
        <v>907</v>
      </c>
      <c r="B18" t="str">
        <f t="shared" si="0"/>
        <v>Курск</v>
      </c>
      <c r="C18">
        <v>828084</v>
      </c>
      <c r="D18" t="str">
        <f t="shared" si="6"/>
        <v>Опора</v>
      </c>
      <c r="E18" t="str">
        <f>"1071/6 (33)"</f>
        <v>1071/6 (33)</v>
      </c>
      <c r="F18" t="str">
        <f>""</f>
        <v/>
      </c>
      <c r="G18" t="str">
        <f t="shared" si="7"/>
        <v>_МС (CAB_MS)</v>
      </c>
      <c r="H18" t="str">
        <f t="shared" si="8"/>
        <v>МС 1.1</v>
      </c>
      <c r="I18" t="str">
        <f>"08.08.2012"</f>
        <v>08.08.2012</v>
      </c>
      <c r="J18" t="str">
        <f>""</f>
        <v/>
      </c>
      <c r="K18" t="str">
        <f>"ТУ № 1071/6"</f>
        <v>ТУ № 1071/6</v>
      </c>
      <c r="L18" t="str">
        <f>"ОАО ""Курские электрические сети"""</f>
        <v>ОАО "Курские электрические сети"</v>
      </c>
      <c r="M18" t="str">
        <f>"Да"</f>
        <v>Да</v>
      </c>
      <c r="N18" t="str">
        <f>"Да"</f>
        <v>Да</v>
      </c>
      <c r="O18" t="str">
        <f>"[46/796] М 1.1.8 - М 1.1.9"</f>
        <v>[46/796] М 1.1.8 - М 1.1.9</v>
      </c>
      <c r="P18">
        <v>36.178997755050702</v>
      </c>
      <c r="Q18">
        <v>51.718574246121896</v>
      </c>
      <c r="R18" t="str">
        <f>"20000004578007"</f>
        <v>20000004578007</v>
      </c>
    </row>
    <row r="19" spans="1:18" x14ac:dyDescent="0.25">
      <c r="A19">
        <v>907</v>
      </c>
      <c r="B19" t="str">
        <f t="shared" si="0"/>
        <v>Курск</v>
      </c>
      <c r="C19">
        <v>920375</v>
      </c>
      <c r="D19" t="str">
        <f t="shared" si="6"/>
        <v>Опора</v>
      </c>
      <c r="E19" t="str">
        <f t="shared" ref="E19:E44" si="9">"(Опора)"</f>
        <v>(Опора)</v>
      </c>
      <c r="F19" t="str">
        <f>""</f>
        <v/>
      </c>
      <c r="G19" t="str">
        <f t="shared" si="7"/>
        <v>_МС (CAB_MS)</v>
      </c>
      <c r="H19" t="str">
        <f t="shared" si="8"/>
        <v>МС 1.1</v>
      </c>
      <c r="I19" t="str">
        <f t="shared" ref="I19:I44" si="10">"23.12.2020"</f>
        <v>23.12.2020</v>
      </c>
      <c r="J19" t="str">
        <f>""</f>
        <v/>
      </c>
      <c r="K19" t="str">
        <f t="shared" ref="K19:K44" si="11">"Отсутствует"</f>
        <v>Отсутствует</v>
      </c>
      <c r="L19" t="str">
        <f t="shared" ref="L19:L44" si="12">"Не указан"</f>
        <v>Не указан</v>
      </c>
      <c r="M19" t="str">
        <f t="shared" ref="M19:M44" si="13">"Неизвестно"</f>
        <v>Неизвестно</v>
      </c>
      <c r="N19" t="str">
        <f t="shared" ref="N19:N44" si="14">"Нет"</f>
        <v>Нет</v>
      </c>
      <c r="O19" t="str">
        <f t="shared" ref="O19:O30" si="15">"[46/3216] М 1.5.6 - М 1.1.10"</f>
        <v>[46/3216] М 1.5.6 - М 1.1.10</v>
      </c>
      <c r="P19">
        <v>36.176750730000002</v>
      </c>
      <c r="Q19">
        <v>51.729911809999997</v>
      </c>
      <c r="R19" t="str">
        <f>""</f>
        <v/>
      </c>
    </row>
    <row r="20" spans="1:18" x14ac:dyDescent="0.25">
      <c r="A20">
        <v>907</v>
      </c>
      <c r="B20" t="str">
        <f t="shared" si="0"/>
        <v>Курск</v>
      </c>
      <c r="C20">
        <v>920376</v>
      </c>
      <c r="D20" t="str">
        <f t="shared" si="6"/>
        <v>Опора</v>
      </c>
      <c r="E20" t="str">
        <f t="shared" si="9"/>
        <v>(Опора)</v>
      </c>
      <c r="F20" t="str">
        <f>""</f>
        <v/>
      </c>
      <c r="G20" t="str">
        <f t="shared" si="7"/>
        <v>_МС (CAB_MS)</v>
      </c>
      <c r="H20" t="str">
        <f t="shared" si="8"/>
        <v>МС 1.1</v>
      </c>
      <c r="I20" t="str">
        <f t="shared" si="10"/>
        <v>23.12.2020</v>
      </c>
      <c r="J20" t="str">
        <f>""</f>
        <v/>
      </c>
      <c r="K20" t="str">
        <f t="shared" si="11"/>
        <v>Отсутствует</v>
      </c>
      <c r="L20" t="str">
        <f t="shared" si="12"/>
        <v>Не указан</v>
      </c>
      <c r="M20" t="str">
        <f t="shared" si="13"/>
        <v>Неизвестно</v>
      </c>
      <c r="N20" t="str">
        <f t="shared" si="14"/>
        <v>Нет</v>
      </c>
      <c r="O20" t="str">
        <f t="shared" si="15"/>
        <v>[46/3216] М 1.5.6 - М 1.1.10</v>
      </c>
      <c r="P20">
        <v>36.177170500000003</v>
      </c>
      <c r="Q20">
        <v>51.730062160000003</v>
      </c>
      <c r="R20" t="str">
        <f>""</f>
        <v/>
      </c>
    </row>
    <row r="21" spans="1:18" x14ac:dyDescent="0.25">
      <c r="A21">
        <v>907</v>
      </c>
      <c r="B21" t="str">
        <f t="shared" si="0"/>
        <v>Курск</v>
      </c>
      <c r="C21">
        <v>920377</v>
      </c>
      <c r="D21" t="str">
        <f t="shared" si="6"/>
        <v>Опора</v>
      </c>
      <c r="E21" t="str">
        <f t="shared" si="9"/>
        <v>(Опора)</v>
      </c>
      <c r="F21" t="str">
        <f>""</f>
        <v/>
      </c>
      <c r="G21" t="str">
        <f t="shared" si="7"/>
        <v>_МС (CAB_MS)</v>
      </c>
      <c r="H21" t="str">
        <f t="shared" si="8"/>
        <v>МС 1.1</v>
      </c>
      <c r="I21" t="str">
        <f t="shared" si="10"/>
        <v>23.12.2020</v>
      </c>
      <c r="J21" t="str">
        <f>""</f>
        <v/>
      </c>
      <c r="K21" t="str">
        <f t="shared" si="11"/>
        <v>Отсутствует</v>
      </c>
      <c r="L21" t="str">
        <f t="shared" si="12"/>
        <v>Не указан</v>
      </c>
      <c r="M21" t="str">
        <f t="shared" si="13"/>
        <v>Неизвестно</v>
      </c>
      <c r="N21" t="str">
        <f t="shared" si="14"/>
        <v>Нет</v>
      </c>
      <c r="O21" t="str">
        <f t="shared" si="15"/>
        <v>[46/3216] М 1.5.6 - М 1.1.10</v>
      </c>
      <c r="P21">
        <v>36.176359130000002</v>
      </c>
      <c r="Q21">
        <v>51.72976396</v>
      </c>
      <c r="R21" t="str">
        <f>""</f>
        <v/>
      </c>
    </row>
    <row r="22" spans="1:18" x14ac:dyDescent="0.25">
      <c r="A22">
        <v>907</v>
      </c>
      <c r="B22" t="str">
        <f t="shared" si="0"/>
        <v>Курск</v>
      </c>
      <c r="C22">
        <v>920378</v>
      </c>
      <c r="D22" t="str">
        <f t="shared" si="6"/>
        <v>Опора</v>
      </c>
      <c r="E22" t="str">
        <f t="shared" si="9"/>
        <v>(Опора)</v>
      </c>
      <c r="F22" t="str">
        <f>""</f>
        <v/>
      </c>
      <c r="G22" t="str">
        <f t="shared" si="7"/>
        <v>_МС (CAB_MS)</v>
      </c>
      <c r="H22" t="str">
        <f t="shared" si="8"/>
        <v>МС 1.1</v>
      </c>
      <c r="I22" t="str">
        <f t="shared" si="10"/>
        <v>23.12.2020</v>
      </c>
      <c r="J22" t="str">
        <f>""</f>
        <v/>
      </c>
      <c r="K22" t="str">
        <f t="shared" si="11"/>
        <v>Отсутствует</v>
      </c>
      <c r="L22" t="str">
        <f t="shared" si="12"/>
        <v>Не указан</v>
      </c>
      <c r="M22" t="str">
        <f t="shared" si="13"/>
        <v>Неизвестно</v>
      </c>
      <c r="N22" t="str">
        <f t="shared" si="14"/>
        <v>Нет</v>
      </c>
      <c r="O22" t="str">
        <f t="shared" si="15"/>
        <v>[46/3216] М 1.5.6 - М 1.1.10</v>
      </c>
      <c r="P22">
        <v>36.179241169999997</v>
      </c>
      <c r="Q22">
        <v>51.730818859999999</v>
      </c>
      <c r="R22" t="str">
        <f>""</f>
        <v/>
      </c>
    </row>
    <row r="23" spans="1:18" x14ac:dyDescent="0.25">
      <c r="A23">
        <v>907</v>
      </c>
      <c r="B23" t="str">
        <f t="shared" si="0"/>
        <v>Курск</v>
      </c>
      <c r="C23">
        <v>920379</v>
      </c>
      <c r="D23" t="str">
        <f t="shared" si="6"/>
        <v>Опора</v>
      </c>
      <c r="E23" t="str">
        <f t="shared" si="9"/>
        <v>(Опора)</v>
      </c>
      <c r="F23" t="str">
        <f>""</f>
        <v/>
      </c>
      <c r="G23" t="str">
        <f t="shared" si="7"/>
        <v>_МС (CAB_MS)</v>
      </c>
      <c r="H23" t="str">
        <f t="shared" si="8"/>
        <v>МС 1.1</v>
      </c>
      <c r="I23" t="str">
        <f t="shared" si="10"/>
        <v>23.12.2020</v>
      </c>
      <c r="J23" t="str">
        <f>""</f>
        <v/>
      </c>
      <c r="K23" t="str">
        <f t="shared" si="11"/>
        <v>Отсутствует</v>
      </c>
      <c r="L23" t="str">
        <f t="shared" si="12"/>
        <v>Не указан</v>
      </c>
      <c r="M23" t="str">
        <f t="shared" si="13"/>
        <v>Неизвестно</v>
      </c>
      <c r="N23" t="str">
        <f t="shared" si="14"/>
        <v>Нет</v>
      </c>
      <c r="O23" t="str">
        <f t="shared" si="15"/>
        <v>[46/3216] М 1.5.6 - М 1.1.10</v>
      </c>
      <c r="P23">
        <v>36.178346650000002</v>
      </c>
      <c r="Q23">
        <v>51.730504879999998</v>
      </c>
      <c r="R23" t="str">
        <f>""</f>
        <v/>
      </c>
    </row>
    <row r="24" spans="1:18" x14ac:dyDescent="0.25">
      <c r="A24">
        <v>907</v>
      </c>
      <c r="B24" t="str">
        <f t="shared" si="0"/>
        <v>Курск</v>
      </c>
      <c r="C24">
        <v>920380</v>
      </c>
      <c r="D24" t="str">
        <f t="shared" si="6"/>
        <v>Опора</v>
      </c>
      <c r="E24" t="str">
        <f t="shared" si="9"/>
        <v>(Опора)</v>
      </c>
      <c r="F24" t="str">
        <f>""</f>
        <v/>
      </c>
      <c r="G24" t="str">
        <f t="shared" si="7"/>
        <v>_МС (CAB_MS)</v>
      </c>
      <c r="H24" t="str">
        <f t="shared" si="8"/>
        <v>МС 1.1</v>
      </c>
      <c r="I24" t="str">
        <f t="shared" si="10"/>
        <v>23.12.2020</v>
      </c>
      <c r="J24" t="str">
        <f>""</f>
        <v/>
      </c>
      <c r="K24" t="str">
        <f t="shared" si="11"/>
        <v>Отсутствует</v>
      </c>
      <c r="L24" t="str">
        <f t="shared" si="12"/>
        <v>Не указан</v>
      </c>
      <c r="M24" t="str">
        <f t="shared" si="13"/>
        <v>Неизвестно</v>
      </c>
      <c r="N24" t="str">
        <f t="shared" si="14"/>
        <v>Нет</v>
      </c>
      <c r="O24" t="str">
        <f t="shared" si="15"/>
        <v>[46/3216] М 1.5.6 - М 1.1.10</v>
      </c>
      <c r="P24">
        <v>36.180065939999999</v>
      </c>
      <c r="Q24">
        <v>51.731109570000001</v>
      </c>
      <c r="R24" t="str">
        <f>""</f>
        <v/>
      </c>
    </row>
    <row r="25" spans="1:18" x14ac:dyDescent="0.25">
      <c r="A25">
        <v>907</v>
      </c>
      <c r="B25" t="str">
        <f t="shared" si="0"/>
        <v>Курск</v>
      </c>
      <c r="C25">
        <v>920381</v>
      </c>
      <c r="D25" t="str">
        <f t="shared" si="6"/>
        <v>Опора</v>
      </c>
      <c r="E25" t="str">
        <f t="shared" si="9"/>
        <v>(Опора)</v>
      </c>
      <c r="F25" t="str">
        <f>""</f>
        <v/>
      </c>
      <c r="G25" t="str">
        <f t="shared" si="7"/>
        <v>_МС (CAB_MS)</v>
      </c>
      <c r="H25" t="str">
        <f t="shared" si="8"/>
        <v>МС 1.1</v>
      </c>
      <c r="I25" t="str">
        <f t="shared" si="10"/>
        <v>23.12.2020</v>
      </c>
      <c r="J25" t="str">
        <f>""</f>
        <v/>
      </c>
      <c r="K25" t="str">
        <f t="shared" si="11"/>
        <v>Отсутствует</v>
      </c>
      <c r="L25" t="str">
        <f t="shared" si="12"/>
        <v>Не указан</v>
      </c>
      <c r="M25" t="str">
        <f t="shared" si="13"/>
        <v>Неизвестно</v>
      </c>
      <c r="N25" t="str">
        <f t="shared" si="14"/>
        <v>Нет</v>
      </c>
      <c r="O25" t="str">
        <f t="shared" si="15"/>
        <v>[46/3216] М 1.5.6 - М 1.1.10</v>
      </c>
      <c r="P25">
        <v>36.179726649999999</v>
      </c>
      <c r="Q25">
        <v>51.730989970000003</v>
      </c>
      <c r="R25" t="str">
        <f>""</f>
        <v/>
      </c>
    </row>
    <row r="26" spans="1:18" x14ac:dyDescent="0.25">
      <c r="A26">
        <v>907</v>
      </c>
      <c r="B26" t="str">
        <f t="shared" si="0"/>
        <v>Курск</v>
      </c>
      <c r="C26">
        <v>920382</v>
      </c>
      <c r="D26" t="str">
        <f t="shared" si="6"/>
        <v>Опора</v>
      </c>
      <c r="E26" t="str">
        <f t="shared" si="9"/>
        <v>(Опора)</v>
      </c>
      <c r="F26" t="str">
        <f>""</f>
        <v/>
      </c>
      <c r="G26" t="str">
        <f t="shared" si="7"/>
        <v>_МС (CAB_MS)</v>
      </c>
      <c r="H26" t="str">
        <f t="shared" si="8"/>
        <v>МС 1.1</v>
      </c>
      <c r="I26" t="str">
        <f t="shared" si="10"/>
        <v>23.12.2020</v>
      </c>
      <c r="J26" t="str">
        <f>""</f>
        <v/>
      </c>
      <c r="K26" t="str">
        <f t="shared" si="11"/>
        <v>Отсутствует</v>
      </c>
      <c r="L26" t="str">
        <f t="shared" si="12"/>
        <v>Не указан</v>
      </c>
      <c r="M26" t="str">
        <f t="shared" si="13"/>
        <v>Неизвестно</v>
      </c>
      <c r="N26" t="str">
        <f t="shared" si="14"/>
        <v>Нет</v>
      </c>
      <c r="O26" t="str">
        <f t="shared" si="15"/>
        <v>[46/3216] М 1.5.6 - М 1.1.10</v>
      </c>
      <c r="P26">
        <v>36.1827106</v>
      </c>
      <c r="Q26">
        <v>51.73140652</v>
      </c>
      <c r="R26" t="str">
        <f>""</f>
        <v/>
      </c>
    </row>
    <row r="27" spans="1:18" x14ac:dyDescent="0.25">
      <c r="A27">
        <v>907</v>
      </c>
      <c r="B27" t="str">
        <f t="shared" si="0"/>
        <v>Курск</v>
      </c>
      <c r="C27">
        <v>920383</v>
      </c>
      <c r="D27" t="str">
        <f t="shared" si="6"/>
        <v>Опора</v>
      </c>
      <c r="E27" t="str">
        <f t="shared" si="9"/>
        <v>(Опора)</v>
      </c>
      <c r="F27" t="str">
        <f>""</f>
        <v/>
      </c>
      <c r="G27" t="str">
        <f t="shared" si="7"/>
        <v>_МС (CAB_MS)</v>
      </c>
      <c r="H27" t="str">
        <f t="shared" si="8"/>
        <v>МС 1.1</v>
      </c>
      <c r="I27" t="str">
        <f t="shared" si="10"/>
        <v>23.12.2020</v>
      </c>
      <c r="J27" t="str">
        <f>""</f>
        <v/>
      </c>
      <c r="K27" t="str">
        <f t="shared" si="11"/>
        <v>Отсутствует</v>
      </c>
      <c r="L27" t="str">
        <f t="shared" si="12"/>
        <v>Не указан</v>
      </c>
      <c r="M27" t="str">
        <f t="shared" si="13"/>
        <v>Неизвестно</v>
      </c>
      <c r="N27" t="str">
        <f t="shared" si="14"/>
        <v>Нет</v>
      </c>
      <c r="O27" t="str">
        <f t="shared" si="15"/>
        <v>[46/3216] М 1.5.6 - М 1.1.10</v>
      </c>
      <c r="P27">
        <v>36.182938589999999</v>
      </c>
      <c r="Q27">
        <v>51.731162320000003</v>
      </c>
      <c r="R27" t="str">
        <f>""</f>
        <v/>
      </c>
    </row>
    <row r="28" spans="1:18" x14ac:dyDescent="0.25">
      <c r="A28">
        <v>907</v>
      </c>
      <c r="B28" t="str">
        <f t="shared" si="0"/>
        <v>Курск</v>
      </c>
      <c r="C28">
        <v>920384</v>
      </c>
      <c r="D28" t="str">
        <f t="shared" si="6"/>
        <v>Опора</v>
      </c>
      <c r="E28" t="str">
        <f t="shared" si="9"/>
        <v>(Опора)</v>
      </c>
      <c r="F28" t="str">
        <f>""</f>
        <v/>
      </c>
      <c r="G28" t="str">
        <f t="shared" si="7"/>
        <v>_МС (CAB_MS)</v>
      </c>
      <c r="H28" t="str">
        <f t="shared" si="8"/>
        <v>МС 1.1</v>
      </c>
      <c r="I28" t="str">
        <f t="shared" si="10"/>
        <v>23.12.2020</v>
      </c>
      <c r="J28" t="str">
        <f>""</f>
        <v/>
      </c>
      <c r="K28" t="str">
        <f t="shared" si="11"/>
        <v>Отсутствует</v>
      </c>
      <c r="L28" t="str">
        <f t="shared" si="12"/>
        <v>Не указан</v>
      </c>
      <c r="M28" t="str">
        <f t="shared" si="13"/>
        <v>Неизвестно</v>
      </c>
      <c r="N28" t="str">
        <f t="shared" si="14"/>
        <v>Нет</v>
      </c>
      <c r="O28" t="str">
        <f t="shared" si="15"/>
        <v>[46/3216] М 1.5.6 - М 1.1.10</v>
      </c>
      <c r="P28">
        <v>36.17760234</v>
      </c>
      <c r="Q28">
        <v>51.73022787</v>
      </c>
      <c r="R28" t="str">
        <f>""</f>
        <v/>
      </c>
    </row>
    <row r="29" spans="1:18" x14ac:dyDescent="0.25">
      <c r="A29">
        <v>907</v>
      </c>
      <c r="B29" t="str">
        <f t="shared" si="0"/>
        <v>Курск</v>
      </c>
      <c r="C29">
        <v>920385</v>
      </c>
      <c r="D29" t="str">
        <f t="shared" si="6"/>
        <v>Опора</v>
      </c>
      <c r="E29" t="str">
        <f t="shared" si="9"/>
        <v>(Опора)</v>
      </c>
      <c r="F29" t="str">
        <f>""</f>
        <v/>
      </c>
      <c r="G29" t="str">
        <f t="shared" si="7"/>
        <v>_МС (CAB_MS)</v>
      </c>
      <c r="H29" t="str">
        <f t="shared" si="8"/>
        <v>МС 1.1</v>
      </c>
      <c r="I29" t="str">
        <f t="shared" si="10"/>
        <v>23.12.2020</v>
      </c>
      <c r="J29" t="str">
        <f>""</f>
        <v/>
      </c>
      <c r="K29" t="str">
        <f t="shared" si="11"/>
        <v>Отсутствует</v>
      </c>
      <c r="L29" t="str">
        <f t="shared" si="12"/>
        <v>Не указан</v>
      </c>
      <c r="M29" t="str">
        <f t="shared" si="13"/>
        <v>Неизвестно</v>
      </c>
      <c r="N29" t="str">
        <f t="shared" si="14"/>
        <v>Нет</v>
      </c>
      <c r="O29" t="str">
        <f t="shared" si="15"/>
        <v>[46/3216] М 1.5.6 - М 1.1.10</v>
      </c>
      <c r="P29">
        <v>36.18090145</v>
      </c>
      <c r="Q29">
        <v>51.731438079999997</v>
      </c>
      <c r="R29" t="str">
        <f>""</f>
        <v/>
      </c>
    </row>
    <row r="30" spans="1:18" x14ac:dyDescent="0.25">
      <c r="A30">
        <v>907</v>
      </c>
      <c r="B30" t="str">
        <f t="shared" si="0"/>
        <v>Курск</v>
      </c>
      <c r="C30">
        <v>920386</v>
      </c>
      <c r="D30" t="str">
        <f t="shared" si="6"/>
        <v>Опора</v>
      </c>
      <c r="E30" t="str">
        <f t="shared" si="9"/>
        <v>(Опора)</v>
      </c>
      <c r="F30" t="str">
        <f>""</f>
        <v/>
      </c>
      <c r="G30" t="str">
        <f t="shared" si="7"/>
        <v>_МС (CAB_MS)</v>
      </c>
      <c r="H30" t="str">
        <f t="shared" si="8"/>
        <v>МС 1.1</v>
      </c>
      <c r="I30" t="str">
        <f t="shared" si="10"/>
        <v>23.12.2020</v>
      </c>
      <c r="J30" t="str">
        <f>""</f>
        <v/>
      </c>
      <c r="K30" t="str">
        <f t="shared" si="11"/>
        <v>Отсутствует</v>
      </c>
      <c r="L30" t="str">
        <f t="shared" si="12"/>
        <v>Не указан</v>
      </c>
      <c r="M30" t="str">
        <f t="shared" si="13"/>
        <v>Неизвестно</v>
      </c>
      <c r="N30" t="str">
        <f t="shared" si="14"/>
        <v>Нет</v>
      </c>
      <c r="O30" t="str">
        <f t="shared" si="15"/>
        <v>[46/3216] М 1.5.6 - М 1.1.10</v>
      </c>
      <c r="P30">
        <v>36.182195620000002</v>
      </c>
      <c r="Q30">
        <v>51.731909870000003</v>
      </c>
      <c r="R30" t="str">
        <f>""</f>
        <v/>
      </c>
    </row>
    <row r="31" spans="1:18" x14ac:dyDescent="0.25">
      <c r="A31">
        <v>907</v>
      </c>
      <c r="B31" t="str">
        <f t="shared" si="0"/>
        <v>Курск</v>
      </c>
      <c r="C31">
        <v>920387</v>
      </c>
      <c r="D31" t="str">
        <f t="shared" si="6"/>
        <v>Опора</v>
      </c>
      <c r="E31" t="str">
        <f t="shared" si="9"/>
        <v>(Опора)</v>
      </c>
      <c r="F31" t="str">
        <f>""</f>
        <v/>
      </c>
      <c r="G31" t="str">
        <f t="shared" si="7"/>
        <v>_МС (CAB_MS)</v>
      </c>
      <c r="H31" t="str">
        <f t="shared" si="8"/>
        <v>МС 1.1</v>
      </c>
      <c r="I31" t="str">
        <f t="shared" si="10"/>
        <v>23.12.2020</v>
      </c>
      <c r="J31" t="str">
        <f>""</f>
        <v/>
      </c>
      <c r="K31" t="str">
        <f t="shared" si="11"/>
        <v>Отсутствует</v>
      </c>
      <c r="L31" t="str">
        <f t="shared" si="12"/>
        <v>Не указан</v>
      </c>
      <c r="M31" t="str">
        <f t="shared" si="13"/>
        <v>Неизвестно</v>
      </c>
      <c r="N31" t="str">
        <f t="shared" si="14"/>
        <v>Нет</v>
      </c>
      <c r="O31" t="str">
        <f>"[46/3238] М 1.1.10 - М 1.5.9"</f>
        <v>[46/3238] М 1.1.10 - М 1.5.9</v>
      </c>
      <c r="P31">
        <v>36.18431322</v>
      </c>
      <c r="Q31">
        <v>51.73217442</v>
      </c>
      <c r="R31" t="str">
        <f>""</f>
        <v/>
      </c>
    </row>
    <row r="32" spans="1:18" x14ac:dyDescent="0.25">
      <c r="A32">
        <v>907</v>
      </c>
      <c r="B32" t="str">
        <f t="shared" si="0"/>
        <v>Курск</v>
      </c>
      <c r="C32">
        <v>920388</v>
      </c>
      <c r="D32" t="str">
        <f t="shared" si="6"/>
        <v>Опора</v>
      </c>
      <c r="E32" t="str">
        <f t="shared" si="9"/>
        <v>(Опора)</v>
      </c>
      <c r="F32" t="str">
        <f>""</f>
        <v/>
      </c>
      <c r="G32" t="str">
        <f t="shared" si="7"/>
        <v>_МС (CAB_MS)</v>
      </c>
      <c r="H32" t="str">
        <f t="shared" si="8"/>
        <v>МС 1.1</v>
      </c>
      <c r="I32" t="str">
        <f t="shared" si="10"/>
        <v>23.12.2020</v>
      </c>
      <c r="J32" t="str">
        <f>""</f>
        <v/>
      </c>
      <c r="K32" t="str">
        <f t="shared" si="11"/>
        <v>Отсутствует</v>
      </c>
      <c r="L32" t="str">
        <f t="shared" si="12"/>
        <v>Не указан</v>
      </c>
      <c r="M32" t="str">
        <f t="shared" si="13"/>
        <v>Неизвестно</v>
      </c>
      <c r="N32" t="str">
        <f t="shared" si="14"/>
        <v>Нет</v>
      </c>
      <c r="O32" t="str">
        <f>"[46/3216] М 1.5.6 - М 1.1.10"</f>
        <v>[46/3216] М 1.5.6 - М 1.1.10</v>
      </c>
      <c r="P32">
        <v>36.183625239999998</v>
      </c>
      <c r="Q32">
        <v>51.73138368</v>
      </c>
      <c r="R32" t="str">
        <f>""</f>
        <v/>
      </c>
    </row>
    <row r="33" spans="1:18" x14ac:dyDescent="0.25">
      <c r="A33">
        <v>907</v>
      </c>
      <c r="B33" t="str">
        <f t="shared" si="0"/>
        <v>Курск</v>
      </c>
      <c r="C33">
        <v>920389</v>
      </c>
      <c r="D33" t="str">
        <f t="shared" si="6"/>
        <v>Опора</v>
      </c>
      <c r="E33" t="str">
        <f t="shared" si="9"/>
        <v>(Опора)</v>
      </c>
      <c r="F33" t="str">
        <f>""</f>
        <v/>
      </c>
      <c r="G33" t="str">
        <f t="shared" si="7"/>
        <v>_МС (CAB_MS)</v>
      </c>
      <c r="H33" t="str">
        <f t="shared" si="8"/>
        <v>МС 1.1</v>
      </c>
      <c r="I33" t="str">
        <f t="shared" si="10"/>
        <v>23.12.2020</v>
      </c>
      <c r="J33" t="str">
        <f>""</f>
        <v/>
      </c>
      <c r="K33" t="str">
        <f t="shared" si="11"/>
        <v>Отсутствует</v>
      </c>
      <c r="L33" t="str">
        <f t="shared" si="12"/>
        <v>Не указан</v>
      </c>
      <c r="M33" t="str">
        <f t="shared" si="13"/>
        <v>Неизвестно</v>
      </c>
      <c r="N33" t="str">
        <f t="shared" si="14"/>
        <v>Нет</v>
      </c>
      <c r="O33" t="str">
        <f>"[46/3216] М 1.5.6 - М 1.1.10"</f>
        <v>[46/3216] М 1.5.6 - М 1.1.10</v>
      </c>
      <c r="P33">
        <v>36.183264479999998</v>
      </c>
      <c r="Q33">
        <v>51.731230019999998</v>
      </c>
      <c r="R33" t="str">
        <f>""</f>
        <v/>
      </c>
    </row>
    <row r="34" spans="1:18" x14ac:dyDescent="0.25">
      <c r="A34">
        <v>907</v>
      </c>
      <c r="B34" t="str">
        <f t="shared" si="0"/>
        <v>Курск</v>
      </c>
      <c r="C34">
        <v>920392</v>
      </c>
      <c r="D34" t="str">
        <f t="shared" si="6"/>
        <v>Опора</v>
      </c>
      <c r="E34" t="str">
        <f t="shared" si="9"/>
        <v>(Опора)</v>
      </c>
      <c r="F34" t="str">
        <f>""</f>
        <v/>
      </c>
      <c r="G34" t="str">
        <f t="shared" si="7"/>
        <v>_МС (CAB_MS)</v>
      </c>
      <c r="H34" t="str">
        <f t="shared" si="8"/>
        <v>МС 1.1</v>
      </c>
      <c r="I34" t="str">
        <f t="shared" si="10"/>
        <v>23.12.2020</v>
      </c>
      <c r="J34" t="str">
        <f>""</f>
        <v/>
      </c>
      <c r="K34" t="str">
        <f t="shared" si="11"/>
        <v>Отсутствует</v>
      </c>
      <c r="L34" t="str">
        <f t="shared" si="12"/>
        <v>Не указан</v>
      </c>
      <c r="M34" t="str">
        <f t="shared" si="13"/>
        <v>Неизвестно</v>
      </c>
      <c r="N34" t="str">
        <f t="shared" si="14"/>
        <v>Нет</v>
      </c>
      <c r="O34" t="str">
        <f>"[46/3238] М 1.1.10 - М 1.5.9"</f>
        <v>[46/3238] М 1.1.10 - М 1.5.9</v>
      </c>
      <c r="P34">
        <v>36.184891909999997</v>
      </c>
      <c r="Q34">
        <v>51.732315620000001</v>
      </c>
      <c r="R34" t="str">
        <f>""</f>
        <v/>
      </c>
    </row>
    <row r="35" spans="1:18" x14ac:dyDescent="0.25">
      <c r="A35">
        <v>907</v>
      </c>
      <c r="B35" t="str">
        <f t="shared" si="0"/>
        <v>Курск</v>
      </c>
      <c r="C35">
        <v>920393</v>
      </c>
      <c r="D35" t="str">
        <f t="shared" si="6"/>
        <v>Опора</v>
      </c>
      <c r="E35" t="str">
        <f t="shared" si="9"/>
        <v>(Опора)</v>
      </c>
      <c r="F35" t="str">
        <f>""</f>
        <v/>
      </c>
      <c r="G35" t="str">
        <f t="shared" si="7"/>
        <v>_МС (CAB_MS)</v>
      </c>
      <c r="H35" t="str">
        <f t="shared" si="8"/>
        <v>МС 1.1</v>
      </c>
      <c r="I35" t="str">
        <f t="shared" si="10"/>
        <v>23.12.2020</v>
      </c>
      <c r="J35" t="str">
        <f>""</f>
        <v/>
      </c>
      <c r="K35" t="str">
        <f t="shared" si="11"/>
        <v>Отсутствует</v>
      </c>
      <c r="L35" t="str">
        <f t="shared" si="12"/>
        <v>Не указан</v>
      </c>
      <c r="M35" t="str">
        <f t="shared" si="13"/>
        <v>Неизвестно</v>
      </c>
      <c r="N35" t="str">
        <f t="shared" si="14"/>
        <v>Нет</v>
      </c>
      <c r="O35" t="str">
        <f>"[46/3220] М 1.5.9 - М1.1.15"</f>
        <v>[46/3220] М 1.5.9 - М1.1.15</v>
      </c>
      <c r="P35">
        <v>36.185104469999999</v>
      </c>
      <c r="Q35">
        <v>51.732278239999999</v>
      </c>
      <c r="R35" t="str">
        <f>""</f>
        <v/>
      </c>
    </row>
    <row r="36" spans="1:18" x14ac:dyDescent="0.25">
      <c r="A36">
        <v>907</v>
      </c>
      <c r="B36" t="str">
        <f t="shared" si="0"/>
        <v>Курск</v>
      </c>
      <c r="C36">
        <v>920402</v>
      </c>
      <c r="D36" t="str">
        <f t="shared" si="6"/>
        <v>Опора</v>
      </c>
      <c r="E36" t="str">
        <f t="shared" si="9"/>
        <v>(Опора)</v>
      </c>
      <c r="F36" t="str">
        <f>""</f>
        <v/>
      </c>
      <c r="G36" t="str">
        <f t="shared" si="7"/>
        <v>_МС (CAB_MS)</v>
      </c>
      <c r="H36" t="str">
        <f t="shared" si="8"/>
        <v>МС 1.1</v>
      </c>
      <c r="I36" t="str">
        <f t="shared" si="10"/>
        <v>23.12.2020</v>
      </c>
      <c r="J36" t="str">
        <f>""</f>
        <v/>
      </c>
      <c r="K36" t="str">
        <f t="shared" si="11"/>
        <v>Отсутствует</v>
      </c>
      <c r="L36" t="str">
        <f t="shared" si="12"/>
        <v>Не указан</v>
      </c>
      <c r="M36" t="str">
        <f t="shared" si="13"/>
        <v>Неизвестно</v>
      </c>
      <c r="N36" t="str">
        <f t="shared" si="14"/>
        <v>Нет</v>
      </c>
      <c r="O36" t="str">
        <f>"[46/3220] М 1.5.9 - М1.1.15"</f>
        <v>[46/3220] М 1.5.9 - М1.1.15</v>
      </c>
      <c r="P36">
        <v>36.18520204</v>
      </c>
      <c r="Q36">
        <v>51.73316655</v>
      </c>
      <c r="R36" t="str">
        <f>""</f>
        <v/>
      </c>
    </row>
    <row r="37" spans="1:18" x14ac:dyDescent="0.25">
      <c r="A37">
        <v>907</v>
      </c>
      <c r="B37" t="str">
        <f t="shared" si="0"/>
        <v>Курск</v>
      </c>
      <c r="C37">
        <v>920403</v>
      </c>
      <c r="D37" t="str">
        <f t="shared" si="6"/>
        <v>Опора</v>
      </c>
      <c r="E37" t="str">
        <f t="shared" si="9"/>
        <v>(Опора)</v>
      </c>
      <c r="F37" t="str">
        <f>""</f>
        <v/>
      </c>
      <c r="G37" t="str">
        <f t="shared" si="7"/>
        <v>_МС (CAB_MS)</v>
      </c>
      <c r="H37" t="str">
        <f t="shared" si="8"/>
        <v>МС 1.1</v>
      </c>
      <c r="I37" t="str">
        <f t="shared" si="10"/>
        <v>23.12.2020</v>
      </c>
      <c r="J37" t="str">
        <f>""</f>
        <v/>
      </c>
      <c r="K37" t="str">
        <f t="shared" si="11"/>
        <v>Отсутствует</v>
      </c>
      <c r="L37" t="str">
        <f t="shared" si="12"/>
        <v>Не указан</v>
      </c>
      <c r="M37" t="str">
        <f t="shared" si="13"/>
        <v>Неизвестно</v>
      </c>
      <c r="N37" t="str">
        <f t="shared" si="14"/>
        <v>Нет</v>
      </c>
      <c r="O37" t="str">
        <f>"[46/3220] М 1.5.9 - М1.1.15"</f>
        <v>[46/3220] М 1.5.9 - М1.1.15</v>
      </c>
      <c r="P37">
        <v>36.18520607</v>
      </c>
      <c r="Q37">
        <v>51.732890380000001</v>
      </c>
      <c r="R37" t="str">
        <f>""</f>
        <v/>
      </c>
    </row>
    <row r="38" spans="1:18" x14ac:dyDescent="0.25">
      <c r="A38">
        <v>907</v>
      </c>
      <c r="B38" t="str">
        <f t="shared" si="0"/>
        <v>Курск</v>
      </c>
      <c r="C38">
        <v>920404</v>
      </c>
      <c r="D38" t="str">
        <f t="shared" si="6"/>
        <v>Опора</v>
      </c>
      <c r="E38" t="str">
        <f t="shared" si="9"/>
        <v>(Опора)</v>
      </c>
      <c r="F38" t="str">
        <f>""</f>
        <v/>
      </c>
      <c r="G38" t="str">
        <f t="shared" si="7"/>
        <v>_МС (CAB_MS)</v>
      </c>
      <c r="H38" t="str">
        <f t="shared" si="8"/>
        <v>МС 1.1</v>
      </c>
      <c r="I38" t="str">
        <f t="shared" si="10"/>
        <v>23.12.2020</v>
      </c>
      <c r="J38" t="str">
        <f>""</f>
        <v/>
      </c>
      <c r="K38" t="str">
        <f t="shared" si="11"/>
        <v>Отсутствует</v>
      </c>
      <c r="L38" t="str">
        <f t="shared" si="12"/>
        <v>Не указан</v>
      </c>
      <c r="M38" t="str">
        <f t="shared" si="13"/>
        <v>Неизвестно</v>
      </c>
      <c r="N38" t="str">
        <f t="shared" si="14"/>
        <v>Нет</v>
      </c>
      <c r="O38" t="str">
        <f>"[46/3220] М 1.5.9 - М1.1.15"</f>
        <v>[46/3220] М 1.5.9 - М1.1.15</v>
      </c>
      <c r="P38">
        <v>36.18519869</v>
      </c>
      <c r="Q38">
        <v>51.732619620000001</v>
      </c>
      <c r="R38" t="str">
        <f>""</f>
        <v/>
      </c>
    </row>
    <row r="39" spans="1:18" x14ac:dyDescent="0.25">
      <c r="A39">
        <v>907</v>
      </c>
      <c r="B39" t="str">
        <f t="shared" si="0"/>
        <v>Курск</v>
      </c>
      <c r="C39">
        <v>920405</v>
      </c>
      <c r="D39" t="str">
        <f t="shared" si="6"/>
        <v>Опора</v>
      </c>
      <c r="E39" t="str">
        <f t="shared" si="9"/>
        <v>(Опора)</v>
      </c>
      <c r="F39" t="str">
        <f>""</f>
        <v/>
      </c>
      <c r="G39" t="str">
        <f t="shared" si="7"/>
        <v>_МС (CAB_MS)</v>
      </c>
      <c r="H39" t="str">
        <f t="shared" si="8"/>
        <v>МС 1.1</v>
      </c>
      <c r="I39" t="str">
        <f t="shared" si="10"/>
        <v>23.12.2020</v>
      </c>
      <c r="J39" t="str">
        <f>""</f>
        <v/>
      </c>
      <c r="K39" t="str">
        <f t="shared" si="11"/>
        <v>Отсутствует</v>
      </c>
      <c r="L39" t="str">
        <f t="shared" si="12"/>
        <v>Не указан</v>
      </c>
      <c r="M39" t="str">
        <f t="shared" si="13"/>
        <v>Неизвестно</v>
      </c>
      <c r="N39" t="str">
        <f t="shared" si="14"/>
        <v>Нет</v>
      </c>
      <c r="O39" t="str">
        <f>"[46/3220] М 1.5.9 - М1.1.15"</f>
        <v>[46/3220] М 1.5.9 - М1.1.15</v>
      </c>
      <c r="P39">
        <v>36.185198679999999</v>
      </c>
      <c r="Q39">
        <v>51.732345309999999</v>
      </c>
      <c r="R39" t="str">
        <f>""</f>
        <v/>
      </c>
    </row>
    <row r="40" spans="1:18" x14ac:dyDescent="0.25">
      <c r="A40">
        <v>907</v>
      </c>
      <c r="B40" t="str">
        <f t="shared" si="0"/>
        <v>Курск</v>
      </c>
      <c r="C40">
        <v>920410</v>
      </c>
      <c r="D40" t="str">
        <f t="shared" si="6"/>
        <v>Опора</v>
      </c>
      <c r="E40" t="str">
        <f t="shared" si="9"/>
        <v>(Опора)</v>
      </c>
      <c r="F40" t="str">
        <f>""</f>
        <v/>
      </c>
      <c r="G40" t="str">
        <f t="shared" si="7"/>
        <v>_МС (CAB_MS)</v>
      </c>
      <c r="H40" t="str">
        <f t="shared" si="8"/>
        <v>МС 1.1</v>
      </c>
      <c r="I40" t="str">
        <f t="shared" si="10"/>
        <v>23.12.2020</v>
      </c>
      <c r="J40" t="str">
        <f>""</f>
        <v/>
      </c>
      <c r="K40" t="str">
        <f t="shared" si="11"/>
        <v>Отсутствует</v>
      </c>
      <c r="L40" t="str">
        <f t="shared" si="12"/>
        <v>Не указан</v>
      </c>
      <c r="M40" t="str">
        <f t="shared" si="13"/>
        <v>Неизвестно</v>
      </c>
      <c r="N40" t="str">
        <f t="shared" si="14"/>
        <v>Нет</v>
      </c>
      <c r="O40" t="str">
        <f>"[46/3216] М 1.5.6 - М 1.1.10"</f>
        <v>[46/3216] М 1.5.6 - М 1.1.10</v>
      </c>
      <c r="P40">
        <v>36.181685659999999</v>
      </c>
      <c r="Q40">
        <v>51.731710319999998</v>
      </c>
      <c r="R40" t="str">
        <f>""</f>
        <v/>
      </c>
    </row>
    <row r="41" spans="1:18" x14ac:dyDescent="0.25">
      <c r="A41">
        <v>907</v>
      </c>
      <c r="B41" t="str">
        <f t="shared" si="0"/>
        <v>Курск</v>
      </c>
      <c r="C41">
        <v>920409</v>
      </c>
      <c r="D41" t="str">
        <f t="shared" si="6"/>
        <v>Опора</v>
      </c>
      <c r="E41" t="str">
        <f t="shared" si="9"/>
        <v>(Опора)</v>
      </c>
      <c r="F41" t="str">
        <f>""</f>
        <v/>
      </c>
      <c r="G41" t="str">
        <f t="shared" si="7"/>
        <v>_МС (CAB_MS)</v>
      </c>
      <c r="H41" t="str">
        <f t="shared" si="8"/>
        <v>МС 1.1</v>
      </c>
      <c r="I41" t="str">
        <f t="shared" si="10"/>
        <v>23.12.2020</v>
      </c>
      <c r="J41" t="str">
        <f>""</f>
        <v/>
      </c>
      <c r="K41" t="str">
        <f t="shared" si="11"/>
        <v>Отсутствует</v>
      </c>
      <c r="L41" t="str">
        <f t="shared" si="12"/>
        <v>Не указан</v>
      </c>
      <c r="M41" t="str">
        <f t="shared" si="13"/>
        <v>Неизвестно</v>
      </c>
      <c r="N41" t="str">
        <f t="shared" si="14"/>
        <v>Нет</v>
      </c>
      <c r="O41" t="str">
        <f>"[46/3216] М 1.5.6 - М 1.1.10"</f>
        <v>[46/3216] М 1.5.6 - М 1.1.10</v>
      </c>
      <c r="P41">
        <v>36.180396860000002</v>
      </c>
      <c r="Q41">
        <v>51.731250989999999</v>
      </c>
      <c r="R41" t="str">
        <f>""</f>
        <v/>
      </c>
    </row>
    <row r="42" spans="1:18" x14ac:dyDescent="0.25">
      <c r="A42">
        <v>907</v>
      </c>
      <c r="B42" t="str">
        <f t="shared" si="0"/>
        <v>Курск</v>
      </c>
      <c r="C42">
        <v>920408</v>
      </c>
      <c r="D42" t="str">
        <f t="shared" si="6"/>
        <v>Опора</v>
      </c>
      <c r="E42" t="str">
        <f t="shared" si="9"/>
        <v>(Опора)</v>
      </c>
      <c r="F42" t="str">
        <f>""</f>
        <v/>
      </c>
      <c r="G42" t="str">
        <f t="shared" si="7"/>
        <v>_МС (CAB_MS)</v>
      </c>
      <c r="H42" t="str">
        <f t="shared" si="8"/>
        <v>МС 1.1</v>
      </c>
      <c r="I42" t="str">
        <f t="shared" si="10"/>
        <v>23.12.2020</v>
      </c>
      <c r="J42" t="str">
        <f>""</f>
        <v/>
      </c>
      <c r="K42" t="str">
        <f t="shared" si="11"/>
        <v>Отсутствует</v>
      </c>
      <c r="L42" t="str">
        <f t="shared" si="12"/>
        <v>Не указан</v>
      </c>
      <c r="M42" t="str">
        <f t="shared" si="13"/>
        <v>Неизвестно</v>
      </c>
      <c r="N42" t="str">
        <f t="shared" si="14"/>
        <v>Нет</v>
      </c>
      <c r="O42" t="str">
        <f>"[46/3216] М 1.5.6 - М 1.1.10"</f>
        <v>[46/3216] М 1.5.6 - М 1.1.10</v>
      </c>
      <c r="P42">
        <v>36.178002990782304</v>
      </c>
      <c r="Q42">
        <v>51.730337304698701</v>
      </c>
      <c r="R42" t="str">
        <f>""</f>
        <v/>
      </c>
    </row>
    <row r="43" spans="1:18" x14ac:dyDescent="0.25">
      <c r="A43">
        <v>907</v>
      </c>
      <c r="B43" t="str">
        <f t="shared" si="0"/>
        <v>Курск</v>
      </c>
      <c r="C43">
        <v>920407</v>
      </c>
      <c r="D43" t="str">
        <f t="shared" si="6"/>
        <v>Опора</v>
      </c>
      <c r="E43" t="str">
        <f t="shared" si="9"/>
        <v>(Опора)</v>
      </c>
      <c r="F43" t="str">
        <f>""</f>
        <v/>
      </c>
      <c r="G43" t="str">
        <f t="shared" si="7"/>
        <v>_МС (CAB_MS)</v>
      </c>
      <c r="H43" t="str">
        <f t="shared" si="8"/>
        <v>МС 1.1</v>
      </c>
      <c r="I43" t="str">
        <f t="shared" si="10"/>
        <v>23.12.2020</v>
      </c>
      <c r="J43" t="str">
        <f>""</f>
        <v/>
      </c>
      <c r="K43" t="str">
        <f t="shared" si="11"/>
        <v>Отсутствует</v>
      </c>
      <c r="L43" t="str">
        <f t="shared" si="12"/>
        <v>Не указан</v>
      </c>
      <c r="M43" t="str">
        <f t="shared" si="13"/>
        <v>Неизвестно</v>
      </c>
      <c r="N43" t="str">
        <f t="shared" si="14"/>
        <v>Нет</v>
      </c>
      <c r="O43" t="str">
        <f>"[46/3216] М 1.5.6 - М 1.1.10"</f>
        <v>[46/3216] М 1.5.6 - М 1.1.10</v>
      </c>
      <c r="P43">
        <v>36.178837829999999</v>
      </c>
      <c r="Q43">
        <v>51.730689079999998</v>
      </c>
      <c r="R43" t="str">
        <f>""</f>
        <v/>
      </c>
    </row>
    <row r="44" spans="1:18" x14ac:dyDescent="0.25">
      <c r="A44">
        <v>907</v>
      </c>
      <c r="B44" t="str">
        <f t="shared" si="0"/>
        <v>Курск</v>
      </c>
      <c r="C44">
        <v>920406</v>
      </c>
      <c r="D44" t="str">
        <f t="shared" si="6"/>
        <v>Опора</v>
      </c>
      <c r="E44" t="str">
        <f t="shared" si="9"/>
        <v>(Опора)</v>
      </c>
      <c r="F44" t="str">
        <f>""</f>
        <v/>
      </c>
      <c r="G44" t="str">
        <f t="shared" si="7"/>
        <v>_МС (CAB_MS)</v>
      </c>
      <c r="H44" t="str">
        <f t="shared" si="8"/>
        <v>МС 1.1</v>
      </c>
      <c r="I44" t="str">
        <f t="shared" si="10"/>
        <v>23.12.2020</v>
      </c>
      <c r="J44" t="str">
        <f>""</f>
        <v/>
      </c>
      <c r="K44" t="str">
        <f t="shared" si="11"/>
        <v>Отсутствует</v>
      </c>
      <c r="L44" t="str">
        <f t="shared" si="12"/>
        <v>Не указан</v>
      </c>
      <c r="M44" t="str">
        <f t="shared" si="13"/>
        <v>Неизвестно</v>
      </c>
      <c r="N44" t="str">
        <f t="shared" si="14"/>
        <v>Нет</v>
      </c>
      <c r="O44" t="str">
        <f>"[46/3238] М 1.1.10 - М 1.5.9"</f>
        <v>[46/3238] М 1.1.10 - М 1.5.9</v>
      </c>
      <c r="P44">
        <v>36.184595860000002</v>
      </c>
      <c r="Q44">
        <v>51.732236919999998</v>
      </c>
      <c r="R44" t="str">
        <f>""</f>
        <v/>
      </c>
    </row>
    <row r="45" spans="1:18" x14ac:dyDescent="0.25">
      <c r="A45">
        <v>907</v>
      </c>
      <c r="B45" t="str">
        <f t="shared" si="0"/>
        <v>Курск</v>
      </c>
      <c r="C45">
        <v>859763</v>
      </c>
      <c r="D45" t="str">
        <f t="shared" ref="D45:D71" si="16">"Опора контактной сети"</f>
        <v>Опора контактной сети</v>
      </c>
      <c r="E45" t="str">
        <f>"08/1137 (200)"</f>
        <v>08/1137 (200)</v>
      </c>
      <c r="F45" t="str">
        <f>""</f>
        <v/>
      </c>
      <c r="G45" t="str">
        <f t="shared" si="7"/>
        <v>_МС (CAB_MS)</v>
      </c>
      <c r="H45" t="str">
        <f t="shared" ref="H45:H66" si="17">"МС 1.2"</f>
        <v>МС 1.2</v>
      </c>
      <c r="I45" t="str">
        <f t="shared" ref="I45:I54" si="18">"22.05.2013"</f>
        <v>22.05.2013</v>
      </c>
      <c r="J45" t="str">
        <f>""</f>
        <v/>
      </c>
      <c r="K45" t="str">
        <f t="shared" ref="K45:K54" si="19">"ТУ № 08/1137"</f>
        <v>ТУ № 08/1137</v>
      </c>
      <c r="L45" t="str">
        <f t="shared" ref="L45:L56" si="20">"МУП ""Курскэлектротранс"""</f>
        <v>МУП "Курскэлектротранс"</v>
      </c>
      <c r="M45" t="str">
        <f t="shared" ref="M45:N54" si="21">"Да"</f>
        <v>Да</v>
      </c>
      <c r="N45" t="str">
        <f t="shared" si="21"/>
        <v>Да</v>
      </c>
      <c r="O45" t="str">
        <f t="shared" ref="O45:O66" si="22">"[46/805] М 1.1.1 - М 1.2.1"</f>
        <v>[46/805] М 1.1.1 - М 1.2.1</v>
      </c>
      <c r="P45">
        <v>36.164747178554499</v>
      </c>
      <c r="Q45">
        <v>51.719165805472301</v>
      </c>
      <c r="R45" t="str">
        <f>"20000004579037"</f>
        <v>20000004579037</v>
      </c>
    </row>
    <row r="46" spans="1:18" x14ac:dyDescent="0.25">
      <c r="A46">
        <v>907</v>
      </c>
      <c r="B46" t="str">
        <f t="shared" si="0"/>
        <v>Курск</v>
      </c>
      <c r="C46">
        <v>859760</v>
      </c>
      <c r="D46" t="str">
        <f t="shared" si="16"/>
        <v>Опора контактной сети</v>
      </c>
      <c r="E46" t="str">
        <f>"08/1137 (197)"</f>
        <v>08/1137 (197)</v>
      </c>
      <c r="F46" t="str">
        <f>""</f>
        <v/>
      </c>
      <c r="G46" t="str">
        <f t="shared" si="7"/>
        <v>_МС (CAB_MS)</v>
      </c>
      <c r="H46" t="str">
        <f t="shared" si="17"/>
        <v>МС 1.2</v>
      </c>
      <c r="I46" t="str">
        <f t="shared" si="18"/>
        <v>22.05.2013</v>
      </c>
      <c r="J46" t="str">
        <f>""</f>
        <v/>
      </c>
      <c r="K46" t="str">
        <f t="shared" si="19"/>
        <v>ТУ № 08/1137</v>
      </c>
      <c r="L46" t="str">
        <f t="shared" si="20"/>
        <v>МУП "Курскэлектротранс"</v>
      </c>
      <c r="M46" t="str">
        <f t="shared" si="21"/>
        <v>Да</v>
      </c>
      <c r="N46" t="str">
        <f t="shared" si="21"/>
        <v>Да</v>
      </c>
      <c r="O46" t="str">
        <f t="shared" si="22"/>
        <v>[46/805] М 1.1.1 - М 1.2.1</v>
      </c>
      <c r="P46">
        <v>36.165144150000003</v>
      </c>
      <c r="Q46">
        <v>51.719644359999997</v>
      </c>
      <c r="R46" t="str">
        <f>"20000004579034"</f>
        <v>20000004579034</v>
      </c>
    </row>
    <row r="47" spans="1:18" x14ac:dyDescent="0.25">
      <c r="A47">
        <v>907</v>
      </c>
      <c r="B47" t="str">
        <f t="shared" si="0"/>
        <v>Курск</v>
      </c>
      <c r="C47">
        <v>859766</v>
      </c>
      <c r="D47" t="str">
        <f t="shared" si="16"/>
        <v>Опора контактной сети</v>
      </c>
      <c r="E47" t="str">
        <f>"08/1137 (201)"</f>
        <v>08/1137 (201)</v>
      </c>
      <c r="F47" t="str">
        <f>""</f>
        <v/>
      </c>
      <c r="G47" t="str">
        <f t="shared" si="7"/>
        <v>_МС (CAB_MS)</v>
      </c>
      <c r="H47" t="str">
        <f t="shared" si="17"/>
        <v>МС 1.2</v>
      </c>
      <c r="I47" t="str">
        <f t="shared" si="18"/>
        <v>22.05.2013</v>
      </c>
      <c r="J47" t="str">
        <f>""</f>
        <v/>
      </c>
      <c r="K47" t="str">
        <f t="shared" si="19"/>
        <v>ТУ № 08/1137</v>
      </c>
      <c r="L47" t="str">
        <f t="shared" si="20"/>
        <v>МУП "Курскэлектротранс"</v>
      </c>
      <c r="M47" t="str">
        <f t="shared" si="21"/>
        <v>Да</v>
      </c>
      <c r="N47" t="str">
        <f t="shared" si="21"/>
        <v>Да</v>
      </c>
      <c r="O47" t="str">
        <f t="shared" si="22"/>
        <v>[46/805] М 1.1.1 - М 1.2.1</v>
      </c>
      <c r="P47">
        <v>36.164977848529801</v>
      </c>
      <c r="Q47">
        <v>51.718790265882802</v>
      </c>
      <c r="R47" t="str">
        <f>"20000004579039"</f>
        <v>20000004579039</v>
      </c>
    </row>
    <row r="48" spans="1:18" x14ac:dyDescent="0.25">
      <c r="A48">
        <v>907</v>
      </c>
      <c r="B48" t="str">
        <f t="shared" si="0"/>
        <v>Курск</v>
      </c>
      <c r="C48">
        <v>859767</v>
      </c>
      <c r="D48" t="str">
        <f t="shared" si="16"/>
        <v>Опора контактной сети</v>
      </c>
      <c r="E48" t="str">
        <f>"08/1137 (202)"</f>
        <v>08/1137 (202)</v>
      </c>
      <c r="F48" t="str">
        <f>""</f>
        <v/>
      </c>
      <c r="G48" t="str">
        <f t="shared" si="7"/>
        <v>_МС (CAB_MS)</v>
      </c>
      <c r="H48" t="str">
        <f t="shared" si="17"/>
        <v>МС 1.2</v>
      </c>
      <c r="I48" t="str">
        <f t="shared" si="18"/>
        <v>22.05.2013</v>
      </c>
      <c r="J48" t="str">
        <f>""</f>
        <v/>
      </c>
      <c r="K48" t="str">
        <f t="shared" si="19"/>
        <v>ТУ № 08/1137</v>
      </c>
      <c r="L48" t="str">
        <f t="shared" si="20"/>
        <v>МУП "Курскэлектротранс"</v>
      </c>
      <c r="M48" t="str">
        <f t="shared" si="21"/>
        <v>Да</v>
      </c>
      <c r="N48" t="str">
        <f t="shared" si="21"/>
        <v>Да</v>
      </c>
      <c r="O48" t="str">
        <f t="shared" si="22"/>
        <v>[46/805] М 1.1.1 - М 1.2.1</v>
      </c>
      <c r="P48">
        <v>36.165106590000001</v>
      </c>
      <c r="Q48">
        <v>51.718570919999998</v>
      </c>
      <c r="R48" t="str">
        <f>"20000004579040"</f>
        <v>20000004579040</v>
      </c>
    </row>
    <row r="49" spans="1:18" x14ac:dyDescent="0.25">
      <c r="A49">
        <v>907</v>
      </c>
      <c r="B49" t="str">
        <f t="shared" si="0"/>
        <v>Курск</v>
      </c>
      <c r="C49">
        <v>859768</v>
      </c>
      <c r="D49" t="str">
        <f t="shared" si="16"/>
        <v>Опора контактной сети</v>
      </c>
      <c r="E49" t="str">
        <f>"08/1137 (203)"</f>
        <v>08/1137 (203)</v>
      </c>
      <c r="F49" t="str">
        <f>""</f>
        <v/>
      </c>
      <c r="G49" t="str">
        <f t="shared" si="7"/>
        <v>_МС (CAB_MS)</v>
      </c>
      <c r="H49" t="str">
        <f t="shared" si="17"/>
        <v>МС 1.2</v>
      </c>
      <c r="I49" t="str">
        <f t="shared" si="18"/>
        <v>22.05.2013</v>
      </c>
      <c r="J49" t="str">
        <f>""</f>
        <v/>
      </c>
      <c r="K49" t="str">
        <f t="shared" si="19"/>
        <v>ТУ № 08/1137</v>
      </c>
      <c r="L49" t="str">
        <f t="shared" si="20"/>
        <v>МУП "Курскэлектротранс"</v>
      </c>
      <c r="M49" t="str">
        <f t="shared" si="21"/>
        <v>Да</v>
      </c>
      <c r="N49" t="str">
        <f t="shared" si="21"/>
        <v>Да</v>
      </c>
      <c r="O49" t="str">
        <f t="shared" si="22"/>
        <v>[46/805] М 1.1.1 - М 1.2.1</v>
      </c>
      <c r="P49">
        <v>36.165272891521496</v>
      </c>
      <c r="Q49">
        <v>51.718361548733697</v>
      </c>
      <c r="R49" t="str">
        <f>"20000004579041"</f>
        <v>20000004579041</v>
      </c>
    </row>
    <row r="50" spans="1:18" x14ac:dyDescent="0.25">
      <c r="A50">
        <v>907</v>
      </c>
      <c r="B50" t="str">
        <f t="shared" si="0"/>
        <v>Курск</v>
      </c>
      <c r="C50">
        <v>859769</v>
      </c>
      <c r="D50" t="str">
        <f t="shared" si="16"/>
        <v>Опора контактной сети</v>
      </c>
      <c r="E50" t="str">
        <f>"08/1137 (204)"</f>
        <v>08/1137 (204)</v>
      </c>
      <c r="F50" t="str">
        <f>""</f>
        <v/>
      </c>
      <c r="G50" t="str">
        <f t="shared" si="7"/>
        <v>_МС (CAB_MS)</v>
      </c>
      <c r="H50" t="str">
        <f t="shared" si="17"/>
        <v>МС 1.2</v>
      </c>
      <c r="I50" t="str">
        <f t="shared" si="18"/>
        <v>22.05.2013</v>
      </c>
      <c r="J50" t="str">
        <f>""</f>
        <v/>
      </c>
      <c r="K50" t="str">
        <f t="shared" si="19"/>
        <v>ТУ № 08/1137</v>
      </c>
      <c r="L50" t="str">
        <f t="shared" si="20"/>
        <v>МУП "Курскэлектротранс"</v>
      </c>
      <c r="M50" t="str">
        <f t="shared" si="21"/>
        <v>Да</v>
      </c>
      <c r="N50" t="str">
        <f t="shared" si="21"/>
        <v>Да</v>
      </c>
      <c r="O50" t="str">
        <f t="shared" si="22"/>
        <v>[46/805] М 1.1.1 - М 1.2.1</v>
      </c>
      <c r="P50">
        <v>36.165423095226302</v>
      </c>
      <c r="Q50">
        <v>51.7181422035042</v>
      </c>
      <c r="R50" t="str">
        <f>"20000004579042"</f>
        <v>20000004579042</v>
      </c>
    </row>
    <row r="51" spans="1:18" x14ac:dyDescent="0.25">
      <c r="A51">
        <v>907</v>
      </c>
      <c r="B51" t="str">
        <f t="shared" si="0"/>
        <v>Курск</v>
      </c>
      <c r="C51">
        <v>859770</v>
      </c>
      <c r="D51" t="str">
        <f t="shared" si="16"/>
        <v>Опора контактной сети</v>
      </c>
      <c r="E51" t="str">
        <f>"08/1137 (205)"</f>
        <v>08/1137 (205)</v>
      </c>
      <c r="F51" t="str">
        <f>""</f>
        <v/>
      </c>
      <c r="G51" t="str">
        <f t="shared" si="7"/>
        <v>_МС (CAB_MS)</v>
      </c>
      <c r="H51" t="str">
        <f t="shared" si="17"/>
        <v>МС 1.2</v>
      </c>
      <c r="I51" t="str">
        <f t="shared" si="18"/>
        <v>22.05.2013</v>
      </c>
      <c r="J51" t="str">
        <f>""</f>
        <v/>
      </c>
      <c r="K51" t="str">
        <f t="shared" si="19"/>
        <v>ТУ № 08/1137</v>
      </c>
      <c r="L51" t="str">
        <f t="shared" si="20"/>
        <v>МУП "Курскэлектротранс"</v>
      </c>
      <c r="M51" t="str">
        <f t="shared" si="21"/>
        <v>Да</v>
      </c>
      <c r="N51" t="str">
        <f t="shared" si="21"/>
        <v>Да</v>
      </c>
      <c r="O51" t="str">
        <f t="shared" si="22"/>
        <v>[46/805] М 1.1.1 - М 1.2.1</v>
      </c>
      <c r="P51">
        <v>36.165546476841001</v>
      </c>
      <c r="Q51">
        <v>51.717926180647403</v>
      </c>
      <c r="R51" t="str">
        <f>"20000004579043"</f>
        <v>20000004579043</v>
      </c>
    </row>
    <row r="52" spans="1:18" x14ac:dyDescent="0.25">
      <c r="A52">
        <v>907</v>
      </c>
      <c r="B52" t="str">
        <f t="shared" si="0"/>
        <v>Курск</v>
      </c>
      <c r="C52">
        <v>859771</v>
      </c>
      <c r="D52" t="str">
        <f t="shared" si="16"/>
        <v>Опора контактной сети</v>
      </c>
      <c r="E52" t="str">
        <f>"08/1137 (206)"</f>
        <v>08/1137 (206)</v>
      </c>
      <c r="F52" t="str">
        <f>""</f>
        <v/>
      </c>
      <c r="G52" t="str">
        <f t="shared" si="7"/>
        <v>_МС (CAB_MS)</v>
      </c>
      <c r="H52" t="str">
        <f t="shared" si="17"/>
        <v>МС 1.2</v>
      </c>
      <c r="I52" t="str">
        <f t="shared" si="18"/>
        <v>22.05.2013</v>
      </c>
      <c r="J52" t="str">
        <f>""</f>
        <v/>
      </c>
      <c r="K52" t="str">
        <f t="shared" si="19"/>
        <v>ТУ № 08/1137</v>
      </c>
      <c r="L52" t="str">
        <f t="shared" si="20"/>
        <v>МУП "Курскэлектротранс"</v>
      </c>
      <c r="M52" t="str">
        <f t="shared" si="21"/>
        <v>Да</v>
      </c>
      <c r="N52" t="str">
        <f t="shared" si="21"/>
        <v>Да</v>
      </c>
      <c r="O52" t="str">
        <f t="shared" si="22"/>
        <v>[46/805] М 1.1.1 - М 1.2.1</v>
      </c>
      <c r="P52">
        <v>36.165669858455701</v>
      </c>
      <c r="Q52">
        <v>51.717723450566098</v>
      </c>
      <c r="R52" t="str">
        <f>"20000004579044"</f>
        <v>20000004579044</v>
      </c>
    </row>
    <row r="53" spans="1:18" x14ac:dyDescent="0.25">
      <c r="A53">
        <v>907</v>
      </c>
      <c r="B53" t="str">
        <f t="shared" si="0"/>
        <v>Курск</v>
      </c>
      <c r="C53">
        <v>859773</v>
      </c>
      <c r="D53" t="str">
        <f t="shared" si="16"/>
        <v>Опора контактной сети</v>
      </c>
      <c r="E53" t="str">
        <f>"08/1137 (207)"</f>
        <v>08/1137 (207)</v>
      </c>
      <c r="F53" t="str">
        <f>""</f>
        <v/>
      </c>
      <c r="G53" t="str">
        <f t="shared" si="7"/>
        <v>_МС (CAB_MS)</v>
      </c>
      <c r="H53" t="str">
        <f t="shared" si="17"/>
        <v>МС 1.2</v>
      </c>
      <c r="I53" t="str">
        <f t="shared" si="18"/>
        <v>22.05.2013</v>
      </c>
      <c r="J53" t="str">
        <f>""</f>
        <v/>
      </c>
      <c r="K53" t="str">
        <f t="shared" si="19"/>
        <v>ТУ № 08/1137</v>
      </c>
      <c r="L53" t="str">
        <f t="shared" si="20"/>
        <v>МУП "Курскэлектротранс"</v>
      </c>
      <c r="M53" t="str">
        <f t="shared" si="21"/>
        <v>Да</v>
      </c>
      <c r="N53" t="str">
        <f t="shared" si="21"/>
        <v>Да</v>
      </c>
      <c r="O53" t="str">
        <f t="shared" si="22"/>
        <v>[46/805] М 1.1.1 - М 1.2.1</v>
      </c>
      <c r="P53">
        <v>36.165766417980201</v>
      </c>
      <c r="Q53">
        <v>51.717524043042197</v>
      </c>
      <c r="R53" t="str">
        <f>"20000004579045"</f>
        <v>20000004579045</v>
      </c>
    </row>
    <row r="54" spans="1:18" x14ac:dyDescent="0.25">
      <c r="A54">
        <v>907</v>
      </c>
      <c r="B54" t="str">
        <f t="shared" si="0"/>
        <v>Курск</v>
      </c>
      <c r="C54">
        <v>859774</v>
      </c>
      <c r="D54" t="str">
        <f t="shared" si="16"/>
        <v>Опора контактной сети</v>
      </c>
      <c r="E54" t="str">
        <f>"08/1137 (208)"</f>
        <v>08/1137 (208)</v>
      </c>
      <c r="F54" t="str">
        <f>""</f>
        <v/>
      </c>
      <c r="G54" t="str">
        <f t="shared" si="7"/>
        <v>_МС (CAB_MS)</v>
      </c>
      <c r="H54" t="str">
        <f t="shared" si="17"/>
        <v>МС 1.2</v>
      </c>
      <c r="I54" t="str">
        <f t="shared" si="18"/>
        <v>22.05.2013</v>
      </c>
      <c r="J54" t="str">
        <f>""</f>
        <v/>
      </c>
      <c r="K54" t="str">
        <f t="shared" si="19"/>
        <v>ТУ № 08/1137</v>
      </c>
      <c r="L54" t="str">
        <f t="shared" si="20"/>
        <v>МУП "Курскэлектротранс"</v>
      </c>
      <c r="M54" t="str">
        <f t="shared" si="21"/>
        <v>Да</v>
      </c>
      <c r="N54" t="str">
        <f t="shared" si="21"/>
        <v>Да</v>
      </c>
      <c r="O54" t="str">
        <f t="shared" si="22"/>
        <v>[46/805] М 1.1.1 - М 1.2.1</v>
      </c>
      <c r="P54">
        <v>36.165879070758798</v>
      </c>
      <c r="Q54">
        <v>51.717314664195797</v>
      </c>
      <c r="R54" t="str">
        <f>"20000004579046"</f>
        <v>20000004579046</v>
      </c>
    </row>
    <row r="55" spans="1:18" x14ac:dyDescent="0.25">
      <c r="A55">
        <v>907</v>
      </c>
      <c r="B55" t="str">
        <f t="shared" si="0"/>
        <v>Курск</v>
      </c>
      <c r="C55">
        <v>829203</v>
      </c>
      <c r="D55" t="str">
        <f t="shared" si="16"/>
        <v>Опора контактной сети</v>
      </c>
      <c r="E55" t="str">
        <f>"КЭТ 03"</f>
        <v>КЭТ 03</v>
      </c>
      <c r="F55" t="str">
        <f>""</f>
        <v/>
      </c>
      <c r="G55" t="str">
        <f t="shared" si="7"/>
        <v>_МС (CAB_MS)</v>
      </c>
      <c r="H55" t="str">
        <f t="shared" si="17"/>
        <v>МС 1.2</v>
      </c>
      <c r="I55" t="str">
        <f>"09.08.2012"</f>
        <v>09.08.2012</v>
      </c>
      <c r="J55" t="str">
        <f>""</f>
        <v/>
      </c>
      <c r="K55" t="str">
        <f>"ТУ № 04/830"</f>
        <v>ТУ № 04/830</v>
      </c>
      <c r="L55" t="str">
        <f t="shared" si="20"/>
        <v>МУП "Курскэлектротранс"</v>
      </c>
      <c r="M55" t="str">
        <f>"Нет"</f>
        <v>Нет</v>
      </c>
      <c r="N55" t="str">
        <f>"Нет"</f>
        <v>Нет</v>
      </c>
      <c r="O55" t="str">
        <f t="shared" si="22"/>
        <v>[46/805] М 1.1.1 - М 1.2.1</v>
      </c>
      <c r="P55">
        <v>36.170605123043103</v>
      </c>
      <c r="Q55">
        <v>51.721787848966798</v>
      </c>
      <c r="R55" t="str">
        <f>"20000004578043"</f>
        <v>20000004578043</v>
      </c>
    </row>
    <row r="56" spans="1:18" x14ac:dyDescent="0.25">
      <c r="A56">
        <v>907</v>
      </c>
      <c r="B56" t="str">
        <f t="shared" si="0"/>
        <v>Курск</v>
      </c>
      <c r="C56">
        <v>829244</v>
      </c>
      <c r="D56" t="str">
        <f t="shared" si="16"/>
        <v>Опора контактной сети</v>
      </c>
      <c r="E56" t="str">
        <f>"КЭТ 11"</f>
        <v>КЭТ 11</v>
      </c>
      <c r="F56" t="str">
        <f>""</f>
        <v/>
      </c>
      <c r="G56" t="str">
        <f t="shared" si="7"/>
        <v>_МС (CAB_MS)</v>
      </c>
      <c r="H56" t="str">
        <f t="shared" si="17"/>
        <v>МС 1.2</v>
      </c>
      <c r="I56" t="str">
        <f>"09.08.2012"</f>
        <v>09.08.2012</v>
      </c>
      <c r="J56" t="str">
        <f>""</f>
        <v/>
      </c>
      <c r="K56" t="str">
        <f>"ТУ № 04/830"</f>
        <v>ТУ № 04/830</v>
      </c>
      <c r="L56" t="str">
        <f t="shared" si="20"/>
        <v>МУП "Курскэлектротранс"</v>
      </c>
      <c r="M56" t="str">
        <f>"Нет"</f>
        <v>Нет</v>
      </c>
      <c r="N56" t="str">
        <f>"Нет"</f>
        <v>Нет</v>
      </c>
      <c r="O56" t="str">
        <f t="shared" si="22"/>
        <v>[46/805] М 1.1.1 - М 1.2.1</v>
      </c>
      <c r="P56">
        <v>36.167483031749697</v>
      </c>
      <c r="Q56">
        <v>51.720591498172297</v>
      </c>
      <c r="R56" t="str">
        <f>"20000004578051"</f>
        <v>20000004578051</v>
      </c>
    </row>
    <row r="57" spans="1:18" x14ac:dyDescent="0.25">
      <c r="A57">
        <v>907</v>
      </c>
      <c r="B57" t="str">
        <f t="shared" si="0"/>
        <v>Курск</v>
      </c>
      <c r="C57">
        <v>859752</v>
      </c>
      <c r="D57" t="str">
        <f t="shared" si="16"/>
        <v>Опора контактной сети</v>
      </c>
      <c r="E57" t="str">
        <f>"08/1137 (190)"</f>
        <v>08/1137 (190)</v>
      </c>
      <c r="F57" t="str">
        <f>""</f>
        <v/>
      </c>
      <c r="G57" t="str">
        <f t="shared" si="7"/>
        <v>_МС (CAB_MS)</v>
      </c>
      <c r="H57" t="str">
        <f t="shared" si="17"/>
        <v>МС 1.2</v>
      </c>
      <c r="I57" t="str">
        <f t="shared" ref="I57:I66" si="23">"22.05.2013"</f>
        <v>22.05.2013</v>
      </c>
      <c r="J57" t="str">
        <f>""</f>
        <v/>
      </c>
      <c r="K57" t="str">
        <f t="shared" ref="K57:K75" si="24">"ТУ № 08/1137"</f>
        <v>ТУ № 08/1137</v>
      </c>
      <c r="L57" t="str">
        <f>"Комитет по управлению муниципальным имуществом города Курска"</f>
        <v>Комитет по управлению муниципальным имуществом города Курска</v>
      </c>
      <c r="M57" t="str">
        <f t="shared" ref="M57:N66" si="25">"Да"</f>
        <v>Да</v>
      </c>
      <c r="N57" t="str">
        <f t="shared" si="25"/>
        <v>Да</v>
      </c>
      <c r="O57" t="str">
        <f t="shared" si="22"/>
        <v>[46/805] М 1.1.1 - М 1.2.1</v>
      </c>
      <c r="P57">
        <v>36.167300641536698</v>
      </c>
      <c r="Q57">
        <v>51.720438628845599</v>
      </c>
      <c r="R57" t="str">
        <f>"20000004579027"</f>
        <v>20000004579027</v>
      </c>
    </row>
    <row r="58" spans="1:18" x14ac:dyDescent="0.25">
      <c r="A58">
        <v>907</v>
      </c>
      <c r="B58" t="str">
        <f t="shared" si="0"/>
        <v>Курск</v>
      </c>
      <c r="C58">
        <v>859761</v>
      </c>
      <c r="D58" t="str">
        <f t="shared" si="16"/>
        <v>Опора контактной сети</v>
      </c>
      <c r="E58" t="str">
        <f>"08/1137 (198)"</f>
        <v>08/1137 (198)</v>
      </c>
      <c r="F58" t="str">
        <f>""</f>
        <v/>
      </c>
      <c r="G58" t="str">
        <f t="shared" si="7"/>
        <v>_МС (CAB_MS)</v>
      </c>
      <c r="H58" t="str">
        <f t="shared" si="17"/>
        <v>МС 1.2</v>
      </c>
      <c r="I58" t="str">
        <f t="shared" si="23"/>
        <v>22.05.2013</v>
      </c>
      <c r="J58" t="str">
        <f>""</f>
        <v/>
      </c>
      <c r="K58" t="str">
        <f t="shared" si="24"/>
        <v>ТУ № 08/1137</v>
      </c>
      <c r="L58" t="str">
        <f>"МУП ""Курскэлектротранс"""</f>
        <v>МУП "Курскэлектротранс"</v>
      </c>
      <c r="M58" t="str">
        <f t="shared" si="25"/>
        <v>Да</v>
      </c>
      <c r="N58" t="str">
        <f t="shared" si="25"/>
        <v>Да</v>
      </c>
      <c r="O58" t="str">
        <f t="shared" si="22"/>
        <v>[46/805] М 1.1.1 - М 1.2.1</v>
      </c>
      <c r="P58">
        <v>36.164843738079099</v>
      </c>
      <c r="Q58">
        <v>51.719521402031702</v>
      </c>
      <c r="R58" t="str">
        <f>"20000004579035"</f>
        <v>20000004579035</v>
      </c>
    </row>
    <row r="59" spans="1:18" x14ac:dyDescent="0.25">
      <c r="A59">
        <v>907</v>
      </c>
      <c r="B59" t="str">
        <f t="shared" si="0"/>
        <v>Курск</v>
      </c>
      <c r="C59">
        <v>859762</v>
      </c>
      <c r="D59" t="str">
        <f t="shared" si="16"/>
        <v>Опора контактной сети</v>
      </c>
      <c r="E59" t="str">
        <f>"08/1137 (199)"</f>
        <v>08/1137 (199)</v>
      </c>
      <c r="F59" t="str">
        <f>""</f>
        <v/>
      </c>
      <c r="G59" t="str">
        <f t="shared" si="7"/>
        <v>_МС (CAB_MS)</v>
      </c>
      <c r="H59" t="str">
        <f t="shared" si="17"/>
        <v>МС 1.2</v>
      </c>
      <c r="I59" t="str">
        <f t="shared" si="23"/>
        <v>22.05.2013</v>
      </c>
      <c r="J59" t="str">
        <f>""</f>
        <v/>
      </c>
      <c r="K59" t="str">
        <f t="shared" si="24"/>
        <v>ТУ № 08/1137</v>
      </c>
      <c r="L59" t="str">
        <f>"Комитет по управлению муниципальным имуществом города Курска"</f>
        <v>Комитет по управлению муниципальным имуществом города Курска</v>
      </c>
      <c r="M59" t="str">
        <f t="shared" si="25"/>
        <v>Да</v>
      </c>
      <c r="N59" t="str">
        <f t="shared" si="25"/>
        <v>Да</v>
      </c>
      <c r="O59" t="str">
        <f t="shared" si="22"/>
        <v>[46/805] М 1.1.1 - М 1.2.1</v>
      </c>
      <c r="P59">
        <v>36.164709627628298</v>
      </c>
      <c r="Q59">
        <v>51.7193554434715</v>
      </c>
      <c r="R59" t="str">
        <f>"20000004579036"</f>
        <v>20000004579036</v>
      </c>
    </row>
    <row r="60" spans="1:18" x14ac:dyDescent="0.25">
      <c r="A60">
        <v>907</v>
      </c>
      <c r="B60" t="str">
        <f t="shared" si="0"/>
        <v>Курск</v>
      </c>
      <c r="C60">
        <v>859753</v>
      </c>
      <c r="D60" t="str">
        <f t="shared" si="16"/>
        <v>Опора контактной сети</v>
      </c>
      <c r="E60" t="str">
        <f>"08/1137 (191)"</f>
        <v>08/1137 (191)</v>
      </c>
      <c r="F60" t="str">
        <f>""</f>
        <v/>
      </c>
      <c r="G60" t="str">
        <f t="shared" si="7"/>
        <v>_МС (CAB_MS)</v>
      </c>
      <c r="H60" t="str">
        <f t="shared" si="17"/>
        <v>МС 1.2</v>
      </c>
      <c r="I60" t="str">
        <f t="shared" si="23"/>
        <v>22.05.2013</v>
      </c>
      <c r="J60" t="str">
        <f>""</f>
        <v/>
      </c>
      <c r="K60" t="str">
        <f t="shared" si="24"/>
        <v>ТУ № 08/1137</v>
      </c>
      <c r="L60" t="str">
        <f>"Комитет по управлению муниципальным имуществом города Курска"</f>
        <v>Комитет по управлению муниципальным имуществом города Курска</v>
      </c>
      <c r="M60" t="str">
        <f t="shared" si="25"/>
        <v>Да</v>
      </c>
      <c r="N60" t="str">
        <f t="shared" si="25"/>
        <v>Да</v>
      </c>
      <c r="O60" t="str">
        <f t="shared" si="22"/>
        <v>[46/805] М 1.1.1 - М 1.2.1</v>
      </c>
      <c r="P60">
        <v>36.167000234127002</v>
      </c>
      <c r="Q60">
        <v>51.720292405527701</v>
      </c>
      <c r="R60" t="str">
        <f>"20000004579028"</f>
        <v>20000004579028</v>
      </c>
    </row>
    <row r="61" spans="1:18" x14ac:dyDescent="0.25">
      <c r="A61">
        <v>907</v>
      </c>
      <c r="B61" t="str">
        <f t="shared" si="0"/>
        <v>Курск</v>
      </c>
      <c r="C61">
        <v>859754</v>
      </c>
      <c r="D61" t="str">
        <f t="shared" si="16"/>
        <v>Опора контактной сети</v>
      </c>
      <c r="E61" t="str">
        <f>"08/1137 (192)"</f>
        <v>08/1137 (192)</v>
      </c>
      <c r="F61" t="str">
        <f>""</f>
        <v/>
      </c>
      <c r="G61" t="str">
        <f t="shared" si="7"/>
        <v>_МС (CAB_MS)</v>
      </c>
      <c r="H61" t="str">
        <f t="shared" si="17"/>
        <v>МС 1.2</v>
      </c>
      <c r="I61" t="str">
        <f t="shared" si="23"/>
        <v>22.05.2013</v>
      </c>
      <c r="J61" t="str">
        <f>""</f>
        <v/>
      </c>
      <c r="K61" t="str">
        <f t="shared" si="24"/>
        <v>ТУ № 08/1137</v>
      </c>
      <c r="L61" t="str">
        <f>"Комитет по управлению муниципальным имуществом города Курска"</f>
        <v>Комитет по управлению муниципальным имуществом города Курска</v>
      </c>
      <c r="M61" t="str">
        <f t="shared" si="25"/>
        <v>Да</v>
      </c>
      <c r="N61" t="str">
        <f t="shared" si="25"/>
        <v>Да</v>
      </c>
      <c r="O61" t="str">
        <f t="shared" si="22"/>
        <v>[46/805] М 1.1.1 - М 1.2.1</v>
      </c>
      <c r="P61">
        <v>36.166624724865002</v>
      </c>
      <c r="Q61">
        <v>51.720159474828399</v>
      </c>
      <c r="R61" t="str">
        <f>"20000004579029"</f>
        <v>20000004579029</v>
      </c>
    </row>
    <row r="62" spans="1:18" x14ac:dyDescent="0.25">
      <c r="A62">
        <v>907</v>
      </c>
      <c r="B62" t="str">
        <f t="shared" si="0"/>
        <v>Курск</v>
      </c>
      <c r="C62">
        <v>859755</v>
      </c>
      <c r="D62" t="str">
        <f t="shared" si="16"/>
        <v>Опора контактной сети</v>
      </c>
      <c r="E62" t="str">
        <f>"08/1137 (193)"</f>
        <v>08/1137 (193)</v>
      </c>
      <c r="F62" t="str">
        <f>""</f>
        <v/>
      </c>
      <c r="G62" t="str">
        <f t="shared" si="7"/>
        <v>_МС (CAB_MS)</v>
      </c>
      <c r="H62" t="str">
        <f t="shared" si="17"/>
        <v>МС 1.2</v>
      </c>
      <c r="I62" t="str">
        <f t="shared" si="23"/>
        <v>22.05.2013</v>
      </c>
      <c r="J62" t="str">
        <f>""</f>
        <v/>
      </c>
      <c r="K62" t="str">
        <f t="shared" si="24"/>
        <v>ТУ № 08/1137</v>
      </c>
      <c r="L62" t="str">
        <f>"Комитет по управлению муниципальным имуществом города Курска"</f>
        <v>Комитет по управлению муниципальным имуществом города Курска</v>
      </c>
      <c r="M62" t="str">
        <f t="shared" si="25"/>
        <v>Да</v>
      </c>
      <c r="N62" t="str">
        <f t="shared" si="25"/>
        <v>Да</v>
      </c>
      <c r="O62" t="str">
        <f t="shared" si="22"/>
        <v>[46/805] М 1.1.1 - М 1.2.1</v>
      </c>
      <c r="P62">
        <v>36.166356503963499</v>
      </c>
      <c r="Q62">
        <v>51.720069746385398</v>
      </c>
      <c r="R62" t="str">
        <f>"20000004579030"</f>
        <v>20000004579030</v>
      </c>
    </row>
    <row r="63" spans="1:18" x14ac:dyDescent="0.25">
      <c r="A63">
        <v>907</v>
      </c>
      <c r="B63" t="str">
        <f t="shared" si="0"/>
        <v>Курск</v>
      </c>
      <c r="C63">
        <v>859756</v>
      </c>
      <c r="D63" t="str">
        <f t="shared" si="16"/>
        <v>Опора контактной сети</v>
      </c>
      <c r="E63" t="str">
        <f>"08/1137 (194)"</f>
        <v>08/1137 (194)</v>
      </c>
      <c r="F63" t="str">
        <f>""</f>
        <v/>
      </c>
      <c r="G63" t="str">
        <f t="shared" si="7"/>
        <v>_МС (CAB_MS)</v>
      </c>
      <c r="H63" t="str">
        <f t="shared" si="17"/>
        <v>МС 1.2</v>
      </c>
      <c r="I63" t="str">
        <f t="shared" si="23"/>
        <v>22.05.2013</v>
      </c>
      <c r="J63" t="str">
        <f>""</f>
        <v/>
      </c>
      <c r="K63" t="str">
        <f t="shared" si="24"/>
        <v>ТУ № 08/1137</v>
      </c>
      <c r="L63" t="str">
        <f>"Комитет по управлению муниципальным имуществом города Курска"</f>
        <v>Комитет по управлению муниципальным имуществом города Курска</v>
      </c>
      <c r="M63" t="str">
        <f t="shared" si="25"/>
        <v>Да</v>
      </c>
      <c r="N63" t="str">
        <f t="shared" si="25"/>
        <v>Да</v>
      </c>
      <c r="O63" t="str">
        <f t="shared" si="22"/>
        <v>[46/805] М 1.1.1 - М 1.2.1</v>
      </c>
      <c r="P63">
        <v>36.166023910045602</v>
      </c>
      <c r="Q63">
        <v>51.719940138320098</v>
      </c>
      <c r="R63" t="str">
        <f>"20000004579031"</f>
        <v>20000004579031</v>
      </c>
    </row>
    <row r="64" spans="1:18" x14ac:dyDescent="0.25">
      <c r="A64">
        <v>907</v>
      </c>
      <c r="B64" t="str">
        <f t="shared" si="0"/>
        <v>Курск</v>
      </c>
      <c r="C64">
        <v>859758</v>
      </c>
      <c r="D64" t="str">
        <f t="shared" si="16"/>
        <v>Опора контактной сети</v>
      </c>
      <c r="E64" t="str">
        <f>"08/1137 (195)"</f>
        <v>08/1137 (195)</v>
      </c>
      <c r="F64" t="str">
        <f>""</f>
        <v/>
      </c>
      <c r="G64" t="str">
        <f t="shared" si="7"/>
        <v>_МС (CAB_MS)</v>
      </c>
      <c r="H64" t="str">
        <f t="shared" si="17"/>
        <v>МС 1.2</v>
      </c>
      <c r="I64" t="str">
        <f t="shared" si="23"/>
        <v>22.05.2013</v>
      </c>
      <c r="J64" t="str">
        <f>""</f>
        <v/>
      </c>
      <c r="K64" t="str">
        <f t="shared" si="24"/>
        <v>ТУ № 08/1137</v>
      </c>
      <c r="L64" t="str">
        <f t="shared" ref="L64:L87" si="26">"МУП ""Курскэлектротранс"""</f>
        <v>МУП "Курскэлектротранс"</v>
      </c>
      <c r="M64" t="str">
        <f t="shared" si="25"/>
        <v>Да</v>
      </c>
      <c r="N64" t="str">
        <f t="shared" si="25"/>
        <v>Да</v>
      </c>
      <c r="O64" t="str">
        <f t="shared" si="22"/>
        <v>[46/805] М 1.1.1 - М 1.2.1</v>
      </c>
      <c r="P64">
        <v>36.165675222873702</v>
      </c>
      <c r="Q64">
        <v>51.719827146370299</v>
      </c>
      <c r="R64" t="str">
        <f>"20000004579032"</f>
        <v>20000004579032</v>
      </c>
    </row>
    <row r="65" spans="1:18" x14ac:dyDescent="0.25">
      <c r="A65">
        <v>907</v>
      </c>
      <c r="B65" t="str">
        <f t="shared" si="0"/>
        <v>Курск</v>
      </c>
      <c r="C65">
        <v>859759</v>
      </c>
      <c r="D65" t="str">
        <f t="shared" si="16"/>
        <v>Опора контактной сети</v>
      </c>
      <c r="E65" t="str">
        <f>"08/1137 (196)"</f>
        <v>08/1137 (196)</v>
      </c>
      <c r="F65" t="str">
        <f>""</f>
        <v/>
      </c>
      <c r="G65" t="str">
        <f t="shared" si="7"/>
        <v>_МС (CAB_MS)</v>
      </c>
      <c r="H65" t="str">
        <f t="shared" si="17"/>
        <v>МС 1.2</v>
      </c>
      <c r="I65" t="str">
        <f t="shared" si="23"/>
        <v>22.05.2013</v>
      </c>
      <c r="J65" t="str">
        <f>""</f>
        <v/>
      </c>
      <c r="K65" t="str">
        <f t="shared" si="24"/>
        <v>ТУ № 08/1137</v>
      </c>
      <c r="L65" t="str">
        <f t="shared" si="26"/>
        <v>МУП "Курскэлектротранс"</v>
      </c>
      <c r="M65" t="str">
        <f t="shared" si="25"/>
        <v>Да</v>
      </c>
      <c r="N65" t="str">
        <f t="shared" si="25"/>
        <v>Да</v>
      </c>
      <c r="O65" t="str">
        <f t="shared" si="22"/>
        <v>[46/805] М 1.1.1 - М 1.2.1</v>
      </c>
      <c r="P65">
        <v>36.165401637554197</v>
      </c>
      <c r="Q65">
        <v>51.719737417267901</v>
      </c>
      <c r="R65" t="str">
        <f>"20000004579033"</f>
        <v>20000004579033</v>
      </c>
    </row>
    <row r="66" spans="1:18" x14ac:dyDescent="0.25">
      <c r="A66">
        <v>907</v>
      </c>
      <c r="B66" t="str">
        <f t="shared" ref="B66:B129" si="27">"Курск"</f>
        <v>Курск</v>
      </c>
      <c r="C66">
        <v>859764</v>
      </c>
      <c r="D66" t="str">
        <f t="shared" si="16"/>
        <v>Опора контактной сети</v>
      </c>
      <c r="E66" t="str">
        <f>"08/1137 (201)"</f>
        <v>08/1137 (201)</v>
      </c>
      <c r="F66" t="str">
        <f>""</f>
        <v/>
      </c>
      <c r="G66" t="str">
        <f t="shared" si="7"/>
        <v>_МС (CAB_MS)</v>
      </c>
      <c r="H66" t="str">
        <f t="shared" si="17"/>
        <v>МС 1.2</v>
      </c>
      <c r="I66" t="str">
        <f t="shared" si="23"/>
        <v>22.05.2013</v>
      </c>
      <c r="J66" t="str">
        <f>""</f>
        <v/>
      </c>
      <c r="K66" t="str">
        <f t="shared" si="24"/>
        <v>ТУ № 08/1137</v>
      </c>
      <c r="L66" t="str">
        <f t="shared" si="26"/>
        <v>МУП "Курскэлектротранс"</v>
      </c>
      <c r="M66" t="str">
        <f t="shared" si="25"/>
        <v>Да</v>
      </c>
      <c r="N66" t="str">
        <f t="shared" si="25"/>
        <v>Да</v>
      </c>
      <c r="O66" t="str">
        <f t="shared" si="22"/>
        <v>[46/805] М 1.1.1 - М 1.2.1</v>
      </c>
      <c r="P66">
        <v>36.164865195751197</v>
      </c>
      <c r="Q66">
        <v>51.718953318576602</v>
      </c>
      <c r="R66" t="str">
        <f>"20000004579038"</f>
        <v>20000004579038</v>
      </c>
    </row>
    <row r="67" spans="1:18" x14ac:dyDescent="0.25">
      <c r="A67">
        <v>907</v>
      </c>
      <c r="B67" t="str">
        <f t="shared" si="27"/>
        <v>Курск</v>
      </c>
      <c r="C67">
        <v>922157</v>
      </c>
      <c r="D67" t="str">
        <f t="shared" si="16"/>
        <v>Опора контактной сети</v>
      </c>
      <c r="E67" t="str">
        <f>"08/1137 (0004)"</f>
        <v>08/1137 (0004)</v>
      </c>
      <c r="F67" t="str">
        <f>""</f>
        <v/>
      </c>
      <c r="G67" t="str">
        <f t="shared" si="7"/>
        <v>_МС (CAB_MS)</v>
      </c>
      <c r="H67" t="str">
        <f t="shared" ref="H67:H87" si="28">"МС 1.3"</f>
        <v>МС 1.3</v>
      </c>
      <c r="I67" t="str">
        <f t="shared" ref="I67:I75" si="29">"12.03.2021"</f>
        <v>12.03.2021</v>
      </c>
      <c r="J67" t="str">
        <f>""</f>
        <v/>
      </c>
      <c r="K67" t="str">
        <f t="shared" si="24"/>
        <v>ТУ № 08/1137</v>
      </c>
      <c r="L67" t="str">
        <f t="shared" si="26"/>
        <v>МУП "Курскэлектротранс"</v>
      </c>
      <c r="M67" t="str">
        <f t="shared" ref="M67:M90" si="30">"Неизвестно"</f>
        <v>Неизвестно</v>
      </c>
      <c r="N67" t="str">
        <f t="shared" ref="N67:N75" si="31">"Да"</f>
        <v>Да</v>
      </c>
      <c r="O67" t="str">
        <f t="shared" ref="O67:O75" si="32">"[46/1237] М 1.3.12 - М 1.3.11"</f>
        <v>[46/1237] М 1.3.12 - М 1.3.11</v>
      </c>
      <c r="P67">
        <v>36.161367179999999</v>
      </c>
      <c r="Q67">
        <v>51.70606411</v>
      </c>
      <c r="R67" t="str">
        <f>""</f>
        <v/>
      </c>
    </row>
    <row r="68" spans="1:18" x14ac:dyDescent="0.25">
      <c r="A68">
        <v>907</v>
      </c>
      <c r="B68" t="str">
        <f t="shared" si="27"/>
        <v>Курск</v>
      </c>
      <c r="C68">
        <v>922156</v>
      </c>
      <c r="D68" t="str">
        <f t="shared" si="16"/>
        <v>Опора контактной сети</v>
      </c>
      <c r="E68" t="str">
        <f>"08/1137 (0003)"</f>
        <v>08/1137 (0003)</v>
      </c>
      <c r="F68" t="str">
        <f>""</f>
        <v/>
      </c>
      <c r="G68" t="str">
        <f t="shared" si="7"/>
        <v>_МС (CAB_MS)</v>
      </c>
      <c r="H68" t="str">
        <f t="shared" si="28"/>
        <v>МС 1.3</v>
      </c>
      <c r="I68" t="str">
        <f t="shared" si="29"/>
        <v>12.03.2021</v>
      </c>
      <c r="J68" t="str">
        <f>""</f>
        <v/>
      </c>
      <c r="K68" t="str">
        <f t="shared" si="24"/>
        <v>ТУ № 08/1137</v>
      </c>
      <c r="L68" t="str">
        <f t="shared" si="26"/>
        <v>МУП "Курскэлектротранс"</v>
      </c>
      <c r="M68" t="str">
        <f t="shared" si="30"/>
        <v>Неизвестно</v>
      </c>
      <c r="N68" t="str">
        <f t="shared" si="31"/>
        <v>Да</v>
      </c>
      <c r="O68" t="str">
        <f t="shared" si="32"/>
        <v>[46/1237] М 1.3.12 - М 1.3.11</v>
      </c>
      <c r="P68">
        <v>36.161735980000003</v>
      </c>
      <c r="Q68">
        <v>51.705970200000003</v>
      </c>
      <c r="R68" t="str">
        <f>""</f>
        <v/>
      </c>
    </row>
    <row r="69" spans="1:18" x14ac:dyDescent="0.25">
      <c r="A69">
        <v>907</v>
      </c>
      <c r="B69" t="str">
        <f t="shared" si="27"/>
        <v>Курск</v>
      </c>
      <c r="C69">
        <v>922155</v>
      </c>
      <c r="D69" t="str">
        <f t="shared" si="16"/>
        <v>Опора контактной сети</v>
      </c>
      <c r="E69" t="str">
        <f>"08/1137 (0002)"</f>
        <v>08/1137 (0002)</v>
      </c>
      <c r="F69" t="str">
        <f>""</f>
        <v/>
      </c>
      <c r="G69" t="str">
        <f t="shared" si="7"/>
        <v>_МС (CAB_MS)</v>
      </c>
      <c r="H69" t="str">
        <f t="shared" si="28"/>
        <v>МС 1.3</v>
      </c>
      <c r="I69" t="str">
        <f t="shared" si="29"/>
        <v>12.03.2021</v>
      </c>
      <c r="J69" t="str">
        <f>""</f>
        <v/>
      </c>
      <c r="K69" t="str">
        <f t="shared" si="24"/>
        <v>ТУ № 08/1137</v>
      </c>
      <c r="L69" t="str">
        <f t="shared" si="26"/>
        <v>МУП "Курскэлектротранс"</v>
      </c>
      <c r="M69" t="str">
        <f t="shared" si="30"/>
        <v>Неизвестно</v>
      </c>
      <c r="N69" t="str">
        <f t="shared" si="31"/>
        <v>Да</v>
      </c>
      <c r="O69" t="str">
        <f t="shared" si="32"/>
        <v>[46/1237] М 1.3.12 - М 1.3.11</v>
      </c>
      <c r="P69">
        <v>36.162063209999999</v>
      </c>
      <c r="Q69">
        <v>51.705882109999997</v>
      </c>
      <c r="R69" t="str">
        <f>""</f>
        <v/>
      </c>
    </row>
    <row r="70" spans="1:18" x14ac:dyDescent="0.25">
      <c r="A70">
        <v>907</v>
      </c>
      <c r="B70" t="str">
        <f t="shared" si="27"/>
        <v>Курск</v>
      </c>
      <c r="C70">
        <v>922154</v>
      </c>
      <c r="D70" t="str">
        <f t="shared" si="16"/>
        <v>Опора контактной сети</v>
      </c>
      <c r="E70" t="str">
        <f>"08/1137 (0001)"</f>
        <v>08/1137 (0001)</v>
      </c>
      <c r="F70" t="str">
        <f>""</f>
        <v/>
      </c>
      <c r="G70" t="str">
        <f t="shared" si="7"/>
        <v>_МС (CAB_MS)</v>
      </c>
      <c r="H70" t="str">
        <f t="shared" si="28"/>
        <v>МС 1.3</v>
      </c>
      <c r="I70" t="str">
        <f t="shared" si="29"/>
        <v>12.03.2021</v>
      </c>
      <c r="J70" t="str">
        <f>""</f>
        <v/>
      </c>
      <c r="K70" t="str">
        <f t="shared" si="24"/>
        <v>ТУ № 08/1137</v>
      </c>
      <c r="L70" t="str">
        <f t="shared" si="26"/>
        <v>МУП "Курскэлектротранс"</v>
      </c>
      <c r="M70" t="str">
        <f t="shared" si="30"/>
        <v>Неизвестно</v>
      </c>
      <c r="N70" t="str">
        <f t="shared" si="31"/>
        <v>Да</v>
      </c>
      <c r="O70" t="str">
        <f t="shared" si="32"/>
        <v>[46/1237] М 1.3.12 - М 1.3.11</v>
      </c>
      <c r="P70">
        <v>36.162434689999998</v>
      </c>
      <c r="Q70">
        <v>51.705780709999999</v>
      </c>
      <c r="R70" t="str">
        <f>""</f>
        <v/>
      </c>
    </row>
    <row r="71" spans="1:18" x14ac:dyDescent="0.25">
      <c r="A71">
        <v>907</v>
      </c>
      <c r="B71" t="str">
        <f t="shared" si="27"/>
        <v>Курск</v>
      </c>
      <c r="C71">
        <v>922173</v>
      </c>
      <c r="D71" t="str">
        <f t="shared" si="16"/>
        <v>Опора контактной сети</v>
      </c>
      <c r="E71" t="str">
        <f>"08/1137 (00020)"</f>
        <v>08/1137 (00020)</v>
      </c>
      <c r="F71" t="str">
        <f>""</f>
        <v/>
      </c>
      <c r="G71" t="str">
        <f t="shared" si="7"/>
        <v>_МС (CAB_MS)</v>
      </c>
      <c r="H71" t="str">
        <f t="shared" si="28"/>
        <v>МС 1.3</v>
      </c>
      <c r="I71" t="str">
        <f t="shared" si="29"/>
        <v>12.03.2021</v>
      </c>
      <c r="J71" t="str">
        <f>""</f>
        <v/>
      </c>
      <c r="K71" t="str">
        <f t="shared" si="24"/>
        <v>ТУ № 08/1137</v>
      </c>
      <c r="L71" t="str">
        <f t="shared" si="26"/>
        <v>МУП "Курскэлектротранс"</v>
      </c>
      <c r="M71" t="str">
        <f t="shared" si="30"/>
        <v>Неизвестно</v>
      </c>
      <c r="N71" t="str">
        <f t="shared" si="31"/>
        <v>Да</v>
      </c>
      <c r="O71" t="str">
        <f t="shared" si="32"/>
        <v>[46/1237] М 1.3.12 - М 1.3.11</v>
      </c>
      <c r="P71">
        <v>36.155655410000001</v>
      </c>
      <c r="Q71">
        <v>51.70753509</v>
      </c>
      <c r="R71" t="str">
        <f>""</f>
        <v/>
      </c>
    </row>
    <row r="72" spans="1:18" x14ac:dyDescent="0.25">
      <c r="A72">
        <v>907</v>
      </c>
      <c r="B72" t="str">
        <f t="shared" si="27"/>
        <v>Курск</v>
      </c>
      <c r="C72">
        <v>922172</v>
      </c>
      <c r="D72" t="str">
        <f>"Опора"</f>
        <v>Опора</v>
      </c>
      <c r="E72" t="str">
        <f>"08/1137 (00019)"</f>
        <v>08/1137 (00019)</v>
      </c>
      <c r="F72" t="str">
        <f>""</f>
        <v/>
      </c>
      <c r="G72" t="str">
        <f t="shared" si="7"/>
        <v>_МС (CAB_MS)</v>
      </c>
      <c r="H72" t="str">
        <f t="shared" si="28"/>
        <v>МС 1.3</v>
      </c>
      <c r="I72" t="str">
        <f t="shared" si="29"/>
        <v>12.03.2021</v>
      </c>
      <c r="J72" t="str">
        <f>""</f>
        <v/>
      </c>
      <c r="K72" t="str">
        <f t="shared" si="24"/>
        <v>ТУ № 08/1137</v>
      </c>
      <c r="L72" t="str">
        <f t="shared" si="26"/>
        <v>МУП "Курскэлектротранс"</v>
      </c>
      <c r="M72" t="str">
        <f t="shared" si="30"/>
        <v>Неизвестно</v>
      </c>
      <c r="N72" t="str">
        <f t="shared" si="31"/>
        <v>Да</v>
      </c>
      <c r="O72" t="str">
        <f t="shared" si="32"/>
        <v>[46/1237] М 1.3.12 - М 1.3.11</v>
      </c>
      <c r="P72">
        <v>36.156063109999998</v>
      </c>
      <c r="Q72">
        <v>51.707438689999996</v>
      </c>
      <c r="R72" t="str">
        <f>""</f>
        <v/>
      </c>
    </row>
    <row r="73" spans="1:18" x14ac:dyDescent="0.25">
      <c r="A73">
        <v>907</v>
      </c>
      <c r="B73" t="str">
        <f t="shared" si="27"/>
        <v>Курск</v>
      </c>
      <c r="C73">
        <v>922171</v>
      </c>
      <c r="D73" t="str">
        <f t="shared" ref="D73:D87" si="33">"Опора контактной сети"</f>
        <v>Опора контактной сети</v>
      </c>
      <c r="E73" t="str">
        <f>"08/1137 (00018)"</f>
        <v>08/1137 (00018)</v>
      </c>
      <c r="F73" t="str">
        <f>""</f>
        <v/>
      </c>
      <c r="G73" t="str">
        <f t="shared" si="7"/>
        <v>_МС (CAB_MS)</v>
      </c>
      <c r="H73" t="str">
        <f t="shared" si="28"/>
        <v>МС 1.3</v>
      </c>
      <c r="I73" t="str">
        <f t="shared" si="29"/>
        <v>12.03.2021</v>
      </c>
      <c r="J73" t="str">
        <f>""</f>
        <v/>
      </c>
      <c r="K73" t="str">
        <f t="shared" si="24"/>
        <v>ТУ № 08/1137</v>
      </c>
      <c r="L73" t="str">
        <f t="shared" si="26"/>
        <v>МУП "Курскэлектротранс"</v>
      </c>
      <c r="M73" t="str">
        <f t="shared" si="30"/>
        <v>Неизвестно</v>
      </c>
      <c r="N73" t="str">
        <f t="shared" si="31"/>
        <v>Да</v>
      </c>
      <c r="O73" t="str">
        <f t="shared" si="32"/>
        <v>[46/1237] М 1.3.12 - М 1.3.11</v>
      </c>
      <c r="P73">
        <v>36.15641179</v>
      </c>
      <c r="Q73">
        <v>51.70735226</v>
      </c>
      <c r="R73" t="str">
        <f>""</f>
        <v/>
      </c>
    </row>
    <row r="74" spans="1:18" x14ac:dyDescent="0.25">
      <c r="A74">
        <v>907</v>
      </c>
      <c r="B74" t="str">
        <f t="shared" si="27"/>
        <v>Курск</v>
      </c>
      <c r="C74">
        <v>922170</v>
      </c>
      <c r="D74" t="str">
        <f t="shared" si="33"/>
        <v>Опора контактной сети</v>
      </c>
      <c r="E74" t="str">
        <f>"08/1137 (00017)"</f>
        <v>08/1137 (00017)</v>
      </c>
      <c r="F74" t="str">
        <f>""</f>
        <v/>
      </c>
      <c r="G74" t="str">
        <f t="shared" si="7"/>
        <v>_МС (CAB_MS)</v>
      </c>
      <c r="H74" t="str">
        <f t="shared" si="28"/>
        <v>МС 1.3</v>
      </c>
      <c r="I74" t="str">
        <f t="shared" si="29"/>
        <v>12.03.2021</v>
      </c>
      <c r="J74" t="str">
        <f>""</f>
        <v/>
      </c>
      <c r="K74" t="str">
        <f t="shared" si="24"/>
        <v>ТУ № 08/1137</v>
      </c>
      <c r="L74" t="str">
        <f t="shared" si="26"/>
        <v>МУП "Курскэлектротранс"</v>
      </c>
      <c r="M74" t="str">
        <f t="shared" si="30"/>
        <v>Неизвестно</v>
      </c>
      <c r="N74" t="str">
        <f t="shared" si="31"/>
        <v>Да</v>
      </c>
      <c r="O74" t="str">
        <f t="shared" si="32"/>
        <v>[46/1237] М 1.3.12 - М 1.3.11</v>
      </c>
      <c r="P74">
        <v>36.156756459999997</v>
      </c>
      <c r="Q74">
        <v>51.707265829999997</v>
      </c>
      <c r="R74" t="str">
        <f>""</f>
        <v/>
      </c>
    </row>
    <row r="75" spans="1:18" x14ac:dyDescent="0.25">
      <c r="A75">
        <v>907</v>
      </c>
      <c r="B75" t="str">
        <f t="shared" si="27"/>
        <v>Курск</v>
      </c>
      <c r="C75">
        <v>922169</v>
      </c>
      <c r="D75" t="str">
        <f t="shared" si="33"/>
        <v>Опора контактной сети</v>
      </c>
      <c r="E75" t="str">
        <f>"08/1137 (00016)"</f>
        <v>08/1137 (00016)</v>
      </c>
      <c r="F75" t="str">
        <f>""</f>
        <v/>
      </c>
      <c r="G75" t="str">
        <f t="shared" si="7"/>
        <v>_МС (CAB_MS)</v>
      </c>
      <c r="H75" t="str">
        <f t="shared" si="28"/>
        <v>МС 1.3</v>
      </c>
      <c r="I75" t="str">
        <f t="shared" si="29"/>
        <v>12.03.2021</v>
      </c>
      <c r="J75" t="str">
        <f>""</f>
        <v/>
      </c>
      <c r="K75" t="str">
        <f t="shared" si="24"/>
        <v>ТУ № 08/1137</v>
      </c>
      <c r="L75" t="str">
        <f t="shared" si="26"/>
        <v>МУП "Курскэлектротранс"</v>
      </c>
      <c r="M75" t="str">
        <f t="shared" si="30"/>
        <v>Неизвестно</v>
      </c>
      <c r="N75" t="str">
        <f t="shared" si="31"/>
        <v>Да</v>
      </c>
      <c r="O75" t="str">
        <f t="shared" si="32"/>
        <v>[46/1237] М 1.3.12 - М 1.3.11</v>
      </c>
      <c r="P75">
        <v>36.157114530000001</v>
      </c>
      <c r="Q75">
        <v>51.707171090000003</v>
      </c>
      <c r="R75" t="str">
        <f>""</f>
        <v/>
      </c>
    </row>
    <row r="76" spans="1:18" x14ac:dyDescent="0.25">
      <c r="A76">
        <v>907</v>
      </c>
      <c r="B76" t="str">
        <f t="shared" si="27"/>
        <v>Курск</v>
      </c>
      <c r="C76">
        <v>1003863</v>
      </c>
      <c r="D76" t="str">
        <f t="shared" si="33"/>
        <v>Опора контактной сети</v>
      </c>
      <c r="E76" t="str">
        <f>"1"</f>
        <v>1</v>
      </c>
      <c r="F76" t="str">
        <f>""</f>
        <v/>
      </c>
      <c r="G76" t="str">
        <f t="shared" si="7"/>
        <v>_МС (CAB_MS)</v>
      </c>
      <c r="H76" t="str">
        <f t="shared" si="28"/>
        <v>МС 1.3</v>
      </c>
      <c r="I76" t="str">
        <f>"16.12.2023"</f>
        <v>16.12.2023</v>
      </c>
      <c r="J76" t="str">
        <f>""</f>
        <v/>
      </c>
      <c r="K76" t="str">
        <f>"Отсутствует"</f>
        <v>Отсутствует</v>
      </c>
      <c r="L76" t="str">
        <f t="shared" si="26"/>
        <v>МУП "Курскэлектротранс"</v>
      </c>
      <c r="M76" t="str">
        <f t="shared" si="30"/>
        <v>Неизвестно</v>
      </c>
      <c r="N76" t="str">
        <f>"Неизвестно"</f>
        <v>Неизвестно</v>
      </c>
      <c r="O76" t="str">
        <f>"[46/2776] М 1.3.24 - ОК 1.2.7-2 ППК 1.2.7 Курск, Моковская, 17  п. 1, [46/4556] М 1.3.24 - ОК 1.3-1.1 ППК1.2.2 КОРПОРАТИВНЫЙ ЦЕНТР ИКС 5 Курск, Моковская, 7  п. 1, [46/3303] М 1.3.22 - М 1.3.24, [46/2767] М 1.3.24 - М 1.3.2.1"</f>
        <v>[46/2776] М 1.3.24 - ОК 1.2.7-2 ППК 1.2.7 Курск, Моковская, 17  п. 1, [46/4556] М 1.3.24 - ОК 1.3-1.1 ППК1.2.2 КОРПОРАТИВНЫЙ ЦЕНТР ИКС 5 Курск, Моковская, 7  п. 1, [46/3303] М 1.3.22 - М 1.3.24, [46/2767] М 1.3.24 - М 1.3.2.1</v>
      </c>
      <c r="P76">
        <v>36.156408999999996</v>
      </c>
      <c r="Q76">
        <v>51.709250900000001</v>
      </c>
      <c r="R76" t="str">
        <f>""</f>
        <v/>
      </c>
    </row>
    <row r="77" spans="1:18" x14ac:dyDescent="0.25">
      <c r="A77">
        <v>907</v>
      </c>
      <c r="B77" t="str">
        <f t="shared" si="27"/>
        <v>Курск</v>
      </c>
      <c r="C77">
        <v>922168</v>
      </c>
      <c r="D77" t="str">
        <f t="shared" si="33"/>
        <v>Опора контактной сети</v>
      </c>
      <c r="E77" t="str">
        <f>"08/1137 (00015)"</f>
        <v>08/1137 (00015)</v>
      </c>
      <c r="F77" t="str">
        <f>""</f>
        <v/>
      </c>
      <c r="G77" t="str">
        <f t="shared" si="7"/>
        <v>_МС (CAB_MS)</v>
      </c>
      <c r="H77" t="str">
        <f t="shared" si="28"/>
        <v>МС 1.3</v>
      </c>
      <c r="I77" t="str">
        <f t="shared" ref="I77:I87" si="34">"12.03.2021"</f>
        <v>12.03.2021</v>
      </c>
      <c r="J77" t="str">
        <f>""</f>
        <v/>
      </c>
      <c r="K77" t="str">
        <f t="shared" ref="K77:K87" si="35">"ТУ № 08/1137"</f>
        <v>ТУ № 08/1137</v>
      </c>
      <c r="L77" t="str">
        <f t="shared" si="26"/>
        <v>МУП "Курскэлектротранс"</v>
      </c>
      <c r="M77" t="str">
        <f t="shared" si="30"/>
        <v>Неизвестно</v>
      </c>
      <c r="N77" t="str">
        <f t="shared" ref="N77:N90" si="36">"Да"</f>
        <v>Да</v>
      </c>
      <c r="O77" t="str">
        <f t="shared" ref="O77:O87" si="37">"[46/1237] М 1.3.12 - М 1.3.11"</f>
        <v>[46/1237] М 1.3.12 - М 1.3.11</v>
      </c>
      <c r="P77">
        <v>36.157469929999998</v>
      </c>
      <c r="Q77">
        <v>51.707077179999999</v>
      </c>
      <c r="R77" t="str">
        <f>""</f>
        <v/>
      </c>
    </row>
    <row r="78" spans="1:18" x14ac:dyDescent="0.25">
      <c r="A78">
        <v>907</v>
      </c>
      <c r="B78" t="str">
        <f t="shared" si="27"/>
        <v>Курск</v>
      </c>
      <c r="C78">
        <v>922167</v>
      </c>
      <c r="D78" t="str">
        <f t="shared" si="33"/>
        <v>Опора контактной сети</v>
      </c>
      <c r="E78" t="str">
        <f>"08/1137 (00014)"</f>
        <v>08/1137 (00014)</v>
      </c>
      <c r="F78" t="str">
        <f>""</f>
        <v/>
      </c>
      <c r="G78" t="str">
        <f t="shared" si="7"/>
        <v>_МС (CAB_MS)</v>
      </c>
      <c r="H78" t="str">
        <f t="shared" si="28"/>
        <v>МС 1.3</v>
      </c>
      <c r="I78" t="str">
        <f t="shared" si="34"/>
        <v>12.03.2021</v>
      </c>
      <c r="J78" t="str">
        <f>""</f>
        <v/>
      </c>
      <c r="K78" t="str">
        <f t="shared" si="35"/>
        <v>ТУ № 08/1137</v>
      </c>
      <c r="L78" t="str">
        <f t="shared" si="26"/>
        <v>МУП "Курскэлектротранс"</v>
      </c>
      <c r="M78" t="str">
        <f t="shared" si="30"/>
        <v>Неизвестно</v>
      </c>
      <c r="N78" t="str">
        <f t="shared" si="36"/>
        <v>Да</v>
      </c>
      <c r="O78" t="str">
        <f t="shared" si="37"/>
        <v>[46/1237] М 1.3.12 - М 1.3.11</v>
      </c>
      <c r="P78">
        <v>36.157823980000003</v>
      </c>
      <c r="Q78">
        <v>51.70698909</v>
      </c>
      <c r="R78" t="str">
        <f>""</f>
        <v/>
      </c>
    </row>
    <row r="79" spans="1:18" x14ac:dyDescent="0.25">
      <c r="A79">
        <v>907</v>
      </c>
      <c r="B79" t="str">
        <f t="shared" si="27"/>
        <v>Курск</v>
      </c>
      <c r="C79">
        <v>922166</v>
      </c>
      <c r="D79" t="str">
        <f t="shared" si="33"/>
        <v>Опора контактной сети</v>
      </c>
      <c r="E79" t="str">
        <f>"08/1137 (00013)"</f>
        <v>08/1137 (00013)</v>
      </c>
      <c r="F79" t="str">
        <f>""</f>
        <v/>
      </c>
      <c r="G79" t="str">
        <f t="shared" si="7"/>
        <v>_МС (CAB_MS)</v>
      </c>
      <c r="H79" t="str">
        <f t="shared" si="28"/>
        <v>МС 1.3</v>
      </c>
      <c r="I79" t="str">
        <f t="shared" si="34"/>
        <v>12.03.2021</v>
      </c>
      <c r="J79" t="str">
        <f>""</f>
        <v/>
      </c>
      <c r="K79" t="str">
        <f t="shared" si="35"/>
        <v>ТУ № 08/1137</v>
      </c>
      <c r="L79" t="str">
        <f t="shared" si="26"/>
        <v>МУП "Курскэлектротранс"</v>
      </c>
      <c r="M79" t="str">
        <f t="shared" si="30"/>
        <v>Неизвестно</v>
      </c>
      <c r="N79" t="str">
        <f t="shared" si="36"/>
        <v>Да</v>
      </c>
      <c r="O79" t="str">
        <f t="shared" si="37"/>
        <v>[46/1237] М 1.3.12 - М 1.3.11</v>
      </c>
      <c r="P79">
        <v>36.158165959999998</v>
      </c>
      <c r="Q79">
        <v>51.706902659999997</v>
      </c>
      <c r="R79" t="str">
        <f>""</f>
        <v/>
      </c>
    </row>
    <row r="80" spans="1:18" x14ac:dyDescent="0.25">
      <c r="A80">
        <v>907</v>
      </c>
      <c r="B80" t="str">
        <f t="shared" si="27"/>
        <v>Курск</v>
      </c>
      <c r="C80">
        <v>922165</v>
      </c>
      <c r="D80" t="str">
        <f t="shared" si="33"/>
        <v>Опора контактной сети</v>
      </c>
      <c r="E80" t="str">
        <f>"08/1137 (00012)"</f>
        <v>08/1137 (00012)</v>
      </c>
      <c r="F80" t="str">
        <f>""</f>
        <v/>
      </c>
      <c r="G80" t="str">
        <f t="shared" ref="G80:G143" si="38">"_МС (CAB_MS)"</f>
        <v>_МС (CAB_MS)</v>
      </c>
      <c r="H80" t="str">
        <f t="shared" si="28"/>
        <v>МС 1.3</v>
      </c>
      <c r="I80" t="str">
        <f t="shared" si="34"/>
        <v>12.03.2021</v>
      </c>
      <c r="J80" t="str">
        <f>""</f>
        <v/>
      </c>
      <c r="K80" t="str">
        <f t="shared" si="35"/>
        <v>ТУ № 08/1137</v>
      </c>
      <c r="L80" t="str">
        <f t="shared" si="26"/>
        <v>МУП "Курскэлектротранс"</v>
      </c>
      <c r="M80" t="str">
        <f t="shared" si="30"/>
        <v>Неизвестно</v>
      </c>
      <c r="N80" t="str">
        <f t="shared" si="36"/>
        <v>Да</v>
      </c>
      <c r="O80" t="str">
        <f t="shared" si="37"/>
        <v>[46/1237] М 1.3.12 - М 1.3.11</v>
      </c>
      <c r="P80">
        <v>36.158526719999998</v>
      </c>
      <c r="Q80">
        <v>51.706807920000003</v>
      </c>
      <c r="R80" t="str">
        <f>""</f>
        <v/>
      </c>
    </row>
    <row r="81" spans="1:18" x14ac:dyDescent="0.25">
      <c r="A81">
        <v>907</v>
      </c>
      <c r="B81" t="str">
        <f t="shared" si="27"/>
        <v>Курск</v>
      </c>
      <c r="C81">
        <v>922164</v>
      </c>
      <c r="D81" t="str">
        <f t="shared" si="33"/>
        <v>Опора контактной сети</v>
      </c>
      <c r="E81" t="str">
        <f>"08/1137 (00011)"</f>
        <v>08/1137 (00011)</v>
      </c>
      <c r="F81" t="str">
        <f>""</f>
        <v/>
      </c>
      <c r="G81" t="str">
        <f t="shared" si="38"/>
        <v>_МС (CAB_MS)</v>
      </c>
      <c r="H81" t="str">
        <f t="shared" si="28"/>
        <v>МС 1.3</v>
      </c>
      <c r="I81" t="str">
        <f t="shared" si="34"/>
        <v>12.03.2021</v>
      </c>
      <c r="J81" t="str">
        <f>""</f>
        <v/>
      </c>
      <c r="K81" t="str">
        <f t="shared" si="35"/>
        <v>ТУ № 08/1137</v>
      </c>
      <c r="L81" t="str">
        <f t="shared" si="26"/>
        <v>МУП "Курскэлектротранс"</v>
      </c>
      <c r="M81" t="str">
        <f t="shared" si="30"/>
        <v>Неизвестно</v>
      </c>
      <c r="N81" t="str">
        <f t="shared" si="36"/>
        <v>Да</v>
      </c>
      <c r="O81" t="str">
        <f t="shared" si="37"/>
        <v>[46/1237] М 1.3.12 - М 1.3.11</v>
      </c>
      <c r="P81">
        <v>36.158888810000001</v>
      </c>
      <c r="Q81">
        <v>51.706711519999999</v>
      </c>
      <c r="R81" t="str">
        <f>""</f>
        <v/>
      </c>
    </row>
    <row r="82" spans="1:18" x14ac:dyDescent="0.25">
      <c r="A82">
        <v>907</v>
      </c>
      <c r="B82" t="str">
        <f t="shared" si="27"/>
        <v>Курск</v>
      </c>
      <c r="C82">
        <v>922163</v>
      </c>
      <c r="D82" t="str">
        <f t="shared" si="33"/>
        <v>Опора контактной сети</v>
      </c>
      <c r="E82" t="str">
        <f>"08/1137 (00010)"</f>
        <v>08/1137 (00010)</v>
      </c>
      <c r="F82" t="str">
        <f>""</f>
        <v/>
      </c>
      <c r="G82" t="str">
        <f t="shared" si="38"/>
        <v>_МС (CAB_MS)</v>
      </c>
      <c r="H82" t="str">
        <f t="shared" si="28"/>
        <v>МС 1.3</v>
      </c>
      <c r="I82" t="str">
        <f t="shared" si="34"/>
        <v>12.03.2021</v>
      </c>
      <c r="J82" t="str">
        <f>""</f>
        <v/>
      </c>
      <c r="K82" t="str">
        <f t="shared" si="35"/>
        <v>ТУ № 08/1137</v>
      </c>
      <c r="L82" t="str">
        <f t="shared" si="26"/>
        <v>МУП "Курскэлектротранс"</v>
      </c>
      <c r="M82" t="str">
        <f t="shared" si="30"/>
        <v>Неизвестно</v>
      </c>
      <c r="N82" t="str">
        <f t="shared" si="36"/>
        <v>Да</v>
      </c>
      <c r="O82" t="str">
        <f t="shared" si="37"/>
        <v>[46/1237] М 1.3.12 - М 1.3.11</v>
      </c>
      <c r="P82">
        <v>36.159261639999997</v>
      </c>
      <c r="Q82">
        <v>51.706610959999999</v>
      </c>
      <c r="R82" t="str">
        <f>""</f>
        <v/>
      </c>
    </row>
    <row r="83" spans="1:18" x14ac:dyDescent="0.25">
      <c r="A83">
        <v>907</v>
      </c>
      <c r="B83" t="str">
        <f t="shared" si="27"/>
        <v>Курск</v>
      </c>
      <c r="C83">
        <v>922162</v>
      </c>
      <c r="D83" t="str">
        <f t="shared" si="33"/>
        <v>Опора контактной сети</v>
      </c>
      <c r="E83" t="str">
        <f>"08/1137 (0009)"</f>
        <v>08/1137 (0009)</v>
      </c>
      <c r="F83" t="str">
        <f>""</f>
        <v/>
      </c>
      <c r="G83" t="str">
        <f t="shared" si="38"/>
        <v>_МС (CAB_MS)</v>
      </c>
      <c r="H83" t="str">
        <f t="shared" si="28"/>
        <v>МС 1.3</v>
      </c>
      <c r="I83" t="str">
        <f t="shared" si="34"/>
        <v>12.03.2021</v>
      </c>
      <c r="J83" t="str">
        <f>""</f>
        <v/>
      </c>
      <c r="K83" t="str">
        <f t="shared" si="35"/>
        <v>ТУ № 08/1137</v>
      </c>
      <c r="L83" t="str">
        <f t="shared" si="26"/>
        <v>МУП "Курскэлектротранс"</v>
      </c>
      <c r="M83" t="str">
        <f t="shared" si="30"/>
        <v>Неизвестно</v>
      </c>
      <c r="N83" t="str">
        <f t="shared" si="36"/>
        <v>Да</v>
      </c>
      <c r="O83" t="str">
        <f t="shared" si="37"/>
        <v>[46/1237] М 1.3.12 - М 1.3.11</v>
      </c>
      <c r="P83">
        <v>36.159600939999997</v>
      </c>
      <c r="Q83">
        <v>51.706529510000003</v>
      </c>
      <c r="R83" t="str">
        <f>""</f>
        <v/>
      </c>
    </row>
    <row r="84" spans="1:18" x14ac:dyDescent="0.25">
      <c r="A84">
        <v>907</v>
      </c>
      <c r="B84" t="str">
        <f t="shared" si="27"/>
        <v>Курск</v>
      </c>
      <c r="C84">
        <v>922161</v>
      </c>
      <c r="D84" t="str">
        <f t="shared" si="33"/>
        <v>Опора контактной сети</v>
      </c>
      <c r="E84" t="str">
        <f>"08/1137 (0008)"</f>
        <v>08/1137 (0008)</v>
      </c>
      <c r="F84" t="str">
        <f>""</f>
        <v/>
      </c>
      <c r="G84" t="str">
        <f t="shared" si="38"/>
        <v>_МС (CAB_MS)</v>
      </c>
      <c r="H84" t="str">
        <f t="shared" si="28"/>
        <v>МС 1.3</v>
      </c>
      <c r="I84" t="str">
        <f t="shared" si="34"/>
        <v>12.03.2021</v>
      </c>
      <c r="J84" t="str">
        <f>""</f>
        <v/>
      </c>
      <c r="K84" t="str">
        <f t="shared" si="35"/>
        <v>ТУ № 08/1137</v>
      </c>
      <c r="L84" t="str">
        <f t="shared" si="26"/>
        <v>МУП "Курскэлектротранс"</v>
      </c>
      <c r="M84" t="str">
        <f t="shared" si="30"/>
        <v>Неизвестно</v>
      </c>
      <c r="N84" t="str">
        <f t="shared" si="36"/>
        <v>Да</v>
      </c>
      <c r="O84" t="str">
        <f t="shared" si="37"/>
        <v>[46/1237] М 1.3.12 - М 1.3.11</v>
      </c>
      <c r="P84">
        <v>36.159957669999997</v>
      </c>
      <c r="Q84">
        <v>51.706434770000001</v>
      </c>
      <c r="R84" t="str">
        <f>""</f>
        <v/>
      </c>
    </row>
    <row r="85" spans="1:18" x14ac:dyDescent="0.25">
      <c r="A85">
        <v>907</v>
      </c>
      <c r="B85" t="str">
        <f t="shared" si="27"/>
        <v>Курск</v>
      </c>
      <c r="C85">
        <v>922160</v>
      </c>
      <c r="D85" t="str">
        <f t="shared" si="33"/>
        <v>Опора контактной сети</v>
      </c>
      <c r="E85" t="str">
        <f>"08/1137 (0007)"</f>
        <v>08/1137 (0007)</v>
      </c>
      <c r="F85" t="str">
        <f>""</f>
        <v/>
      </c>
      <c r="G85" t="str">
        <f t="shared" si="38"/>
        <v>_МС (CAB_MS)</v>
      </c>
      <c r="H85" t="str">
        <f t="shared" si="28"/>
        <v>МС 1.3</v>
      </c>
      <c r="I85" t="str">
        <f t="shared" si="34"/>
        <v>12.03.2021</v>
      </c>
      <c r="J85" t="str">
        <f>""</f>
        <v/>
      </c>
      <c r="K85" t="str">
        <f t="shared" si="35"/>
        <v>ТУ № 08/1137</v>
      </c>
      <c r="L85" t="str">
        <f t="shared" si="26"/>
        <v>МУП "Курскэлектротранс"</v>
      </c>
      <c r="M85" t="str">
        <f t="shared" si="30"/>
        <v>Неизвестно</v>
      </c>
      <c r="N85" t="str">
        <f t="shared" si="36"/>
        <v>Да</v>
      </c>
      <c r="O85" t="str">
        <f t="shared" si="37"/>
        <v>[46/1237] М 1.3.12 - М 1.3.11</v>
      </c>
      <c r="P85">
        <v>36.160296969999997</v>
      </c>
      <c r="Q85">
        <v>51.70634501</v>
      </c>
      <c r="R85" t="str">
        <f>""</f>
        <v/>
      </c>
    </row>
    <row r="86" spans="1:18" x14ac:dyDescent="0.25">
      <c r="A86">
        <v>907</v>
      </c>
      <c r="B86" t="str">
        <f t="shared" si="27"/>
        <v>Курск</v>
      </c>
      <c r="C86">
        <v>922159</v>
      </c>
      <c r="D86" t="str">
        <f t="shared" si="33"/>
        <v>Опора контактной сети</v>
      </c>
      <c r="E86" t="str">
        <f>"08/1137 (0006)"</f>
        <v>08/1137 (0006)</v>
      </c>
      <c r="F86" t="str">
        <f>""</f>
        <v/>
      </c>
      <c r="G86" t="str">
        <f t="shared" si="38"/>
        <v>_МС (CAB_MS)</v>
      </c>
      <c r="H86" t="str">
        <f t="shared" si="28"/>
        <v>МС 1.3</v>
      </c>
      <c r="I86" t="str">
        <f t="shared" si="34"/>
        <v>12.03.2021</v>
      </c>
      <c r="J86" t="str">
        <f>""</f>
        <v/>
      </c>
      <c r="K86" t="str">
        <f t="shared" si="35"/>
        <v>ТУ № 08/1137</v>
      </c>
      <c r="L86" t="str">
        <f t="shared" si="26"/>
        <v>МУП "Курскэлектротранс"</v>
      </c>
      <c r="M86" t="str">
        <f t="shared" si="30"/>
        <v>Неизвестно</v>
      </c>
      <c r="N86" t="str">
        <f t="shared" si="36"/>
        <v>Да</v>
      </c>
      <c r="O86" t="str">
        <f t="shared" si="37"/>
        <v>[46/1237] М 1.3.12 - М 1.3.11</v>
      </c>
      <c r="P86">
        <v>36.160641640000001</v>
      </c>
      <c r="Q86">
        <v>51.706251930000001</v>
      </c>
      <c r="R86" t="str">
        <f>""</f>
        <v/>
      </c>
    </row>
    <row r="87" spans="1:18" x14ac:dyDescent="0.25">
      <c r="A87">
        <v>907</v>
      </c>
      <c r="B87" t="str">
        <f t="shared" si="27"/>
        <v>Курск</v>
      </c>
      <c r="C87">
        <v>922158</v>
      </c>
      <c r="D87" t="str">
        <f t="shared" si="33"/>
        <v>Опора контактной сети</v>
      </c>
      <c r="E87" t="str">
        <f>"08/1137 (0005)"</f>
        <v>08/1137 (0005)</v>
      </c>
      <c r="F87" t="str">
        <f>""</f>
        <v/>
      </c>
      <c r="G87" t="str">
        <f t="shared" si="38"/>
        <v>_МС (CAB_MS)</v>
      </c>
      <c r="H87" t="str">
        <f t="shared" si="28"/>
        <v>МС 1.3</v>
      </c>
      <c r="I87" t="str">
        <f t="shared" si="34"/>
        <v>12.03.2021</v>
      </c>
      <c r="J87" t="str">
        <f>""</f>
        <v/>
      </c>
      <c r="K87" t="str">
        <f t="shared" si="35"/>
        <v>ТУ № 08/1137</v>
      </c>
      <c r="L87" t="str">
        <f t="shared" si="26"/>
        <v>МУП "Курскэлектротранс"</v>
      </c>
      <c r="M87" t="str">
        <f t="shared" si="30"/>
        <v>Неизвестно</v>
      </c>
      <c r="N87" t="str">
        <f t="shared" si="36"/>
        <v>Да</v>
      </c>
      <c r="O87" t="str">
        <f t="shared" si="37"/>
        <v>[46/1237] М 1.3.12 - М 1.3.11</v>
      </c>
      <c r="P87">
        <v>36.161011780000003</v>
      </c>
      <c r="Q87">
        <v>51.706156360000001</v>
      </c>
      <c r="R87" t="str">
        <f>""</f>
        <v/>
      </c>
    </row>
    <row r="88" spans="1:18" x14ac:dyDescent="0.25">
      <c r="A88">
        <v>907</v>
      </c>
      <c r="B88" t="str">
        <f t="shared" si="27"/>
        <v>Курск</v>
      </c>
      <c r="C88">
        <v>921773</v>
      </c>
      <c r="D88" t="str">
        <f t="shared" ref="D88:D124" si="39">"Опора"</f>
        <v>Опора</v>
      </c>
      <c r="E88" t="str">
        <f>"КИ 4533 (0300)"</f>
        <v>КИ 4533 (0300)</v>
      </c>
      <c r="F88" t="str">
        <f>""</f>
        <v/>
      </c>
      <c r="G88" t="str">
        <f t="shared" si="38"/>
        <v>_МС (CAB_MS)</v>
      </c>
      <c r="H88" t="str">
        <f>"МС 1.4"</f>
        <v>МС 1.4</v>
      </c>
      <c r="I88" t="str">
        <f>"10.02.2021"</f>
        <v>10.02.2021</v>
      </c>
      <c r="J88" t="str">
        <f>""</f>
        <v/>
      </c>
      <c r="K88" t="str">
        <f>"АКТ №4653"</f>
        <v>АКТ №4653</v>
      </c>
      <c r="L88" t="str">
        <f>"Комитет по управлению муниципальным имуществом города Курска"</f>
        <v>Комитет по управлению муниципальным имуществом города Курска</v>
      </c>
      <c r="M88" t="str">
        <f t="shared" si="30"/>
        <v>Неизвестно</v>
      </c>
      <c r="N88" t="str">
        <f t="shared" si="36"/>
        <v>Да</v>
      </c>
      <c r="O88" t="str">
        <f>"[46/1446] М 1.4.7 - ГОК1.4.3.1 Курск, Дейнеки, 19  п. 1"</f>
        <v>[46/1446] М 1.4.7 - ГОК1.4.3.1 Курск, Дейнеки, 19  п. 1</v>
      </c>
      <c r="P88">
        <v>36.143563579999999</v>
      </c>
      <c r="Q88">
        <v>51.704296429999999</v>
      </c>
      <c r="R88" t="str">
        <f>"20000006263097"</f>
        <v>20000006263097</v>
      </c>
    </row>
    <row r="89" spans="1:18" x14ac:dyDescent="0.25">
      <c r="A89">
        <v>907</v>
      </c>
      <c r="B89" t="str">
        <f t="shared" si="27"/>
        <v>Курск</v>
      </c>
      <c r="C89">
        <v>921774</v>
      </c>
      <c r="D89" t="str">
        <f t="shared" si="39"/>
        <v>Опора</v>
      </c>
      <c r="E89" t="str">
        <f>"КИ 4533 (0301)"</f>
        <v>КИ 4533 (0301)</v>
      </c>
      <c r="F89" t="str">
        <f>""</f>
        <v/>
      </c>
      <c r="G89" t="str">
        <f t="shared" si="38"/>
        <v>_МС (CAB_MS)</v>
      </c>
      <c r="H89" t="str">
        <f>"МС 1.4"</f>
        <v>МС 1.4</v>
      </c>
      <c r="I89" t="str">
        <f>"10.02.2021"</f>
        <v>10.02.2021</v>
      </c>
      <c r="J89" t="str">
        <f>""</f>
        <v/>
      </c>
      <c r="K89" t="str">
        <f>"АКТ №4653"</f>
        <v>АКТ №4653</v>
      </c>
      <c r="L89" t="str">
        <f>"Комитет по управлению муниципальным имуществом города Курска"</f>
        <v>Комитет по управлению муниципальным имуществом города Курска</v>
      </c>
      <c r="M89" t="str">
        <f t="shared" si="30"/>
        <v>Неизвестно</v>
      </c>
      <c r="N89" t="str">
        <f t="shared" si="36"/>
        <v>Да</v>
      </c>
      <c r="O89" t="str">
        <f>"[46/1446] М 1.4.7 - ГОК1.4.3.1 Курск, Дейнеки, 19  п. 1"</f>
        <v>[46/1446] М 1.4.7 - ГОК1.4.3.1 Курск, Дейнеки, 19  п. 1</v>
      </c>
      <c r="P89">
        <v>36.14342946</v>
      </c>
      <c r="Q89">
        <v>51.70408699</v>
      </c>
      <c r="R89" t="str">
        <f>"20000006263098"</f>
        <v>20000006263098</v>
      </c>
    </row>
    <row r="90" spans="1:18" x14ac:dyDescent="0.25">
      <c r="A90">
        <v>907</v>
      </c>
      <c r="B90" t="str">
        <f t="shared" si="27"/>
        <v>Курск</v>
      </c>
      <c r="C90">
        <v>921775</v>
      </c>
      <c r="D90" t="str">
        <f t="shared" si="39"/>
        <v>Опора</v>
      </c>
      <c r="E90" t="str">
        <f>"КИ 4533 (0302)"</f>
        <v>КИ 4533 (0302)</v>
      </c>
      <c r="F90" t="str">
        <f>""</f>
        <v/>
      </c>
      <c r="G90" t="str">
        <f t="shared" si="38"/>
        <v>_МС (CAB_MS)</v>
      </c>
      <c r="H90" t="str">
        <f>"МС 1.4"</f>
        <v>МС 1.4</v>
      </c>
      <c r="I90" t="str">
        <f>"10.02.2021"</f>
        <v>10.02.2021</v>
      </c>
      <c r="J90" t="str">
        <f>""</f>
        <v/>
      </c>
      <c r="K90" t="str">
        <f>"АКТ №4653"</f>
        <v>АКТ №4653</v>
      </c>
      <c r="L90" t="str">
        <f>"Комитет по управлению муниципальным имуществом города Курска"</f>
        <v>Комитет по управлению муниципальным имуществом города Курска</v>
      </c>
      <c r="M90" t="str">
        <f t="shared" si="30"/>
        <v>Неизвестно</v>
      </c>
      <c r="N90" t="str">
        <f t="shared" si="36"/>
        <v>Да</v>
      </c>
      <c r="O90" t="str">
        <f>"[46/1446] М 1.4.7 - ГОК1.4.3.1 Курск, Дейнеки, 19  п. 1"</f>
        <v>[46/1446] М 1.4.7 - ГОК1.4.3.1 Курск, Дейнеки, 19  п. 1</v>
      </c>
      <c r="P90">
        <v>36.143276579999998</v>
      </c>
      <c r="Q90">
        <v>51.70386757</v>
      </c>
      <c r="R90" t="str">
        <f>"20000006263099"</f>
        <v>20000006263099</v>
      </c>
    </row>
    <row r="91" spans="1:18" x14ac:dyDescent="0.25">
      <c r="A91">
        <v>907</v>
      </c>
      <c r="B91" t="str">
        <f t="shared" si="27"/>
        <v>Курск</v>
      </c>
      <c r="C91">
        <v>896135</v>
      </c>
      <c r="D91" t="str">
        <f t="shared" si="39"/>
        <v>Опора</v>
      </c>
      <c r="E91" t="str">
        <f t="shared" ref="E91:E98" si="40">"КЭС"</f>
        <v>КЭС</v>
      </c>
      <c r="F91" t="str">
        <f>""</f>
        <v/>
      </c>
      <c r="G91" t="str">
        <f t="shared" si="38"/>
        <v>_МС (CAB_MS)</v>
      </c>
      <c r="H91" t="str">
        <f t="shared" ref="H91:H109" si="41">"МС 1.5"</f>
        <v>МС 1.5</v>
      </c>
      <c r="I91" t="str">
        <f>"21.11.2017"</f>
        <v>21.11.2017</v>
      </c>
      <c r="J91" t="str">
        <f>""</f>
        <v/>
      </c>
      <c r="K91" t="str">
        <f t="shared" ref="K91:K99" si="42">"Отсутствует"</f>
        <v>Отсутствует</v>
      </c>
      <c r="L91" t="str">
        <f t="shared" ref="L91:L98" si="43">"Не указан"</f>
        <v>Не указан</v>
      </c>
      <c r="M91" t="str">
        <f t="shared" ref="M91:N98" si="44">"Нет"</f>
        <v>Нет</v>
      </c>
      <c r="N91" t="str">
        <f t="shared" si="44"/>
        <v>Нет</v>
      </c>
      <c r="O91" t="str">
        <f>"[46/2289] М 1.5.6 - ОК1.5.3-1 ППК1.5.3 Курск, Щепкина, 4 б п. 1, [46/4663] M1.5.6 - М 1.5.6"</f>
        <v>[46/2289] М 1.5.6 - ОК1.5.3-1 ППК1.5.3 Курск, Щепкина, 4 б п. 1, [46/4663] M1.5.6 - М 1.5.6</v>
      </c>
      <c r="P91">
        <v>36.174832289999998</v>
      </c>
      <c r="Q91">
        <v>51.729221129999999</v>
      </c>
      <c r="R91" t="str">
        <f>"20000004579595"</f>
        <v>20000004579595</v>
      </c>
    </row>
    <row r="92" spans="1:18" x14ac:dyDescent="0.25">
      <c r="A92">
        <v>907</v>
      </c>
      <c r="B92" t="str">
        <f t="shared" si="27"/>
        <v>Курск</v>
      </c>
      <c r="C92">
        <v>896134</v>
      </c>
      <c r="D92" t="str">
        <f t="shared" si="39"/>
        <v>Опора</v>
      </c>
      <c r="E92" t="str">
        <f t="shared" si="40"/>
        <v>КЭС</v>
      </c>
      <c r="F92" t="str">
        <f>""</f>
        <v/>
      </c>
      <c r="G92" t="str">
        <f t="shared" si="38"/>
        <v>_МС (CAB_MS)</v>
      </c>
      <c r="H92" t="str">
        <f t="shared" si="41"/>
        <v>МС 1.5</v>
      </c>
      <c r="I92" t="str">
        <f>"21.11.2017"</f>
        <v>21.11.2017</v>
      </c>
      <c r="J92" t="str">
        <f>""</f>
        <v/>
      </c>
      <c r="K92" t="str">
        <f t="shared" si="42"/>
        <v>Отсутствует</v>
      </c>
      <c r="L92" t="str">
        <f t="shared" si="43"/>
        <v>Не указан</v>
      </c>
      <c r="M92" t="str">
        <f t="shared" si="44"/>
        <v>Нет</v>
      </c>
      <c r="N92" t="str">
        <f t="shared" si="44"/>
        <v>Нет</v>
      </c>
      <c r="O92" t="str">
        <f>"[46/2289] М 1.5.6 - ОК1.5.3-1 ППК1.5.3 Курск, Щепкина, 4 б п. 1, [46/4663] M1.5.6 - М 1.5.6"</f>
        <v>[46/2289] М 1.5.6 - ОК1.5.3-1 ППК1.5.3 Курск, Щепкина, 4 б п. 1, [46/4663] M1.5.6 - М 1.5.6</v>
      </c>
      <c r="P92">
        <v>36.175199749999997</v>
      </c>
      <c r="Q92">
        <v>51.729355699999999</v>
      </c>
      <c r="R92" t="str">
        <f>"20000004579594"</f>
        <v>20000004579594</v>
      </c>
    </row>
    <row r="93" spans="1:18" x14ac:dyDescent="0.25">
      <c r="A93">
        <v>907</v>
      </c>
      <c r="B93" t="str">
        <f t="shared" si="27"/>
        <v>Курск</v>
      </c>
      <c r="C93">
        <v>896133</v>
      </c>
      <c r="D93" t="str">
        <f t="shared" si="39"/>
        <v>Опора</v>
      </c>
      <c r="E93" t="str">
        <f t="shared" si="40"/>
        <v>КЭС</v>
      </c>
      <c r="F93" t="str">
        <f>""</f>
        <v/>
      </c>
      <c r="G93" t="str">
        <f t="shared" si="38"/>
        <v>_МС (CAB_MS)</v>
      </c>
      <c r="H93" t="str">
        <f t="shared" si="41"/>
        <v>МС 1.5</v>
      </c>
      <c r="I93" t="str">
        <f>"21.11.2017"</f>
        <v>21.11.2017</v>
      </c>
      <c r="J93" t="str">
        <f>""</f>
        <v/>
      </c>
      <c r="K93" t="str">
        <f t="shared" si="42"/>
        <v>Отсутствует</v>
      </c>
      <c r="L93" t="str">
        <f t="shared" si="43"/>
        <v>Не указан</v>
      </c>
      <c r="M93" t="str">
        <f t="shared" si="44"/>
        <v>Нет</v>
      </c>
      <c r="N93" t="str">
        <f t="shared" si="44"/>
        <v>Нет</v>
      </c>
      <c r="O93" t="str">
        <f>"[46/2289] М 1.5.6 - ОК1.5.3-1 ППК1.5.3 Курск, Щепкина, 4 б п. 1, [46/4663] M1.5.6 - М 1.5.6"</f>
        <v>[46/2289] М 1.5.6 - ОК1.5.3-1 ППК1.5.3 Курск, Щепкина, 4 б п. 1, [46/4663] M1.5.6 - М 1.5.6</v>
      </c>
      <c r="P93">
        <v>36.175606100000003</v>
      </c>
      <c r="Q93">
        <v>51.729504380000002</v>
      </c>
      <c r="R93" t="str">
        <f>"20000004579593"</f>
        <v>20000004579593</v>
      </c>
    </row>
    <row r="94" spans="1:18" x14ac:dyDescent="0.25">
      <c r="A94">
        <v>907</v>
      </c>
      <c r="B94" t="str">
        <f t="shared" si="27"/>
        <v>Курск</v>
      </c>
      <c r="C94">
        <v>896144</v>
      </c>
      <c r="D94" t="str">
        <f t="shared" si="39"/>
        <v>Опора</v>
      </c>
      <c r="E94" t="str">
        <f t="shared" si="40"/>
        <v>КЭС</v>
      </c>
      <c r="F94" t="str">
        <f>""</f>
        <v/>
      </c>
      <c r="G94" t="str">
        <f t="shared" si="38"/>
        <v>_МС (CAB_MS)</v>
      </c>
      <c r="H94" t="str">
        <f t="shared" si="41"/>
        <v>МС 1.5</v>
      </c>
      <c r="I94" t="str">
        <f>"22.11.2017"</f>
        <v>22.11.2017</v>
      </c>
      <c r="J94" t="str">
        <f>""</f>
        <v/>
      </c>
      <c r="K94" t="str">
        <f t="shared" si="42"/>
        <v>Отсутствует</v>
      </c>
      <c r="L94" t="str">
        <f t="shared" si="43"/>
        <v>Не указан</v>
      </c>
      <c r="M94" t="str">
        <f t="shared" si="44"/>
        <v>Нет</v>
      </c>
      <c r="N94" t="str">
        <f t="shared" si="44"/>
        <v>Нет</v>
      </c>
      <c r="O94" t="str">
        <f>"[46/2289] М 1.5.6 - ОК1.5.3-1 ППК1.5.3 Курск, Щепкина, 4 б п. 1"</f>
        <v>[46/2289] М 1.5.6 - ОК1.5.3-1 ППК1.5.3 Курск, Щепкина, 4 б п. 1</v>
      </c>
      <c r="P94">
        <v>36.174499359999999</v>
      </c>
      <c r="Q94">
        <v>51.727588249999997</v>
      </c>
      <c r="R94" t="str">
        <f>"20000004579603"</f>
        <v>20000004579603</v>
      </c>
    </row>
    <row r="95" spans="1:18" x14ac:dyDescent="0.25">
      <c r="A95">
        <v>907</v>
      </c>
      <c r="B95" t="str">
        <f t="shared" si="27"/>
        <v>Курск</v>
      </c>
      <c r="C95">
        <v>896143</v>
      </c>
      <c r="D95" t="str">
        <f t="shared" si="39"/>
        <v>Опора</v>
      </c>
      <c r="E95" t="str">
        <f t="shared" si="40"/>
        <v>КЭС</v>
      </c>
      <c r="F95" t="str">
        <f>""</f>
        <v/>
      </c>
      <c r="G95" t="str">
        <f t="shared" si="38"/>
        <v>_МС (CAB_MS)</v>
      </c>
      <c r="H95" t="str">
        <f t="shared" si="41"/>
        <v>МС 1.5</v>
      </c>
      <c r="I95" t="str">
        <f>"22.11.2017"</f>
        <v>22.11.2017</v>
      </c>
      <c r="J95" t="str">
        <f>""</f>
        <v/>
      </c>
      <c r="K95" t="str">
        <f t="shared" si="42"/>
        <v>Отсутствует</v>
      </c>
      <c r="L95" t="str">
        <f t="shared" si="43"/>
        <v>Не указан</v>
      </c>
      <c r="M95" t="str">
        <f t="shared" si="44"/>
        <v>Нет</v>
      </c>
      <c r="N95" t="str">
        <f t="shared" si="44"/>
        <v>Нет</v>
      </c>
      <c r="O95" t="str">
        <f>"[46/2289] М 1.5.6 - ОК1.5.3-1 ППК1.5.3 Курск, Щепкина, 4 б п. 1"</f>
        <v>[46/2289] М 1.5.6 - ОК1.5.3-1 ППК1.5.3 Курск, Щепкина, 4 б п. 1</v>
      </c>
      <c r="P95">
        <v>36.174244549999997</v>
      </c>
      <c r="Q95">
        <v>51.727864029999999</v>
      </c>
      <c r="R95" t="str">
        <f>"20000004579602"</f>
        <v>20000004579602</v>
      </c>
    </row>
    <row r="96" spans="1:18" x14ac:dyDescent="0.25">
      <c r="A96">
        <v>907</v>
      </c>
      <c r="B96" t="str">
        <f t="shared" si="27"/>
        <v>Курск</v>
      </c>
      <c r="C96">
        <v>896142</v>
      </c>
      <c r="D96" t="str">
        <f t="shared" si="39"/>
        <v>Опора</v>
      </c>
      <c r="E96" t="str">
        <f t="shared" si="40"/>
        <v>КЭС</v>
      </c>
      <c r="F96" t="str">
        <f>""</f>
        <v/>
      </c>
      <c r="G96" t="str">
        <f t="shared" si="38"/>
        <v>_МС (CAB_MS)</v>
      </c>
      <c r="H96" t="str">
        <f t="shared" si="41"/>
        <v>МС 1.5</v>
      </c>
      <c r="I96" t="str">
        <f>"21.11.2017"</f>
        <v>21.11.2017</v>
      </c>
      <c r="J96" t="str">
        <f>""</f>
        <v/>
      </c>
      <c r="K96" t="str">
        <f t="shared" si="42"/>
        <v>Отсутствует</v>
      </c>
      <c r="L96" t="str">
        <f t="shared" si="43"/>
        <v>Не указан</v>
      </c>
      <c r="M96" t="str">
        <f t="shared" si="44"/>
        <v>Нет</v>
      </c>
      <c r="N96" t="str">
        <f t="shared" si="44"/>
        <v>Нет</v>
      </c>
      <c r="O96" t="str">
        <f>"[46/2289] М 1.5.6 - ОК1.5.3-1 ППК1.5.3 Курск, Щепкина, 4 б п. 1"</f>
        <v>[46/2289] М 1.5.6 - ОК1.5.3-1 ППК1.5.3 Курск, Щепкина, 4 б п. 1</v>
      </c>
      <c r="P96">
        <v>36.174020919999997</v>
      </c>
      <c r="Q96">
        <v>51.728099739999998</v>
      </c>
      <c r="R96" t="str">
        <f>"20000004579601"</f>
        <v>20000004579601</v>
      </c>
    </row>
    <row r="97" spans="1:18" x14ac:dyDescent="0.25">
      <c r="A97">
        <v>907</v>
      </c>
      <c r="B97" t="str">
        <f t="shared" si="27"/>
        <v>Курск</v>
      </c>
      <c r="C97">
        <v>896141</v>
      </c>
      <c r="D97" t="str">
        <f t="shared" si="39"/>
        <v>Опора</v>
      </c>
      <c r="E97" t="str">
        <f t="shared" si="40"/>
        <v>КЭС</v>
      </c>
      <c r="F97" t="str">
        <f>""</f>
        <v/>
      </c>
      <c r="G97" t="str">
        <f t="shared" si="38"/>
        <v>_МС (CAB_MS)</v>
      </c>
      <c r="H97" t="str">
        <f t="shared" si="41"/>
        <v>МС 1.5</v>
      </c>
      <c r="I97" t="str">
        <f>"21.11.2017"</f>
        <v>21.11.2017</v>
      </c>
      <c r="J97" t="str">
        <f>""</f>
        <v/>
      </c>
      <c r="K97" t="str">
        <f t="shared" si="42"/>
        <v>Отсутствует</v>
      </c>
      <c r="L97" t="str">
        <f t="shared" si="43"/>
        <v>Не указан</v>
      </c>
      <c r="M97" t="str">
        <f t="shared" si="44"/>
        <v>Нет</v>
      </c>
      <c r="N97" t="str">
        <f t="shared" si="44"/>
        <v>Нет</v>
      </c>
      <c r="O97" t="str">
        <f>"[46/2289] М 1.5.6 - ОК1.5.3-1 ППК1.5.3 Курск, Щепкина, 4 б п. 1"</f>
        <v>[46/2289] М 1.5.6 - ОК1.5.3-1 ППК1.5.3 Курск, Щепкина, 4 б п. 1</v>
      </c>
      <c r="P97">
        <v>36.173794269561803</v>
      </c>
      <c r="Q97">
        <v>51.728340631164897</v>
      </c>
      <c r="R97" t="str">
        <f>"20000004579600"</f>
        <v>20000004579600</v>
      </c>
    </row>
    <row r="98" spans="1:18" x14ac:dyDescent="0.25">
      <c r="A98">
        <v>907</v>
      </c>
      <c r="B98" t="str">
        <f t="shared" si="27"/>
        <v>Курск</v>
      </c>
      <c r="C98">
        <v>896140</v>
      </c>
      <c r="D98" t="str">
        <f t="shared" si="39"/>
        <v>Опора</v>
      </c>
      <c r="E98" t="str">
        <f t="shared" si="40"/>
        <v>КЭС</v>
      </c>
      <c r="F98" t="str">
        <f>""</f>
        <v/>
      </c>
      <c r="G98" t="str">
        <f t="shared" si="38"/>
        <v>_МС (CAB_MS)</v>
      </c>
      <c r="H98" t="str">
        <f t="shared" si="41"/>
        <v>МС 1.5</v>
      </c>
      <c r="I98" t="str">
        <f>"21.11.2017"</f>
        <v>21.11.2017</v>
      </c>
      <c r="J98" t="str">
        <f>""</f>
        <v/>
      </c>
      <c r="K98" t="str">
        <f t="shared" si="42"/>
        <v>Отсутствует</v>
      </c>
      <c r="L98" t="str">
        <f t="shared" si="43"/>
        <v>Не указан</v>
      </c>
      <c r="M98" t="str">
        <f t="shared" si="44"/>
        <v>Нет</v>
      </c>
      <c r="N98" t="str">
        <f t="shared" si="44"/>
        <v>Нет</v>
      </c>
      <c r="O98" t="str">
        <f>"[46/2289] М 1.5.6 - ОК1.5.3-1 ППК1.5.3 Курск, Щепкина, 4 б п. 1"</f>
        <v>[46/2289] М 1.5.6 - ОК1.5.3-1 ППК1.5.3 Курск, Щепкина, 4 б п. 1</v>
      </c>
      <c r="P98">
        <v>36.173582379999999</v>
      </c>
      <c r="Q98">
        <v>51.728584849999997</v>
      </c>
      <c r="R98" t="str">
        <f>"20000004579599"</f>
        <v>20000004579599</v>
      </c>
    </row>
    <row r="99" spans="1:18" x14ac:dyDescent="0.25">
      <c r="A99">
        <v>907</v>
      </c>
      <c r="B99" t="str">
        <f t="shared" si="27"/>
        <v>Курск</v>
      </c>
      <c r="C99">
        <v>999597</v>
      </c>
      <c r="D99" t="str">
        <f t="shared" si="39"/>
        <v>Опора</v>
      </c>
      <c r="E99" t="str">
        <f t="shared" ref="E99:E105" si="45">"(Опора)"</f>
        <v>(Опора)</v>
      </c>
      <c r="F99" t="str">
        <f>""</f>
        <v/>
      </c>
      <c r="G99" t="str">
        <f t="shared" si="38"/>
        <v>_МС (CAB_MS)</v>
      </c>
      <c r="H99" t="str">
        <f t="shared" si="41"/>
        <v>МС 1.5</v>
      </c>
      <c r="I99" t="str">
        <f>"18.10.2023"</f>
        <v>18.10.2023</v>
      </c>
      <c r="J99" t="str">
        <f>""</f>
        <v/>
      </c>
      <c r="K99" t="str">
        <f t="shared" si="42"/>
        <v>Отсутствует</v>
      </c>
      <c r="L99" t="str">
        <f t="shared" ref="L99:L105" si="46">"Комитет по управлению муниципальным имуществом города Курска"</f>
        <v>Комитет по управлению муниципальным имуществом города Курска</v>
      </c>
      <c r="M99" t="str">
        <f>"Неизвестно"</f>
        <v>Неизвестно</v>
      </c>
      <c r="N99" t="str">
        <f>"Неизвестно"</f>
        <v>Неизвестно</v>
      </c>
      <c r="O99" t="str">
        <f>"[46/2951] М 1.5.9 - ОК1.1.1-92 ППК 1.1.1 Курск, Дзержинского, 25 /2 п. 1"</f>
        <v>[46/2951] М 1.5.9 - ОК1.1.1-92 ППК 1.1.1 Курск, Дзержинского, 25 /2 п. 1</v>
      </c>
      <c r="P99">
        <v>36.185053423742701</v>
      </c>
      <c r="Q99">
        <v>51.727372672960698</v>
      </c>
      <c r="R99" t="str">
        <f>""</f>
        <v/>
      </c>
    </row>
    <row r="100" spans="1:18" x14ac:dyDescent="0.25">
      <c r="A100">
        <v>907</v>
      </c>
      <c r="B100" t="str">
        <f t="shared" si="27"/>
        <v>Курск</v>
      </c>
      <c r="C100">
        <v>920314</v>
      </c>
      <c r="D100" t="str">
        <f t="shared" si="39"/>
        <v>Опора</v>
      </c>
      <c r="E100" t="str">
        <f t="shared" si="45"/>
        <v>(Опора)</v>
      </c>
      <c r="F100" t="str">
        <f>""</f>
        <v/>
      </c>
      <c r="G100" t="str">
        <f t="shared" si="38"/>
        <v>_МС (CAB_MS)</v>
      </c>
      <c r="H100" t="str">
        <f t="shared" si="41"/>
        <v>МС 1.5</v>
      </c>
      <c r="I100" t="str">
        <f t="shared" ref="I100:I105" si="47">"22.12.2020"</f>
        <v>22.12.2020</v>
      </c>
      <c r="J100" t="str">
        <f>""</f>
        <v/>
      </c>
      <c r="K100" t="str">
        <f t="shared" ref="K100:K105" si="48">"АКТ №4654"</f>
        <v>АКТ №4654</v>
      </c>
      <c r="L100" t="str">
        <f t="shared" si="46"/>
        <v>Комитет по управлению муниципальным имуществом города Курска</v>
      </c>
      <c r="M100" t="str">
        <f t="shared" ref="M100:M105" si="49">"Неизвестно"</f>
        <v>Неизвестно</v>
      </c>
      <c r="N100" t="str">
        <f t="shared" ref="N100:N105" si="50">"Да"</f>
        <v>Да</v>
      </c>
      <c r="O100" t="str">
        <f>"[46/3334] М1.1.15 -  Курск, Почтовая, 23  п. 1, [46/3220] М 1.5.9 - М1.1.15"</f>
        <v>[46/3334] М1.1.15 -  Курск, Почтовая, 23  п. 1, [46/3220] М 1.5.9 - М1.1.15</v>
      </c>
      <c r="P100">
        <v>36.186892319999998</v>
      </c>
      <c r="Q100">
        <v>51.733301760000003</v>
      </c>
      <c r="R100" t="str">
        <f>"20000006263037"</f>
        <v>20000006263037</v>
      </c>
    </row>
    <row r="101" spans="1:18" x14ac:dyDescent="0.25">
      <c r="A101">
        <v>907</v>
      </c>
      <c r="B101" t="str">
        <f t="shared" si="27"/>
        <v>Курск</v>
      </c>
      <c r="C101">
        <v>920313</v>
      </c>
      <c r="D101" t="str">
        <f t="shared" si="39"/>
        <v>Опора</v>
      </c>
      <c r="E101" t="str">
        <f t="shared" si="45"/>
        <v>(Опора)</v>
      </c>
      <c r="F101" t="str">
        <f>""</f>
        <v/>
      </c>
      <c r="G101" t="str">
        <f t="shared" si="38"/>
        <v>_МС (CAB_MS)</v>
      </c>
      <c r="H101" t="str">
        <f t="shared" si="41"/>
        <v>МС 1.5</v>
      </c>
      <c r="I101" t="str">
        <f t="shared" si="47"/>
        <v>22.12.2020</v>
      </c>
      <c r="J101" t="str">
        <f>""</f>
        <v/>
      </c>
      <c r="K101" t="str">
        <f t="shared" si="48"/>
        <v>АКТ №4654</v>
      </c>
      <c r="L101" t="str">
        <f t="shared" si="46"/>
        <v>Комитет по управлению муниципальным имуществом города Курска</v>
      </c>
      <c r="M101" t="str">
        <f t="shared" si="49"/>
        <v>Неизвестно</v>
      </c>
      <c r="N101" t="str">
        <f t="shared" si="50"/>
        <v>Да</v>
      </c>
      <c r="O101" t="str">
        <f>"[46/3334] М1.1.15 -  Курск, Почтовая, 23  п. 1, [46/3220] М 1.5.9 - М1.1.15"</f>
        <v>[46/3334] М1.1.15 -  Курск, Почтовая, 23  п. 1, [46/3220] М 1.5.9 - М1.1.15</v>
      </c>
      <c r="P101">
        <v>36.187768060000003</v>
      </c>
      <c r="Q101">
        <v>51.733266870000001</v>
      </c>
      <c r="R101" t="str">
        <f>"20000006263036"</f>
        <v>20000006263036</v>
      </c>
    </row>
    <row r="102" spans="1:18" x14ac:dyDescent="0.25">
      <c r="A102">
        <v>907</v>
      </c>
      <c r="B102" t="str">
        <f t="shared" si="27"/>
        <v>Курск</v>
      </c>
      <c r="C102">
        <v>920312</v>
      </c>
      <c r="D102" t="str">
        <f t="shared" si="39"/>
        <v>Опора</v>
      </c>
      <c r="E102" t="str">
        <f t="shared" si="45"/>
        <v>(Опора)</v>
      </c>
      <c r="F102" t="str">
        <f>""</f>
        <v/>
      </c>
      <c r="G102" t="str">
        <f t="shared" si="38"/>
        <v>_МС (CAB_MS)</v>
      </c>
      <c r="H102" t="str">
        <f t="shared" si="41"/>
        <v>МС 1.5</v>
      </c>
      <c r="I102" t="str">
        <f t="shared" si="47"/>
        <v>22.12.2020</v>
      </c>
      <c r="J102" t="str">
        <f>""</f>
        <v/>
      </c>
      <c r="K102" t="str">
        <f t="shared" si="48"/>
        <v>АКТ №4654</v>
      </c>
      <c r="L102" t="str">
        <f t="shared" si="46"/>
        <v>Комитет по управлению муниципальным имуществом города Курска</v>
      </c>
      <c r="M102" t="str">
        <f t="shared" si="49"/>
        <v>Неизвестно</v>
      </c>
      <c r="N102" t="str">
        <f t="shared" si="50"/>
        <v>Да</v>
      </c>
      <c r="O102" t="str">
        <f>"[46/3334] М1.1.15 -  Курск, Почтовая, 23  п. 1, [46/3220] М 1.5.9 - М1.1.15"</f>
        <v>[46/3334] М1.1.15 -  Курск, Почтовая, 23  п. 1, [46/3220] М 1.5.9 - М1.1.15</v>
      </c>
      <c r="P102">
        <v>36.188205930000002</v>
      </c>
      <c r="Q102">
        <v>51.733269360000001</v>
      </c>
      <c r="R102" t="str">
        <f>"20000006263035"</f>
        <v>20000006263035</v>
      </c>
    </row>
    <row r="103" spans="1:18" x14ac:dyDescent="0.25">
      <c r="A103">
        <v>907</v>
      </c>
      <c r="B103" t="str">
        <f t="shared" si="27"/>
        <v>Курск</v>
      </c>
      <c r="C103">
        <v>920311</v>
      </c>
      <c r="D103" t="str">
        <f t="shared" si="39"/>
        <v>Опора</v>
      </c>
      <c r="E103" t="str">
        <f t="shared" si="45"/>
        <v>(Опора)</v>
      </c>
      <c r="F103" t="str">
        <f>""</f>
        <v/>
      </c>
      <c r="G103" t="str">
        <f t="shared" si="38"/>
        <v>_МС (CAB_MS)</v>
      </c>
      <c r="H103" t="str">
        <f t="shared" si="41"/>
        <v>МС 1.5</v>
      </c>
      <c r="I103" t="str">
        <f t="shared" si="47"/>
        <v>22.12.2020</v>
      </c>
      <c r="J103" t="str">
        <f>""</f>
        <v/>
      </c>
      <c r="K103" t="str">
        <f t="shared" si="48"/>
        <v>АКТ №4654</v>
      </c>
      <c r="L103" t="str">
        <f t="shared" si="46"/>
        <v>Комитет по управлению муниципальным имуществом города Курска</v>
      </c>
      <c r="M103" t="str">
        <f t="shared" si="49"/>
        <v>Неизвестно</v>
      </c>
      <c r="N103" t="str">
        <f t="shared" si="50"/>
        <v>Да</v>
      </c>
      <c r="O103" t="str">
        <f>"[46/3334] М1.1.15 -  Курск, Почтовая, 23  п. 1, [46/3220] М 1.5.9 - М1.1.15"</f>
        <v>[46/3334] М1.1.15 -  Курск, Почтовая, 23  п. 1, [46/3220] М 1.5.9 - М1.1.15</v>
      </c>
      <c r="P103">
        <v>36.187337900000003</v>
      </c>
      <c r="Q103">
        <v>51.733286800000002</v>
      </c>
      <c r="R103" t="str">
        <f>"20000006263034"</f>
        <v>20000006263034</v>
      </c>
    </row>
    <row r="104" spans="1:18" x14ac:dyDescent="0.25">
      <c r="A104">
        <v>907</v>
      </c>
      <c r="B104" t="str">
        <f t="shared" si="27"/>
        <v>Курск</v>
      </c>
      <c r="C104">
        <v>920310</v>
      </c>
      <c r="D104" t="str">
        <f t="shared" si="39"/>
        <v>Опора</v>
      </c>
      <c r="E104" t="str">
        <f t="shared" si="45"/>
        <v>(Опора)</v>
      </c>
      <c r="F104" t="str">
        <f>""</f>
        <v/>
      </c>
      <c r="G104" t="str">
        <f t="shared" si="38"/>
        <v>_МС (CAB_MS)</v>
      </c>
      <c r="H104" t="str">
        <f t="shared" si="41"/>
        <v>МС 1.5</v>
      </c>
      <c r="I104" t="str">
        <f t="shared" si="47"/>
        <v>22.12.2020</v>
      </c>
      <c r="J104" t="str">
        <f>""</f>
        <v/>
      </c>
      <c r="K104" t="str">
        <f t="shared" si="48"/>
        <v>АКТ №4654</v>
      </c>
      <c r="L104" t="str">
        <f t="shared" si="46"/>
        <v>Комитет по управлению муниципальным имуществом города Курска</v>
      </c>
      <c r="M104" t="str">
        <f t="shared" si="49"/>
        <v>Неизвестно</v>
      </c>
      <c r="N104" t="str">
        <f t="shared" si="50"/>
        <v>Да</v>
      </c>
      <c r="O104" t="str">
        <f>"[46/3334] М1.1.15 -  Курск, Почтовая, 23  п. 1, [46/3220] М 1.5.9 - М1.1.15"</f>
        <v>[46/3334] М1.1.15 -  Курск, Почтовая, 23  п. 1, [46/3220] М 1.5.9 - М1.1.15</v>
      </c>
      <c r="P104">
        <v>36.186484290000003</v>
      </c>
      <c r="Q104">
        <v>51.733331239999998</v>
      </c>
      <c r="R104" t="str">
        <f>"20000006263033"</f>
        <v>20000006263033</v>
      </c>
    </row>
    <row r="105" spans="1:18" x14ac:dyDescent="0.25">
      <c r="A105">
        <v>907</v>
      </c>
      <c r="B105" t="str">
        <f t="shared" si="27"/>
        <v>Курск</v>
      </c>
      <c r="C105">
        <v>920309</v>
      </c>
      <c r="D105" t="str">
        <f t="shared" si="39"/>
        <v>Опора</v>
      </c>
      <c r="E105" t="str">
        <f t="shared" si="45"/>
        <v>(Опора)</v>
      </c>
      <c r="F105" t="str">
        <f>""</f>
        <v/>
      </c>
      <c r="G105" t="str">
        <f t="shared" si="38"/>
        <v>_МС (CAB_MS)</v>
      </c>
      <c r="H105" t="str">
        <f t="shared" si="41"/>
        <v>МС 1.5</v>
      </c>
      <c r="I105" t="str">
        <f t="shared" si="47"/>
        <v>22.12.2020</v>
      </c>
      <c r="J105" t="str">
        <f>""</f>
        <v/>
      </c>
      <c r="K105" t="str">
        <f t="shared" si="48"/>
        <v>АКТ №4654</v>
      </c>
      <c r="L105" t="str">
        <f t="shared" si="46"/>
        <v>Комитет по управлению муниципальным имуществом города Курска</v>
      </c>
      <c r="M105" t="str">
        <f t="shared" si="49"/>
        <v>Неизвестно</v>
      </c>
      <c r="N105" t="str">
        <f t="shared" si="50"/>
        <v>Да</v>
      </c>
      <c r="O105" t="str">
        <f>"[46/3336]  Курск, Почтовая, 23  п. 1 - ОК1.1.1-77.2 ППК 1.1.1 Курск, Ендовищенская, 31  п. 1, [46/3220] М 1.5.9 - М1.1.15, [46/3334] М1.1.15 -  Курск, Почтовая, 23  п. 1"</f>
        <v>[46/3336]  Курск, Почтовая, 23  п. 1 - ОК1.1.1-77.2 ППК 1.1.1 Курск, Ендовищенская, 31  п. 1, [46/3220] М 1.5.9 - М1.1.15, [46/3334] М1.1.15 -  Курск, Почтовая, 23  п. 1</v>
      </c>
      <c r="P105">
        <v>36.186039710000003</v>
      </c>
      <c r="Q105">
        <v>51.733359479999997</v>
      </c>
      <c r="R105" t="str">
        <f>"20000006263032"</f>
        <v>20000006263032</v>
      </c>
    </row>
    <row r="106" spans="1:18" x14ac:dyDescent="0.25">
      <c r="A106">
        <v>907</v>
      </c>
      <c r="B106" t="str">
        <f t="shared" si="27"/>
        <v>Курск</v>
      </c>
      <c r="C106">
        <v>896136</v>
      </c>
      <c r="D106" t="str">
        <f t="shared" si="39"/>
        <v>Опора</v>
      </c>
      <c r="E106" t="str">
        <f>"КЭС"</f>
        <v>КЭС</v>
      </c>
      <c r="F106" t="str">
        <f>""</f>
        <v/>
      </c>
      <c r="G106" t="str">
        <f t="shared" si="38"/>
        <v>_МС (CAB_MS)</v>
      </c>
      <c r="H106" t="str">
        <f t="shared" si="41"/>
        <v>МС 1.5</v>
      </c>
      <c r="I106" t="str">
        <f>"21.11.2017"</f>
        <v>21.11.2017</v>
      </c>
      <c r="J106" t="str">
        <f>""</f>
        <v/>
      </c>
      <c r="K106" t="str">
        <f>"Отсутствует"</f>
        <v>Отсутствует</v>
      </c>
      <c r="L106" t="str">
        <f>"Не указан"</f>
        <v>Не указан</v>
      </c>
      <c r="M106" t="str">
        <f>"Нет"</f>
        <v>Нет</v>
      </c>
      <c r="N106" t="str">
        <f>"Нет"</f>
        <v>Нет</v>
      </c>
      <c r="O106" t="str">
        <f>"[46/2289] М 1.5.6 - ОК1.5.3-1 ППК1.5.3 Курск, Щепкина, 4 б п. 1, [46/4663] M1.5.6 - М 1.5.6"</f>
        <v>[46/2289] М 1.5.6 - ОК1.5.3-1 ППК1.5.3 Курск, Щепкина, 4 б п. 1, [46/4663] M1.5.6 - М 1.5.6</v>
      </c>
      <c r="P106">
        <v>36.174467499999999</v>
      </c>
      <c r="Q106">
        <v>51.729087399999997</v>
      </c>
      <c r="R106" t="str">
        <f>"20000004579596"</f>
        <v>20000004579596</v>
      </c>
    </row>
    <row r="107" spans="1:18" x14ac:dyDescent="0.25">
      <c r="A107">
        <v>907</v>
      </c>
      <c r="B107" t="str">
        <f t="shared" si="27"/>
        <v>Курск</v>
      </c>
      <c r="C107">
        <v>920308</v>
      </c>
      <c r="D107" t="str">
        <f t="shared" si="39"/>
        <v>Опора</v>
      </c>
      <c r="E107" t="str">
        <f>"(Опора)"</f>
        <v>(Опора)</v>
      </c>
      <c r="F107" t="str">
        <f>""</f>
        <v/>
      </c>
      <c r="G107" t="str">
        <f t="shared" si="38"/>
        <v>_МС (CAB_MS)</v>
      </c>
      <c r="H107" t="str">
        <f t="shared" si="41"/>
        <v>МС 1.5</v>
      </c>
      <c r="I107" t="str">
        <f>"22.12.2020"</f>
        <v>22.12.2020</v>
      </c>
      <c r="J107" t="str">
        <f>""</f>
        <v/>
      </c>
      <c r="K107" t="str">
        <f>"АКТ №4654"</f>
        <v>АКТ №4654</v>
      </c>
      <c r="L107" t="str">
        <f>"Комитет по управлению муниципальным имуществом города Курска"</f>
        <v>Комитет по управлению муниципальным имуществом города Курска</v>
      </c>
      <c r="M107" t="str">
        <f>"Неизвестно"</f>
        <v>Неизвестно</v>
      </c>
      <c r="N107" t="str">
        <f>"Да"</f>
        <v>Да</v>
      </c>
      <c r="O107" t="str">
        <f>"[46/3336]  Курск, Почтовая, 23  п. 1 - ОК1.1.1-77.2 ППК 1.1.1 Курск, Ендовищенская, 31  п. 1, [46/3220] М 1.5.9 - М1.1.15"</f>
        <v>[46/3336]  Курск, Почтовая, 23  п. 1 - ОК1.1.1-77.2 ППК 1.1.1 Курск, Ендовищенская, 31  п. 1, [46/3220] М 1.5.9 - М1.1.15</v>
      </c>
      <c r="P107">
        <v>36.185608549999998</v>
      </c>
      <c r="Q107">
        <v>51.733378999999999</v>
      </c>
      <c r="R107" t="str">
        <f>"20000006263031"</f>
        <v>20000006263031</v>
      </c>
    </row>
    <row r="108" spans="1:18" x14ac:dyDescent="0.25">
      <c r="A108">
        <v>907</v>
      </c>
      <c r="B108" t="str">
        <f t="shared" si="27"/>
        <v>Курск</v>
      </c>
      <c r="C108">
        <v>896138</v>
      </c>
      <c r="D108" t="str">
        <f t="shared" si="39"/>
        <v>Опора</v>
      </c>
      <c r="E108" t="str">
        <f>"КЭС"</f>
        <v>КЭС</v>
      </c>
      <c r="F108" t="str">
        <f>""</f>
        <v/>
      </c>
      <c r="G108" t="str">
        <f t="shared" si="38"/>
        <v>_МС (CAB_MS)</v>
      </c>
      <c r="H108" t="str">
        <f t="shared" si="41"/>
        <v>МС 1.5</v>
      </c>
      <c r="I108" t="str">
        <f>"21.11.2017"</f>
        <v>21.11.2017</v>
      </c>
      <c r="J108" t="str">
        <f>""</f>
        <v/>
      </c>
      <c r="K108" t="str">
        <f>"Отсутствует"</f>
        <v>Отсутствует</v>
      </c>
      <c r="L108" t="str">
        <f>"Не указан"</f>
        <v>Не указан</v>
      </c>
      <c r="M108" t="str">
        <f>"Нет"</f>
        <v>Нет</v>
      </c>
      <c r="N108" t="str">
        <f>"Нет"</f>
        <v>Нет</v>
      </c>
      <c r="O108" t="str">
        <f>"[46/2289] М 1.5.6 - ОК1.5.3-1 ППК1.5.3 Курск, Щепкина, 4 б п. 1, [46/4663] M1.5.6 - М 1.5.6"</f>
        <v>[46/2289] М 1.5.6 - ОК1.5.3-1 ППК1.5.3 Курск, Щепкина, 4 б п. 1, [46/4663] M1.5.6 - М 1.5.6</v>
      </c>
      <c r="P108">
        <v>36.173641379999999</v>
      </c>
      <c r="Q108">
        <v>51.728784210000001</v>
      </c>
      <c r="R108" t="str">
        <f>"20000004579598"</f>
        <v>20000004579598</v>
      </c>
    </row>
    <row r="109" spans="1:18" x14ac:dyDescent="0.25">
      <c r="A109">
        <v>907</v>
      </c>
      <c r="B109" t="str">
        <f t="shared" si="27"/>
        <v>Курск</v>
      </c>
      <c r="C109">
        <v>896137</v>
      </c>
      <c r="D109" t="str">
        <f t="shared" si="39"/>
        <v>Опора</v>
      </c>
      <c r="E109" t="str">
        <f>"КЭС"</f>
        <v>КЭС</v>
      </c>
      <c r="F109" t="str">
        <f>""</f>
        <v/>
      </c>
      <c r="G109" t="str">
        <f t="shared" si="38"/>
        <v>_МС (CAB_MS)</v>
      </c>
      <c r="H109" t="str">
        <f t="shared" si="41"/>
        <v>МС 1.5</v>
      </c>
      <c r="I109" t="str">
        <f>"21.11.2017"</f>
        <v>21.11.2017</v>
      </c>
      <c r="J109" t="str">
        <f>""</f>
        <v/>
      </c>
      <c r="K109" t="str">
        <f>"Отсутствует"</f>
        <v>Отсутствует</v>
      </c>
      <c r="L109" t="str">
        <f>"Не указан"</f>
        <v>Не указан</v>
      </c>
      <c r="M109" t="str">
        <f>"Нет"</f>
        <v>Нет</v>
      </c>
      <c r="N109" t="str">
        <f>"Нет"</f>
        <v>Нет</v>
      </c>
      <c r="O109" t="str">
        <f>"[46/2289] М 1.5.6 - ОК1.5.3-1 ППК1.5.3 Курск, Щепкина, 4 б п. 1, [46/4663] M1.5.6 - М 1.5.6"</f>
        <v>[46/2289] М 1.5.6 - ОК1.5.3-1 ППК1.5.3 Курск, Щепкина, 4 б п. 1, [46/4663] M1.5.6 - М 1.5.6</v>
      </c>
      <c r="P109">
        <v>36.174081270000002</v>
      </c>
      <c r="Q109">
        <v>51.728944519999999</v>
      </c>
      <c r="R109" t="str">
        <f>"20000004579597"</f>
        <v>20000004579597</v>
      </c>
    </row>
    <row r="110" spans="1:18" x14ac:dyDescent="0.25">
      <c r="A110">
        <v>907</v>
      </c>
      <c r="B110" t="str">
        <f t="shared" si="27"/>
        <v>Курск</v>
      </c>
      <c r="C110">
        <v>921397</v>
      </c>
      <c r="D110" t="str">
        <f t="shared" si="39"/>
        <v>Опора</v>
      </c>
      <c r="E110" t="str">
        <f>"КИ 0170"</f>
        <v>КИ 0170</v>
      </c>
      <c r="F110" t="str">
        <f>""</f>
        <v/>
      </c>
      <c r="G110" t="str">
        <f t="shared" si="38"/>
        <v>_МС (CAB_MS)</v>
      </c>
      <c r="H110" t="str">
        <f>"МС 2.3"</f>
        <v>МС 2.3</v>
      </c>
      <c r="I110" t="str">
        <f>"13.01.2021"</f>
        <v>13.01.2021</v>
      </c>
      <c r="J110" t="str">
        <f>""</f>
        <v/>
      </c>
      <c r="K110" t="str">
        <f>"АКТ №4654"</f>
        <v>АКТ №4654</v>
      </c>
      <c r="L110" t="str">
        <f>"Не указан"</f>
        <v>Не указан</v>
      </c>
      <c r="M110" t="str">
        <f t="shared" ref="M110:M122" si="51">"Неизвестно"</f>
        <v>Неизвестно</v>
      </c>
      <c r="N110" t="str">
        <f>"Нет"</f>
        <v>Нет</v>
      </c>
      <c r="O110" t="str">
        <f>"[46/3043] М 2.3.17 - М 2.3.18"</f>
        <v>[46/3043] М 2.3.17 - М 2.3.18</v>
      </c>
      <c r="P110">
        <v>36.146936940000003</v>
      </c>
      <c r="Q110">
        <v>51.726577149999997</v>
      </c>
      <c r="R110" t="str">
        <f>""</f>
        <v/>
      </c>
    </row>
    <row r="111" spans="1:18" x14ac:dyDescent="0.25">
      <c r="A111">
        <v>907</v>
      </c>
      <c r="B111" t="str">
        <f t="shared" si="27"/>
        <v>Курск</v>
      </c>
      <c r="C111">
        <v>921395</v>
      </c>
      <c r="D111" t="str">
        <f t="shared" si="39"/>
        <v>Опора</v>
      </c>
      <c r="E111" t="str">
        <f>"КИ 0168"</f>
        <v>КИ 0168</v>
      </c>
      <c r="F111" t="str">
        <f>""</f>
        <v/>
      </c>
      <c r="G111" t="str">
        <f t="shared" si="38"/>
        <v>_МС (CAB_MS)</v>
      </c>
      <c r="H111" t="str">
        <f>"МС 2.3"</f>
        <v>МС 2.3</v>
      </c>
      <c r="I111" t="str">
        <f>"13.01.2021"</f>
        <v>13.01.2021</v>
      </c>
      <c r="J111" t="str">
        <f>""</f>
        <v/>
      </c>
      <c r="K111" t="str">
        <f>"АКТ №4654"</f>
        <v>АКТ №4654</v>
      </c>
      <c r="L111" t="str">
        <f>"Не указан"</f>
        <v>Не указан</v>
      </c>
      <c r="M111" t="str">
        <f t="shared" si="51"/>
        <v>Неизвестно</v>
      </c>
      <c r="N111" t="str">
        <f>"Нет"</f>
        <v>Нет</v>
      </c>
      <c r="O111" t="str">
        <f>"[46/3043] М 2.3.17 - М 2.3.18"</f>
        <v>[46/3043] М 2.3.17 - М 2.3.18</v>
      </c>
      <c r="P111">
        <v>36.147548479999998</v>
      </c>
      <c r="Q111">
        <v>51.727204319999998</v>
      </c>
      <c r="R111" t="str">
        <f>""</f>
        <v/>
      </c>
    </row>
    <row r="112" spans="1:18" x14ac:dyDescent="0.25">
      <c r="A112">
        <v>907</v>
      </c>
      <c r="B112" t="str">
        <f t="shared" si="27"/>
        <v>Курск</v>
      </c>
      <c r="C112">
        <v>921396</v>
      </c>
      <c r="D112" t="str">
        <f t="shared" si="39"/>
        <v>Опора</v>
      </c>
      <c r="E112" t="str">
        <f>"КИ 0169"</f>
        <v>КИ 0169</v>
      </c>
      <c r="F112" t="str">
        <f>""</f>
        <v/>
      </c>
      <c r="G112" t="str">
        <f t="shared" si="38"/>
        <v>_МС (CAB_MS)</v>
      </c>
      <c r="H112" t="str">
        <f>"МС 2.3"</f>
        <v>МС 2.3</v>
      </c>
      <c r="I112" t="str">
        <f>"13.01.2021"</f>
        <v>13.01.2021</v>
      </c>
      <c r="J112" t="str">
        <f>""</f>
        <v/>
      </c>
      <c r="K112" t="str">
        <f>"АКТ №4654"</f>
        <v>АКТ №4654</v>
      </c>
      <c r="L112" t="str">
        <f>"Не указан"</f>
        <v>Не указан</v>
      </c>
      <c r="M112" t="str">
        <f t="shared" si="51"/>
        <v>Неизвестно</v>
      </c>
      <c r="N112" t="str">
        <f>"Нет"</f>
        <v>Нет</v>
      </c>
      <c r="O112" t="str">
        <f>"[46/3043] М 2.3.17 - М 2.3.18"</f>
        <v>[46/3043] М 2.3.17 - М 2.3.18</v>
      </c>
      <c r="P112">
        <v>36.147746959999999</v>
      </c>
      <c r="Q112">
        <v>51.727099240000001</v>
      </c>
      <c r="R112" t="str">
        <f>""</f>
        <v/>
      </c>
    </row>
    <row r="113" spans="1:18" x14ac:dyDescent="0.25">
      <c r="A113">
        <v>907</v>
      </c>
      <c r="B113" t="str">
        <f t="shared" si="27"/>
        <v>Курск</v>
      </c>
      <c r="C113">
        <v>999094</v>
      </c>
      <c r="D113" t="str">
        <f t="shared" si="39"/>
        <v>Опора</v>
      </c>
      <c r="E113" t="str">
        <f t="shared" ref="E113:E122" si="52">"(Опора)"</f>
        <v>(Опора)</v>
      </c>
      <c r="F113" t="str">
        <f>""</f>
        <v/>
      </c>
      <c r="G113" t="str">
        <f t="shared" si="38"/>
        <v>_МС (CAB_MS)</v>
      </c>
      <c r="H113" t="str">
        <f t="shared" ref="H113:H135" si="53">"МС 2.5"</f>
        <v>МС 2.5</v>
      </c>
      <c r="I113" t="str">
        <f t="shared" ref="I113:I122" si="54">"09.10.2023"</f>
        <v>09.10.2023</v>
      </c>
      <c r="J113" t="str">
        <f>""</f>
        <v/>
      </c>
      <c r="K113" t="str">
        <f t="shared" ref="K113:K122" si="55">"Отсутствует"</f>
        <v>Отсутствует</v>
      </c>
      <c r="L113" t="str">
        <f t="shared" ref="L113:L124" si="56">"Комитет по управлению муниципальным имуществом города Курска"</f>
        <v>Комитет по управлению муниципальным имуществом города Курска</v>
      </c>
      <c r="M113" t="str">
        <f t="shared" si="51"/>
        <v>Неизвестно</v>
      </c>
      <c r="N113" t="str">
        <f t="shared" ref="N113:N122" si="57">"Неизвестно"</f>
        <v>Неизвестно</v>
      </c>
      <c r="O113" t="str">
        <f t="shared" ref="O113:O122" si="58">"[46/1137] М 2.5.2 - М 2.5.3"</f>
        <v>[46/1137] М 2.5.2 - М 2.5.3</v>
      </c>
      <c r="P113">
        <v>36.1361368660369</v>
      </c>
      <c r="Q113">
        <v>51.7381336377941</v>
      </c>
      <c r="R113" t="str">
        <f>""</f>
        <v/>
      </c>
    </row>
    <row r="114" spans="1:18" x14ac:dyDescent="0.25">
      <c r="A114">
        <v>907</v>
      </c>
      <c r="B114" t="str">
        <f t="shared" si="27"/>
        <v>Курск</v>
      </c>
      <c r="C114">
        <v>999093</v>
      </c>
      <c r="D114" t="str">
        <f t="shared" si="39"/>
        <v>Опора</v>
      </c>
      <c r="E114" t="str">
        <f t="shared" si="52"/>
        <v>(Опора)</v>
      </c>
      <c r="F114" t="str">
        <f>""</f>
        <v/>
      </c>
      <c r="G114" t="str">
        <f t="shared" si="38"/>
        <v>_МС (CAB_MS)</v>
      </c>
      <c r="H114" t="str">
        <f t="shared" si="53"/>
        <v>МС 2.5</v>
      </c>
      <c r="I114" t="str">
        <f t="shared" si="54"/>
        <v>09.10.2023</v>
      </c>
      <c r="J114" t="str">
        <f>""</f>
        <v/>
      </c>
      <c r="K114" t="str">
        <f t="shared" si="55"/>
        <v>Отсутствует</v>
      </c>
      <c r="L114" t="str">
        <f t="shared" si="56"/>
        <v>Комитет по управлению муниципальным имуществом города Курска</v>
      </c>
      <c r="M114" t="str">
        <f t="shared" si="51"/>
        <v>Неизвестно</v>
      </c>
      <c r="N114" t="str">
        <f t="shared" si="57"/>
        <v>Неизвестно</v>
      </c>
      <c r="O114" t="str">
        <f t="shared" si="58"/>
        <v>[46/1137] М 2.5.2 - М 2.5.3</v>
      </c>
      <c r="P114">
        <v>36.135930335942703</v>
      </c>
      <c r="Q114">
        <v>51.738371156678298</v>
      </c>
      <c r="R114" t="str">
        <f>""</f>
        <v/>
      </c>
    </row>
    <row r="115" spans="1:18" x14ac:dyDescent="0.25">
      <c r="A115">
        <v>907</v>
      </c>
      <c r="B115" t="str">
        <f t="shared" si="27"/>
        <v>Курск</v>
      </c>
      <c r="C115">
        <v>999092</v>
      </c>
      <c r="D115" t="str">
        <f t="shared" si="39"/>
        <v>Опора</v>
      </c>
      <c r="E115" t="str">
        <f t="shared" si="52"/>
        <v>(Опора)</v>
      </c>
      <c r="F115" t="str">
        <f>""</f>
        <v/>
      </c>
      <c r="G115" t="str">
        <f t="shared" si="38"/>
        <v>_МС (CAB_MS)</v>
      </c>
      <c r="H115" t="str">
        <f t="shared" si="53"/>
        <v>МС 2.5</v>
      </c>
      <c r="I115" t="str">
        <f t="shared" si="54"/>
        <v>09.10.2023</v>
      </c>
      <c r="J115" t="str">
        <f>""</f>
        <v/>
      </c>
      <c r="K115" t="str">
        <f t="shared" si="55"/>
        <v>Отсутствует</v>
      </c>
      <c r="L115" t="str">
        <f t="shared" si="56"/>
        <v>Комитет по управлению муниципальным имуществом города Курска</v>
      </c>
      <c r="M115" t="str">
        <f t="shared" si="51"/>
        <v>Неизвестно</v>
      </c>
      <c r="N115" t="str">
        <f t="shared" si="57"/>
        <v>Неизвестно</v>
      </c>
      <c r="O115" t="str">
        <f t="shared" si="58"/>
        <v>[46/1137] М 2.5.2 - М 2.5.3</v>
      </c>
      <c r="P115">
        <v>36.1356674794593</v>
      </c>
      <c r="Q115">
        <v>51.738685078323101</v>
      </c>
      <c r="R115" t="str">
        <f>""</f>
        <v/>
      </c>
    </row>
    <row r="116" spans="1:18" x14ac:dyDescent="0.25">
      <c r="A116">
        <v>907</v>
      </c>
      <c r="B116" t="str">
        <f t="shared" si="27"/>
        <v>Курск</v>
      </c>
      <c r="C116">
        <v>999091</v>
      </c>
      <c r="D116" t="str">
        <f t="shared" si="39"/>
        <v>Опора</v>
      </c>
      <c r="E116" t="str">
        <f t="shared" si="52"/>
        <v>(Опора)</v>
      </c>
      <c r="F116" t="str">
        <f>""</f>
        <v/>
      </c>
      <c r="G116" t="str">
        <f t="shared" si="38"/>
        <v>_МС (CAB_MS)</v>
      </c>
      <c r="H116" t="str">
        <f t="shared" si="53"/>
        <v>МС 2.5</v>
      </c>
      <c r="I116" t="str">
        <f t="shared" si="54"/>
        <v>09.10.2023</v>
      </c>
      <c r="J116" t="str">
        <f>""</f>
        <v/>
      </c>
      <c r="K116" t="str">
        <f t="shared" si="55"/>
        <v>Отсутствует</v>
      </c>
      <c r="L116" t="str">
        <f t="shared" si="56"/>
        <v>Комитет по управлению муниципальным имуществом города Курска</v>
      </c>
      <c r="M116" t="str">
        <f t="shared" si="51"/>
        <v>Неизвестно</v>
      </c>
      <c r="N116" t="str">
        <f t="shared" si="57"/>
        <v>Неизвестно</v>
      </c>
      <c r="O116" t="str">
        <f t="shared" si="58"/>
        <v>[46/1137] М 2.5.2 - М 2.5.3</v>
      </c>
      <c r="P116">
        <v>36.135409989999999</v>
      </c>
      <c r="Q116">
        <v>51.738992349999997</v>
      </c>
      <c r="R116" t="str">
        <f>""</f>
        <v/>
      </c>
    </row>
    <row r="117" spans="1:18" x14ac:dyDescent="0.25">
      <c r="A117">
        <v>907</v>
      </c>
      <c r="B117" t="str">
        <f t="shared" si="27"/>
        <v>Курск</v>
      </c>
      <c r="C117">
        <v>999090</v>
      </c>
      <c r="D117" t="str">
        <f t="shared" si="39"/>
        <v>Опора</v>
      </c>
      <c r="E117" t="str">
        <f t="shared" si="52"/>
        <v>(Опора)</v>
      </c>
      <c r="F117" t="str">
        <f>""</f>
        <v/>
      </c>
      <c r="G117" t="str">
        <f t="shared" si="38"/>
        <v>_МС (CAB_MS)</v>
      </c>
      <c r="H117" t="str">
        <f t="shared" si="53"/>
        <v>МС 2.5</v>
      </c>
      <c r="I117" t="str">
        <f t="shared" si="54"/>
        <v>09.10.2023</v>
      </c>
      <c r="J117" t="str">
        <f>""</f>
        <v/>
      </c>
      <c r="K117" t="str">
        <f t="shared" si="55"/>
        <v>Отсутствует</v>
      </c>
      <c r="L117" t="str">
        <f t="shared" si="56"/>
        <v>Комитет по управлению муниципальным имуществом города Курска</v>
      </c>
      <c r="M117" t="str">
        <f t="shared" si="51"/>
        <v>Неизвестно</v>
      </c>
      <c r="N117" t="str">
        <f t="shared" si="57"/>
        <v>Неизвестно</v>
      </c>
      <c r="O117" t="str">
        <f t="shared" si="58"/>
        <v>[46/1137] М 2.5.2 - М 2.5.3</v>
      </c>
      <c r="P117">
        <v>36.135171270000001</v>
      </c>
      <c r="Q117">
        <v>51.739283020000002</v>
      </c>
      <c r="R117" t="str">
        <f>""</f>
        <v/>
      </c>
    </row>
    <row r="118" spans="1:18" x14ac:dyDescent="0.25">
      <c r="A118">
        <v>907</v>
      </c>
      <c r="B118" t="str">
        <f t="shared" si="27"/>
        <v>Курск</v>
      </c>
      <c r="C118">
        <v>999089</v>
      </c>
      <c r="D118" t="str">
        <f t="shared" si="39"/>
        <v>Опора</v>
      </c>
      <c r="E118" t="str">
        <f t="shared" si="52"/>
        <v>(Опора)</v>
      </c>
      <c r="F118" t="str">
        <f>""</f>
        <v/>
      </c>
      <c r="G118" t="str">
        <f t="shared" si="38"/>
        <v>_МС (CAB_MS)</v>
      </c>
      <c r="H118" t="str">
        <f t="shared" si="53"/>
        <v>МС 2.5</v>
      </c>
      <c r="I118" t="str">
        <f t="shared" si="54"/>
        <v>09.10.2023</v>
      </c>
      <c r="J118" t="str">
        <f>""</f>
        <v/>
      </c>
      <c r="K118" t="str">
        <f t="shared" si="55"/>
        <v>Отсутствует</v>
      </c>
      <c r="L118" t="str">
        <f t="shared" si="56"/>
        <v>Комитет по управлению муниципальным имуществом города Курска</v>
      </c>
      <c r="M118" t="str">
        <f t="shared" si="51"/>
        <v>Неизвестно</v>
      </c>
      <c r="N118" t="str">
        <f t="shared" si="57"/>
        <v>Неизвестно</v>
      </c>
      <c r="O118" t="str">
        <f t="shared" si="58"/>
        <v>[46/1137] М 2.5.2 - М 2.5.3</v>
      </c>
      <c r="P118">
        <v>36.13490573</v>
      </c>
      <c r="Q118">
        <v>51.73959859</v>
      </c>
      <c r="R118" t="str">
        <f>""</f>
        <v/>
      </c>
    </row>
    <row r="119" spans="1:18" x14ac:dyDescent="0.25">
      <c r="A119">
        <v>907</v>
      </c>
      <c r="B119" t="str">
        <f t="shared" si="27"/>
        <v>Курск</v>
      </c>
      <c r="C119">
        <v>999088</v>
      </c>
      <c r="D119" t="str">
        <f t="shared" si="39"/>
        <v>Опора</v>
      </c>
      <c r="E119" t="str">
        <f t="shared" si="52"/>
        <v>(Опора)</v>
      </c>
      <c r="F119" t="str">
        <f>""</f>
        <v/>
      </c>
      <c r="G119" t="str">
        <f t="shared" si="38"/>
        <v>_МС (CAB_MS)</v>
      </c>
      <c r="H119" t="str">
        <f t="shared" si="53"/>
        <v>МС 2.5</v>
      </c>
      <c r="I119" t="str">
        <f t="shared" si="54"/>
        <v>09.10.2023</v>
      </c>
      <c r="J119" t="str">
        <f>""</f>
        <v/>
      </c>
      <c r="K119" t="str">
        <f t="shared" si="55"/>
        <v>Отсутствует</v>
      </c>
      <c r="L119" t="str">
        <f t="shared" si="56"/>
        <v>Комитет по управлению муниципальным имуществом города Курска</v>
      </c>
      <c r="M119" t="str">
        <f t="shared" si="51"/>
        <v>Неизвестно</v>
      </c>
      <c r="N119" t="str">
        <f t="shared" si="57"/>
        <v>Неизвестно</v>
      </c>
      <c r="O119" t="str">
        <f t="shared" si="58"/>
        <v>[46/1137] М 2.5.2 - М 2.5.3</v>
      </c>
      <c r="P119">
        <v>36.134650919999999</v>
      </c>
      <c r="Q119">
        <v>51.739892580000003</v>
      </c>
      <c r="R119" t="str">
        <f>""</f>
        <v/>
      </c>
    </row>
    <row r="120" spans="1:18" x14ac:dyDescent="0.25">
      <c r="A120">
        <v>907</v>
      </c>
      <c r="B120" t="str">
        <f t="shared" si="27"/>
        <v>Курск</v>
      </c>
      <c r="C120">
        <v>999087</v>
      </c>
      <c r="D120" t="str">
        <f t="shared" si="39"/>
        <v>Опора</v>
      </c>
      <c r="E120" t="str">
        <f t="shared" si="52"/>
        <v>(Опора)</v>
      </c>
      <c r="F120" t="str">
        <f>""</f>
        <v/>
      </c>
      <c r="G120" t="str">
        <f t="shared" si="38"/>
        <v>_МС (CAB_MS)</v>
      </c>
      <c r="H120" t="str">
        <f t="shared" si="53"/>
        <v>МС 2.5</v>
      </c>
      <c r="I120" t="str">
        <f t="shared" si="54"/>
        <v>09.10.2023</v>
      </c>
      <c r="J120" t="str">
        <f>""</f>
        <v/>
      </c>
      <c r="K120" t="str">
        <f t="shared" si="55"/>
        <v>Отсутствует</v>
      </c>
      <c r="L120" t="str">
        <f t="shared" si="56"/>
        <v>Комитет по управлению муниципальным имуществом города Курска</v>
      </c>
      <c r="M120" t="str">
        <f t="shared" si="51"/>
        <v>Неизвестно</v>
      </c>
      <c r="N120" t="str">
        <f t="shared" si="57"/>
        <v>Неизвестно</v>
      </c>
      <c r="O120" t="str">
        <f t="shared" si="58"/>
        <v>[46/1137] М 2.5.2 - М 2.5.3</v>
      </c>
      <c r="P120">
        <v>36.134414890000002</v>
      </c>
      <c r="Q120">
        <v>51.740176589999997</v>
      </c>
      <c r="R120" t="str">
        <f>""</f>
        <v/>
      </c>
    </row>
    <row r="121" spans="1:18" x14ac:dyDescent="0.25">
      <c r="A121">
        <v>907</v>
      </c>
      <c r="B121" t="str">
        <f t="shared" si="27"/>
        <v>Курск</v>
      </c>
      <c r="C121">
        <v>999086</v>
      </c>
      <c r="D121" t="str">
        <f t="shared" si="39"/>
        <v>Опора</v>
      </c>
      <c r="E121" t="str">
        <f t="shared" si="52"/>
        <v>(Опора)</v>
      </c>
      <c r="F121" t="str">
        <f>""</f>
        <v/>
      </c>
      <c r="G121" t="str">
        <f t="shared" si="38"/>
        <v>_МС (CAB_MS)</v>
      </c>
      <c r="H121" t="str">
        <f t="shared" si="53"/>
        <v>МС 2.5</v>
      </c>
      <c r="I121" t="str">
        <f t="shared" si="54"/>
        <v>09.10.2023</v>
      </c>
      <c r="J121" t="str">
        <f>""</f>
        <v/>
      </c>
      <c r="K121" t="str">
        <f t="shared" si="55"/>
        <v>Отсутствует</v>
      </c>
      <c r="L121" t="str">
        <f t="shared" si="56"/>
        <v>Комитет по управлению муниципальным имуществом города Курска</v>
      </c>
      <c r="M121" t="str">
        <f t="shared" si="51"/>
        <v>Неизвестно</v>
      </c>
      <c r="N121" t="str">
        <f t="shared" si="57"/>
        <v>Неизвестно</v>
      </c>
      <c r="O121" t="str">
        <f t="shared" si="58"/>
        <v>[46/1137] М 2.5.2 - М 2.5.3</v>
      </c>
      <c r="P121">
        <v>36.134202989999999</v>
      </c>
      <c r="Q121">
        <v>51.740434030000003</v>
      </c>
      <c r="R121" t="str">
        <f>""</f>
        <v/>
      </c>
    </row>
    <row r="122" spans="1:18" x14ac:dyDescent="0.25">
      <c r="A122">
        <v>907</v>
      </c>
      <c r="B122" t="str">
        <f t="shared" si="27"/>
        <v>Курск</v>
      </c>
      <c r="C122">
        <v>999085</v>
      </c>
      <c r="D122" t="str">
        <f t="shared" si="39"/>
        <v>Опора</v>
      </c>
      <c r="E122" t="str">
        <f t="shared" si="52"/>
        <v>(Опора)</v>
      </c>
      <c r="F122" t="str">
        <f>""</f>
        <v/>
      </c>
      <c r="G122" t="str">
        <f t="shared" si="38"/>
        <v>_МС (CAB_MS)</v>
      </c>
      <c r="H122" t="str">
        <f t="shared" si="53"/>
        <v>МС 2.5</v>
      </c>
      <c r="I122" t="str">
        <f t="shared" si="54"/>
        <v>09.10.2023</v>
      </c>
      <c r="J122" t="str">
        <f>""</f>
        <v/>
      </c>
      <c r="K122" t="str">
        <f t="shared" si="55"/>
        <v>Отсутствует</v>
      </c>
      <c r="L122" t="str">
        <f t="shared" si="56"/>
        <v>Комитет по управлению муниципальным имуществом города Курска</v>
      </c>
      <c r="M122" t="str">
        <f t="shared" si="51"/>
        <v>Неизвестно</v>
      </c>
      <c r="N122" t="str">
        <f t="shared" si="57"/>
        <v>Неизвестно</v>
      </c>
      <c r="O122" t="str">
        <f t="shared" si="58"/>
        <v>[46/1137] М 2.5.2 - М 2.5.3</v>
      </c>
      <c r="P122">
        <v>36.13394014</v>
      </c>
      <c r="Q122">
        <v>51.740741290000003</v>
      </c>
      <c r="R122" t="str">
        <f>""</f>
        <v/>
      </c>
    </row>
    <row r="123" spans="1:18" x14ac:dyDescent="0.25">
      <c r="A123">
        <v>907</v>
      </c>
      <c r="B123" t="str">
        <f t="shared" si="27"/>
        <v>Курск</v>
      </c>
      <c r="C123">
        <v>854787</v>
      </c>
      <c r="D123" t="str">
        <f t="shared" si="39"/>
        <v>Опора</v>
      </c>
      <c r="E123" t="str">
        <f>"КИ 4653 (186)"</f>
        <v>КИ 4653 (186)</v>
      </c>
      <c r="F123" t="str">
        <f>""</f>
        <v/>
      </c>
      <c r="G123" t="str">
        <f t="shared" si="38"/>
        <v>_МС (CAB_MS)</v>
      </c>
      <c r="H123" t="str">
        <f t="shared" si="53"/>
        <v>МС 2.5</v>
      </c>
      <c r="I123" t="str">
        <f>"25.12.2012"</f>
        <v>25.12.2012</v>
      </c>
      <c r="J123" t="str">
        <f>""</f>
        <v/>
      </c>
      <c r="K123" t="str">
        <f>"АКТ №4653"</f>
        <v>АКТ №4653</v>
      </c>
      <c r="L123" t="str">
        <f t="shared" si="56"/>
        <v>Комитет по управлению муниципальным имуществом города Курска</v>
      </c>
      <c r="M123" t="str">
        <f>"Да"</f>
        <v>Да</v>
      </c>
      <c r="N123" t="str">
        <f>"Да"</f>
        <v>Да</v>
      </c>
      <c r="O123" t="str">
        <f>"[46/1139] М 2.5.4 - М 2.5.5"</f>
        <v>[46/1139] М 2.5.4 - М 2.5.5</v>
      </c>
      <c r="P123">
        <v>36.13730013</v>
      </c>
      <c r="Q123">
        <v>51.728809130000002</v>
      </c>
      <c r="R123" t="str">
        <f>"20000004578467"</f>
        <v>20000004578467</v>
      </c>
    </row>
    <row r="124" spans="1:18" x14ac:dyDescent="0.25">
      <c r="A124">
        <v>907</v>
      </c>
      <c r="B124" t="str">
        <f t="shared" si="27"/>
        <v>Курск</v>
      </c>
      <c r="C124">
        <v>854778</v>
      </c>
      <c r="D124" t="str">
        <f t="shared" si="39"/>
        <v>Опора</v>
      </c>
      <c r="E124" t="str">
        <f>"КИ 4653 (177)"</f>
        <v>КИ 4653 (177)</v>
      </c>
      <c r="F124" t="str">
        <f>""</f>
        <v/>
      </c>
      <c r="G124" t="str">
        <f t="shared" si="38"/>
        <v>_МС (CAB_MS)</v>
      </c>
      <c r="H124" t="str">
        <f t="shared" si="53"/>
        <v>МС 2.5</v>
      </c>
      <c r="I124" t="str">
        <f>"25.12.2012"</f>
        <v>25.12.2012</v>
      </c>
      <c r="J124" t="str">
        <f>""</f>
        <v/>
      </c>
      <c r="K124" t="str">
        <f>"АКТ №4653"</f>
        <v>АКТ №4653</v>
      </c>
      <c r="L124" t="str">
        <f t="shared" si="56"/>
        <v>Комитет по управлению муниципальным имуществом города Курска</v>
      </c>
      <c r="M124" t="str">
        <f>"Да"</f>
        <v>Да</v>
      </c>
      <c r="N124" t="str">
        <f>"Да"</f>
        <v>Да</v>
      </c>
      <c r="O124" t="str">
        <f>"[46/1139] М 2.5.4 - М 2.5.5"</f>
        <v>[46/1139] М 2.5.4 - М 2.5.5</v>
      </c>
      <c r="P124">
        <v>36.133531290000001</v>
      </c>
      <c r="Q124">
        <v>51.730165990000003</v>
      </c>
      <c r="R124" t="str">
        <f>"20000004578458"</f>
        <v>20000004578458</v>
      </c>
    </row>
    <row r="125" spans="1:18" x14ac:dyDescent="0.25">
      <c r="A125">
        <v>907</v>
      </c>
      <c r="B125" t="str">
        <f t="shared" si="27"/>
        <v>Курск</v>
      </c>
      <c r="C125">
        <v>921463</v>
      </c>
      <c r="D125" t="str">
        <f t="shared" ref="D125:D135" si="59">"Опора контактной сети"</f>
        <v>Опора контактной сети</v>
      </c>
      <c r="E125" t="str">
        <f t="shared" ref="E125:E135" si="60">"(Опора контактной сети)"</f>
        <v>(Опора контактной сети)</v>
      </c>
      <c r="F125" t="str">
        <f>""</f>
        <v/>
      </c>
      <c r="G125" t="str">
        <f t="shared" si="38"/>
        <v>_МС (CAB_MS)</v>
      </c>
      <c r="H125" t="str">
        <f t="shared" si="53"/>
        <v>МС 2.5</v>
      </c>
      <c r="I125" t="str">
        <f t="shared" ref="I125:I135" si="61">"19.01.2021"</f>
        <v>19.01.2021</v>
      </c>
      <c r="J125" t="str">
        <f>""</f>
        <v/>
      </c>
      <c r="K125" t="str">
        <f t="shared" ref="K125:K135" si="62">"КСК-00506725"</f>
        <v>КСК-00506725</v>
      </c>
      <c r="L125" t="str">
        <f t="shared" ref="L125:L135" si="63">"МУП ""Курскэлектротранс"""</f>
        <v>МУП "Курскэлектротранс"</v>
      </c>
      <c r="M125" t="str">
        <f t="shared" ref="M125:M165" si="64">"Неизвестно"</f>
        <v>Неизвестно</v>
      </c>
      <c r="N125" t="str">
        <f t="shared" ref="N125:N141" si="65">"Да"</f>
        <v>Да</v>
      </c>
      <c r="O125" t="str">
        <f>"[46/1136] МОК2.5.2 Курск, Дружбы Пр-Кт, 4 б п.  - М 2.5.2, [46/944] М 2.3.13 - МОК2.5.1 Курск, Дружбы Пр-Кт, 4 б п."</f>
        <v>[46/1136] МОК2.5.2 Курск, Дружбы Пр-Кт, 4 б п.  - М 2.5.2, [46/944] М 2.3.13 - МОК2.5.1 Курск, Дружбы Пр-Кт, 4 б п.</v>
      </c>
      <c r="P125">
        <v>36.139609329999999</v>
      </c>
      <c r="Q125">
        <v>51.742894020000001</v>
      </c>
      <c r="R125" t="str">
        <f>""</f>
        <v/>
      </c>
    </row>
    <row r="126" spans="1:18" x14ac:dyDescent="0.25">
      <c r="A126">
        <v>907</v>
      </c>
      <c r="B126" t="str">
        <f t="shared" si="27"/>
        <v>Курск</v>
      </c>
      <c r="C126">
        <v>921462</v>
      </c>
      <c r="D126" t="str">
        <f t="shared" si="59"/>
        <v>Опора контактной сети</v>
      </c>
      <c r="E126" t="str">
        <f t="shared" si="60"/>
        <v>(Опора контактной сети)</v>
      </c>
      <c r="F126" t="str">
        <f>""</f>
        <v/>
      </c>
      <c r="G126" t="str">
        <f t="shared" si="38"/>
        <v>_МС (CAB_MS)</v>
      </c>
      <c r="H126" t="str">
        <f t="shared" si="53"/>
        <v>МС 2.5</v>
      </c>
      <c r="I126" t="str">
        <f t="shared" si="61"/>
        <v>19.01.2021</v>
      </c>
      <c r="J126" t="str">
        <f>""</f>
        <v/>
      </c>
      <c r="K126" t="str">
        <f t="shared" si="62"/>
        <v>КСК-00506725</v>
      </c>
      <c r="L126" t="str">
        <f t="shared" si="63"/>
        <v>МУП "Курскэлектротранс"</v>
      </c>
      <c r="M126" t="str">
        <f t="shared" si="64"/>
        <v>Неизвестно</v>
      </c>
      <c r="N126" t="str">
        <f t="shared" si="65"/>
        <v>Да</v>
      </c>
      <c r="O126" t="str">
        <f t="shared" ref="O126:O131" si="66">"[46/1137] М 2.5.2 - М 2.5.3, [46/944] М 2.3.13 - МОК2.5.1 Курск, Дружбы Пр-Кт, 4 б п."</f>
        <v>[46/1137] М 2.5.2 - М 2.5.3, [46/944] М 2.3.13 - МОК2.5.1 Курск, Дружбы Пр-Кт, 4 б п.</v>
      </c>
      <c r="P126">
        <v>36.139000459999998</v>
      </c>
      <c r="Q126">
        <v>51.742713000000002</v>
      </c>
      <c r="R126" t="str">
        <f>""</f>
        <v/>
      </c>
    </row>
    <row r="127" spans="1:18" x14ac:dyDescent="0.25">
      <c r="A127">
        <v>907</v>
      </c>
      <c r="B127" t="str">
        <f t="shared" si="27"/>
        <v>Курск</v>
      </c>
      <c r="C127">
        <v>921461</v>
      </c>
      <c r="D127" t="str">
        <f t="shared" si="59"/>
        <v>Опора контактной сети</v>
      </c>
      <c r="E127" t="str">
        <f t="shared" si="60"/>
        <v>(Опора контактной сети)</v>
      </c>
      <c r="F127" t="str">
        <f>""</f>
        <v/>
      </c>
      <c r="G127" t="str">
        <f t="shared" si="38"/>
        <v>_МС (CAB_MS)</v>
      </c>
      <c r="H127" t="str">
        <f t="shared" si="53"/>
        <v>МС 2.5</v>
      </c>
      <c r="I127" t="str">
        <f t="shared" si="61"/>
        <v>19.01.2021</v>
      </c>
      <c r="J127" t="str">
        <f>""</f>
        <v/>
      </c>
      <c r="K127" t="str">
        <f t="shared" si="62"/>
        <v>КСК-00506725</v>
      </c>
      <c r="L127" t="str">
        <f t="shared" si="63"/>
        <v>МУП "Курскэлектротранс"</v>
      </c>
      <c r="M127" t="str">
        <f t="shared" si="64"/>
        <v>Неизвестно</v>
      </c>
      <c r="N127" t="str">
        <f t="shared" si="65"/>
        <v>Да</v>
      </c>
      <c r="O127" t="str">
        <f t="shared" si="66"/>
        <v>[46/1137] М 2.5.2 - М 2.5.3, [46/944] М 2.3.13 - МОК2.5.1 Курск, Дружбы Пр-Кт, 4 б п.</v>
      </c>
      <c r="P127">
        <v>36.138442560000001</v>
      </c>
      <c r="Q127">
        <v>51.742525319999999</v>
      </c>
      <c r="R127" t="str">
        <f>""</f>
        <v/>
      </c>
    </row>
    <row r="128" spans="1:18" x14ac:dyDescent="0.25">
      <c r="A128">
        <v>907</v>
      </c>
      <c r="B128" t="str">
        <f t="shared" si="27"/>
        <v>Курск</v>
      </c>
      <c r="C128">
        <v>921460</v>
      </c>
      <c r="D128" t="str">
        <f t="shared" si="59"/>
        <v>Опора контактной сети</v>
      </c>
      <c r="E128" t="str">
        <f t="shared" si="60"/>
        <v>(Опора контактной сети)</v>
      </c>
      <c r="F128" t="str">
        <f>""</f>
        <v/>
      </c>
      <c r="G128" t="str">
        <f t="shared" si="38"/>
        <v>_МС (CAB_MS)</v>
      </c>
      <c r="H128" t="str">
        <f t="shared" si="53"/>
        <v>МС 2.5</v>
      </c>
      <c r="I128" t="str">
        <f t="shared" si="61"/>
        <v>19.01.2021</v>
      </c>
      <c r="J128" t="str">
        <f>""</f>
        <v/>
      </c>
      <c r="K128" t="str">
        <f t="shared" si="62"/>
        <v>КСК-00506725</v>
      </c>
      <c r="L128" t="str">
        <f t="shared" si="63"/>
        <v>МУП "Курскэлектротранс"</v>
      </c>
      <c r="M128" t="str">
        <f t="shared" si="64"/>
        <v>Неизвестно</v>
      </c>
      <c r="N128" t="str">
        <f t="shared" si="65"/>
        <v>Да</v>
      </c>
      <c r="O128" t="str">
        <f t="shared" si="66"/>
        <v>[46/1137] М 2.5.2 - М 2.5.3, [46/944] М 2.3.13 - МОК2.5.1 Курск, Дружбы Пр-Кт, 4 б п.</v>
      </c>
      <c r="P128">
        <v>36.137147059999997</v>
      </c>
      <c r="Q128">
        <v>51.742098489999997</v>
      </c>
      <c r="R128" t="str">
        <f>""</f>
        <v/>
      </c>
    </row>
    <row r="129" spans="1:18" x14ac:dyDescent="0.25">
      <c r="A129">
        <v>907</v>
      </c>
      <c r="B129" t="str">
        <f t="shared" si="27"/>
        <v>Курск</v>
      </c>
      <c r="C129">
        <v>921459</v>
      </c>
      <c r="D129" t="str">
        <f t="shared" si="59"/>
        <v>Опора контактной сети</v>
      </c>
      <c r="E129" t="str">
        <f t="shared" si="60"/>
        <v>(Опора контактной сети)</v>
      </c>
      <c r="F129" t="str">
        <f>""</f>
        <v/>
      </c>
      <c r="G129" t="str">
        <f t="shared" si="38"/>
        <v>_МС (CAB_MS)</v>
      </c>
      <c r="H129" t="str">
        <f t="shared" si="53"/>
        <v>МС 2.5</v>
      </c>
      <c r="I129" t="str">
        <f t="shared" si="61"/>
        <v>19.01.2021</v>
      </c>
      <c r="J129" t="str">
        <f>""</f>
        <v/>
      </c>
      <c r="K129" t="str">
        <f t="shared" si="62"/>
        <v>КСК-00506725</v>
      </c>
      <c r="L129" t="str">
        <f t="shared" si="63"/>
        <v>МУП "Курскэлектротранс"</v>
      </c>
      <c r="M129" t="str">
        <f t="shared" si="64"/>
        <v>Неизвестно</v>
      </c>
      <c r="N129" t="str">
        <f t="shared" si="65"/>
        <v>Да</v>
      </c>
      <c r="O129" t="str">
        <f t="shared" si="66"/>
        <v>[46/1137] М 2.5.2 - М 2.5.3, [46/944] М 2.3.13 - МОК2.5.1 Курск, Дружбы Пр-Кт, 4 б п.</v>
      </c>
      <c r="P129">
        <v>36.137739830000001</v>
      </c>
      <c r="Q129">
        <v>51.74230111</v>
      </c>
      <c r="R129" t="str">
        <f>""</f>
        <v/>
      </c>
    </row>
    <row r="130" spans="1:18" x14ac:dyDescent="0.25">
      <c r="A130">
        <v>907</v>
      </c>
      <c r="B130" t="str">
        <f t="shared" ref="B130:B193" si="67">"Курск"</f>
        <v>Курск</v>
      </c>
      <c r="C130">
        <v>921458</v>
      </c>
      <c r="D130" t="str">
        <f t="shared" si="59"/>
        <v>Опора контактной сети</v>
      </c>
      <c r="E130" t="str">
        <f t="shared" si="60"/>
        <v>(Опора контактной сети)</v>
      </c>
      <c r="F130" t="str">
        <f>""</f>
        <v/>
      </c>
      <c r="G130" t="str">
        <f t="shared" si="38"/>
        <v>_МС (CAB_MS)</v>
      </c>
      <c r="H130" t="str">
        <f t="shared" si="53"/>
        <v>МС 2.5</v>
      </c>
      <c r="I130" t="str">
        <f t="shared" si="61"/>
        <v>19.01.2021</v>
      </c>
      <c r="J130" t="str">
        <f>""</f>
        <v/>
      </c>
      <c r="K130" t="str">
        <f t="shared" si="62"/>
        <v>КСК-00506725</v>
      </c>
      <c r="L130" t="str">
        <f t="shared" si="63"/>
        <v>МУП "Курскэлектротранс"</v>
      </c>
      <c r="M130" t="str">
        <f t="shared" si="64"/>
        <v>Неизвестно</v>
      </c>
      <c r="N130" t="str">
        <f t="shared" si="65"/>
        <v>Да</v>
      </c>
      <c r="O130" t="str">
        <f t="shared" si="66"/>
        <v>[46/1137] М 2.5.2 - М 2.5.3, [46/944] М 2.3.13 - МОК2.5.1 Курск, Дружбы Пр-Кт, 4 б п.</v>
      </c>
      <c r="P130">
        <v>36.136594520000003</v>
      </c>
      <c r="Q130">
        <v>51.741915800000001</v>
      </c>
      <c r="R130" t="str">
        <f>""</f>
        <v/>
      </c>
    </row>
    <row r="131" spans="1:18" x14ac:dyDescent="0.25">
      <c r="A131">
        <v>907</v>
      </c>
      <c r="B131" t="str">
        <f t="shared" si="67"/>
        <v>Курск</v>
      </c>
      <c r="C131">
        <v>921457</v>
      </c>
      <c r="D131" t="str">
        <f t="shared" si="59"/>
        <v>Опора контактной сети</v>
      </c>
      <c r="E131" t="str">
        <f t="shared" si="60"/>
        <v>(Опора контактной сети)</v>
      </c>
      <c r="F131" t="str">
        <f>""</f>
        <v/>
      </c>
      <c r="G131" t="str">
        <f t="shared" si="38"/>
        <v>_МС (CAB_MS)</v>
      </c>
      <c r="H131" t="str">
        <f t="shared" si="53"/>
        <v>МС 2.5</v>
      </c>
      <c r="I131" t="str">
        <f t="shared" si="61"/>
        <v>19.01.2021</v>
      </c>
      <c r="J131" t="str">
        <f>""</f>
        <v/>
      </c>
      <c r="K131" t="str">
        <f t="shared" si="62"/>
        <v>КСК-00506725</v>
      </c>
      <c r="L131" t="str">
        <f t="shared" si="63"/>
        <v>МУП "Курскэлектротранс"</v>
      </c>
      <c r="M131" t="str">
        <f t="shared" si="64"/>
        <v>Неизвестно</v>
      </c>
      <c r="N131" t="str">
        <f t="shared" si="65"/>
        <v>Да</v>
      </c>
      <c r="O131" t="str">
        <f t="shared" si="66"/>
        <v>[46/1137] М 2.5.2 - М 2.5.3, [46/944] М 2.3.13 - МОК2.5.1 Курск, Дружбы Пр-Кт, 4 б п.</v>
      </c>
      <c r="P131">
        <v>36.13593805</v>
      </c>
      <c r="Q131">
        <v>51.741711100000003</v>
      </c>
      <c r="R131" t="str">
        <f>""</f>
        <v/>
      </c>
    </row>
    <row r="132" spans="1:18" x14ac:dyDescent="0.25">
      <c r="A132">
        <v>907</v>
      </c>
      <c r="B132" t="str">
        <f t="shared" si="67"/>
        <v>Курск</v>
      </c>
      <c r="C132">
        <v>921456</v>
      </c>
      <c r="D132" t="str">
        <f t="shared" si="59"/>
        <v>Опора контактной сети</v>
      </c>
      <c r="E132" t="str">
        <f t="shared" si="60"/>
        <v>(Опора контактной сети)</v>
      </c>
      <c r="F132" t="str">
        <f>""</f>
        <v/>
      </c>
      <c r="G132" t="str">
        <f t="shared" si="38"/>
        <v>_МС (CAB_MS)</v>
      </c>
      <c r="H132" t="str">
        <f t="shared" si="53"/>
        <v>МС 2.5</v>
      </c>
      <c r="I132" t="str">
        <f t="shared" si="61"/>
        <v>19.01.2021</v>
      </c>
      <c r="J132" t="str">
        <f>""</f>
        <v/>
      </c>
      <c r="K132" t="str">
        <f t="shared" si="62"/>
        <v>КСК-00506725</v>
      </c>
      <c r="L132" t="str">
        <f t="shared" si="63"/>
        <v>МУП "Курскэлектротранс"</v>
      </c>
      <c r="M132" t="str">
        <f t="shared" si="64"/>
        <v>Неизвестно</v>
      </c>
      <c r="N132" t="str">
        <f t="shared" si="65"/>
        <v>Да</v>
      </c>
      <c r="O132" t="str">
        <f>"[46/1137] М 2.5.2 - М 2.5.3"</f>
        <v>[46/1137] М 2.5.2 - М 2.5.3</v>
      </c>
      <c r="P132">
        <v>36.135403619999998</v>
      </c>
      <c r="Q132">
        <v>51.741532149999998</v>
      </c>
      <c r="R132" t="str">
        <f>""</f>
        <v/>
      </c>
    </row>
    <row r="133" spans="1:18" x14ac:dyDescent="0.25">
      <c r="A133">
        <v>907</v>
      </c>
      <c r="B133" t="str">
        <f t="shared" si="67"/>
        <v>Курск</v>
      </c>
      <c r="C133">
        <v>921455</v>
      </c>
      <c r="D133" t="str">
        <f t="shared" si="59"/>
        <v>Опора контактной сети</v>
      </c>
      <c r="E133" t="str">
        <f t="shared" si="60"/>
        <v>(Опора контактной сети)</v>
      </c>
      <c r="F133" t="str">
        <f>""</f>
        <v/>
      </c>
      <c r="G133" t="str">
        <f t="shared" si="38"/>
        <v>_МС (CAB_MS)</v>
      </c>
      <c r="H133" t="str">
        <f t="shared" si="53"/>
        <v>МС 2.5</v>
      </c>
      <c r="I133" t="str">
        <f t="shared" si="61"/>
        <v>19.01.2021</v>
      </c>
      <c r="J133" t="str">
        <f>""</f>
        <v/>
      </c>
      <c r="K133" t="str">
        <f t="shared" si="62"/>
        <v>КСК-00506725</v>
      </c>
      <c r="L133" t="str">
        <f t="shared" si="63"/>
        <v>МУП "Курскэлектротранс"</v>
      </c>
      <c r="M133" t="str">
        <f t="shared" si="64"/>
        <v>Неизвестно</v>
      </c>
      <c r="N133" t="str">
        <f t="shared" si="65"/>
        <v>Да</v>
      </c>
      <c r="O133" t="str">
        <f>"[46/1137] М 2.5.2 - М 2.5.3"</f>
        <v>[46/1137] М 2.5.2 - М 2.5.3</v>
      </c>
      <c r="P133">
        <v>36.134853769999999</v>
      </c>
      <c r="Q133">
        <v>51.741354430000001</v>
      </c>
      <c r="R133" t="str">
        <f>""</f>
        <v/>
      </c>
    </row>
    <row r="134" spans="1:18" x14ac:dyDescent="0.25">
      <c r="A134">
        <v>907</v>
      </c>
      <c r="B134" t="str">
        <f t="shared" si="67"/>
        <v>Курск</v>
      </c>
      <c r="C134">
        <v>921454</v>
      </c>
      <c r="D134" t="str">
        <f t="shared" si="59"/>
        <v>Опора контактной сети</v>
      </c>
      <c r="E134" t="str">
        <f t="shared" si="60"/>
        <v>(Опора контактной сети)</v>
      </c>
      <c r="F134" t="str">
        <f>""</f>
        <v/>
      </c>
      <c r="G134" t="str">
        <f t="shared" si="38"/>
        <v>_МС (CAB_MS)</v>
      </c>
      <c r="H134" t="str">
        <f t="shared" si="53"/>
        <v>МС 2.5</v>
      </c>
      <c r="I134" t="str">
        <f t="shared" si="61"/>
        <v>19.01.2021</v>
      </c>
      <c r="J134" t="str">
        <f>""</f>
        <v/>
      </c>
      <c r="K134" t="str">
        <f t="shared" si="62"/>
        <v>КСК-00506725</v>
      </c>
      <c r="L134" t="str">
        <f t="shared" si="63"/>
        <v>МУП "Курскэлектротранс"</v>
      </c>
      <c r="M134" t="str">
        <f t="shared" si="64"/>
        <v>Неизвестно</v>
      </c>
      <c r="N134" t="str">
        <f t="shared" si="65"/>
        <v>Да</v>
      </c>
      <c r="O134" t="str">
        <f>"[46/1137] М 2.5.2 - М 2.5.3"</f>
        <v>[46/1137] М 2.5.2 - М 2.5.3</v>
      </c>
      <c r="P134">
        <v>36.134389749999997</v>
      </c>
      <c r="Q134">
        <v>51.74120164</v>
      </c>
      <c r="R134" t="str">
        <f>""</f>
        <v/>
      </c>
    </row>
    <row r="135" spans="1:18" x14ac:dyDescent="0.25">
      <c r="A135">
        <v>907</v>
      </c>
      <c r="B135" t="str">
        <f t="shared" si="67"/>
        <v>Курск</v>
      </c>
      <c r="C135">
        <v>921453</v>
      </c>
      <c r="D135" t="str">
        <f t="shared" si="59"/>
        <v>Опора контактной сети</v>
      </c>
      <c r="E135" t="str">
        <f t="shared" si="60"/>
        <v>(Опора контактной сети)</v>
      </c>
      <c r="F135" t="str">
        <f>""</f>
        <v/>
      </c>
      <c r="G135" t="str">
        <f t="shared" si="38"/>
        <v>_МС (CAB_MS)</v>
      </c>
      <c r="H135" t="str">
        <f t="shared" si="53"/>
        <v>МС 2.5</v>
      </c>
      <c r="I135" t="str">
        <f t="shared" si="61"/>
        <v>19.01.2021</v>
      </c>
      <c r="J135" t="str">
        <f>""</f>
        <v/>
      </c>
      <c r="K135" t="str">
        <f t="shared" si="62"/>
        <v>КСК-00506725</v>
      </c>
      <c r="L135" t="str">
        <f t="shared" si="63"/>
        <v>МУП "Курскэлектротранс"</v>
      </c>
      <c r="M135" t="str">
        <f t="shared" si="64"/>
        <v>Неизвестно</v>
      </c>
      <c r="N135" t="str">
        <f t="shared" si="65"/>
        <v>Да</v>
      </c>
      <c r="O135" t="str">
        <f>"[46/1137] М 2.5.2 - М 2.5.3"</f>
        <v>[46/1137] М 2.5.2 - М 2.5.3</v>
      </c>
      <c r="P135">
        <v>36.133928410000003</v>
      </c>
      <c r="Q135">
        <v>51.741038869999997</v>
      </c>
      <c r="R135" t="str">
        <f>""</f>
        <v/>
      </c>
    </row>
    <row r="136" spans="1:18" x14ac:dyDescent="0.25">
      <c r="A136">
        <v>907</v>
      </c>
      <c r="B136" t="str">
        <f t="shared" si="67"/>
        <v>Курск</v>
      </c>
      <c r="C136">
        <v>919348</v>
      </c>
      <c r="D136" t="str">
        <f t="shared" ref="D136:D165" si="68">"Опора"</f>
        <v>Опора</v>
      </c>
      <c r="E136" t="str">
        <f t="shared" ref="E136:E165" si="69">"(Опора)"</f>
        <v>(Опора)</v>
      </c>
      <c r="F136" t="str">
        <f>""</f>
        <v/>
      </c>
      <c r="G136" t="str">
        <f t="shared" si="38"/>
        <v>_МС (CAB_MS)</v>
      </c>
      <c r="H136" t="str">
        <f t="shared" ref="H136:H165" si="70">"МС 2.6"</f>
        <v>МС 2.6</v>
      </c>
      <c r="I136" t="str">
        <f t="shared" ref="I136:I165" si="71">"09.12.2020"</f>
        <v>09.12.2020</v>
      </c>
      <c r="J136" t="str">
        <f>""</f>
        <v/>
      </c>
      <c r="K136" t="str">
        <f>"Отсутствует"</f>
        <v>Отсутствует</v>
      </c>
      <c r="L136" t="str">
        <f>"АО ""Курские электрические сети"""</f>
        <v>АО "Курские электрические сети"</v>
      </c>
      <c r="M136" t="str">
        <f t="shared" si="64"/>
        <v>Неизвестно</v>
      </c>
      <c r="N136" t="str">
        <f t="shared" si="65"/>
        <v>Да</v>
      </c>
      <c r="O136" t="str">
        <f>"[46/2125] М 2.6.7 - М 2.6.10"</f>
        <v>[46/2125] М 2.6.7 - М 2.6.10</v>
      </c>
      <c r="P136">
        <v>36.149487120000003</v>
      </c>
      <c r="Q136">
        <v>51.741690599999998</v>
      </c>
      <c r="R136" t="str">
        <f>"20000004579694"</f>
        <v>20000004579694</v>
      </c>
    </row>
    <row r="137" spans="1:18" x14ac:dyDescent="0.25">
      <c r="A137">
        <v>907</v>
      </c>
      <c r="B137" t="str">
        <f t="shared" si="67"/>
        <v>Курск</v>
      </c>
      <c r="C137">
        <v>919350</v>
      </c>
      <c r="D137" t="str">
        <f t="shared" si="68"/>
        <v>Опора</v>
      </c>
      <c r="E137" t="str">
        <f t="shared" si="69"/>
        <v>(Опора)</v>
      </c>
      <c r="F137" t="str">
        <f>""</f>
        <v/>
      </c>
      <c r="G137" t="str">
        <f t="shared" si="38"/>
        <v>_МС (CAB_MS)</v>
      </c>
      <c r="H137" t="str">
        <f t="shared" si="70"/>
        <v>МС 2.6</v>
      </c>
      <c r="I137" t="str">
        <f t="shared" si="71"/>
        <v>09.12.2020</v>
      </c>
      <c r="J137" t="str">
        <f>""</f>
        <v/>
      </c>
      <c r="K137" t="str">
        <f>"Отсутствует"</f>
        <v>Отсутствует</v>
      </c>
      <c r="L137" t="str">
        <f>"АО ""Курские электрические сети"""</f>
        <v>АО "Курские электрические сети"</v>
      </c>
      <c r="M137" t="str">
        <f t="shared" si="64"/>
        <v>Неизвестно</v>
      </c>
      <c r="N137" t="str">
        <f t="shared" si="65"/>
        <v>Да</v>
      </c>
      <c r="O137" t="str">
        <f>"[46/2125] М 2.6.7 - М 2.6.10"</f>
        <v>[46/2125] М 2.6.7 - М 2.6.10</v>
      </c>
      <c r="P137">
        <v>36.149066009999999</v>
      </c>
      <c r="Q137">
        <v>51.741541949999998</v>
      </c>
      <c r="R137" t="str">
        <f>"20000004579696"</f>
        <v>20000004579696</v>
      </c>
    </row>
    <row r="138" spans="1:18" x14ac:dyDescent="0.25">
      <c r="A138">
        <v>907</v>
      </c>
      <c r="B138" t="str">
        <f t="shared" si="67"/>
        <v>Курск</v>
      </c>
      <c r="C138">
        <v>919325</v>
      </c>
      <c r="D138" t="str">
        <f t="shared" si="68"/>
        <v>Опора</v>
      </c>
      <c r="E138" t="str">
        <f t="shared" si="69"/>
        <v>(Опора)</v>
      </c>
      <c r="F138" t="str">
        <f>""</f>
        <v/>
      </c>
      <c r="G138" t="str">
        <f t="shared" si="38"/>
        <v>_МС (CAB_MS)</v>
      </c>
      <c r="H138" t="str">
        <f t="shared" si="70"/>
        <v>МС 2.6</v>
      </c>
      <c r="I138" t="str">
        <f t="shared" si="71"/>
        <v>09.12.2020</v>
      </c>
      <c r="J138" t="str">
        <f>""</f>
        <v/>
      </c>
      <c r="K138" t="str">
        <f>"АКТ №4653"</f>
        <v>АКТ №4653</v>
      </c>
      <c r="L138" t="str">
        <f>"Комитет по управлению муниципальным имуществом города Курска"</f>
        <v>Комитет по управлению муниципальным имуществом города Курска</v>
      </c>
      <c r="M138" t="str">
        <f t="shared" si="64"/>
        <v>Неизвестно</v>
      </c>
      <c r="N138" t="str">
        <f t="shared" si="65"/>
        <v>Да</v>
      </c>
      <c r="O138" t="str">
        <f>"[46/2131] М 2.6.2 - М 2.6.6"</f>
        <v>[46/2131] М 2.6.2 - М 2.6.6</v>
      </c>
      <c r="P138">
        <v>36.143222479999999</v>
      </c>
      <c r="Q138">
        <v>51.746319550000003</v>
      </c>
      <c r="R138" t="str">
        <f>"20000004579679"</f>
        <v>20000004579679</v>
      </c>
    </row>
    <row r="139" spans="1:18" x14ac:dyDescent="0.25">
      <c r="A139">
        <v>907</v>
      </c>
      <c r="B139" t="str">
        <f t="shared" si="67"/>
        <v>Курск</v>
      </c>
      <c r="C139">
        <v>919323</v>
      </c>
      <c r="D139" t="str">
        <f t="shared" si="68"/>
        <v>Опора</v>
      </c>
      <c r="E139" t="str">
        <f t="shared" si="69"/>
        <v>(Опора)</v>
      </c>
      <c r="F139" t="str">
        <f>""</f>
        <v/>
      </c>
      <c r="G139" t="str">
        <f t="shared" si="38"/>
        <v>_МС (CAB_MS)</v>
      </c>
      <c r="H139" t="str">
        <f t="shared" si="70"/>
        <v>МС 2.6</v>
      </c>
      <c r="I139" t="str">
        <f t="shared" si="71"/>
        <v>09.12.2020</v>
      </c>
      <c r="J139" t="str">
        <f>""</f>
        <v/>
      </c>
      <c r="K139" t="str">
        <f>"АКТ №4653"</f>
        <v>АКТ №4653</v>
      </c>
      <c r="L139" t="str">
        <f>"Комитет по управлению муниципальным имуществом города Курска"</f>
        <v>Комитет по управлению муниципальным имуществом города Курска</v>
      </c>
      <c r="M139" t="str">
        <f t="shared" si="64"/>
        <v>Неизвестно</v>
      </c>
      <c r="N139" t="str">
        <f t="shared" si="65"/>
        <v>Да</v>
      </c>
      <c r="O139" t="str">
        <f>"[46/2131] М 2.6.2 - М 2.6.6"</f>
        <v>[46/2131] М 2.6.2 - М 2.6.6</v>
      </c>
      <c r="P139">
        <v>36.144279269999998</v>
      </c>
      <c r="Q139">
        <v>51.745059079999997</v>
      </c>
      <c r="R139" t="str">
        <f>"20000004579677"</f>
        <v>20000004579677</v>
      </c>
    </row>
    <row r="140" spans="1:18" x14ac:dyDescent="0.25">
      <c r="A140">
        <v>907</v>
      </c>
      <c r="B140" t="str">
        <f t="shared" si="67"/>
        <v>Курск</v>
      </c>
      <c r="C140">
        <v>919322</v>
      </c>
      <c r="D140" t="str">
        <f t="shared" si="68"/>
        <v>Опора</v>
      </c>
      <c r="E140" t="str">
        <f t="shared" si="69"/>
        <v>(Опора)</v>
      </c>
      <c r="F140" t="str">
        <f>""</f>
        <v/>
      </c>
      <c r="G140" t="str">
        <f t="shared" si="38"/>
        <v>_МС (CAB_MS)</v>
      </c>
      <c r="H140" t="str">
        <f t="shared" si="70"/>
        <v>МС 2.6</v>
      </c>
      <c r="I140" t="str">
        <f t="shared" si="71"/>
        <v>09.12.2020</v>
      </c>
      <c r="J140" t="str">
        <f>""</f>
        <v/>
      </c>
      <c r="K140" t="str">
        <f>"АКТ №4653"</f>
        <v>АКТ №4653</v>
      </c>
      <c r="L140" t="str">
        <f>"Комитет по управлению муниципальным имуществом города Курска"</f>
        <v>Комитет по управлению муниципальным имуществом города Курска</v>
      </c>
      <c r="M140" t="str">
        <f t="shared" si="64"/>
        <v>Неизвестно</v>
      </c>
      <c r="N140" t="str">
        <f t="shared" si="65"/>
        <v>Да</v>
      </c>
      <c r="O140" t="str">
        <f>"[46/2131] М 2.6.2 - М 2.6.6"</f>
        <v>[46/2131] М 2.6.2 - М 2.6.6</v>
      </c>
      <c r="P140">
        <v>36.143565809999998</v>
      </c>
      <c r="Q140">
        <v>51.745842930000002</v>
      </c>
      <c r="R140" t="str">
        <f>"20000004579676"</f>
        <v>20000004579676</v>
      </c>
    </row>
    <row r="141" spans="1:18" x14ac:dyDescent="0.25">
      <c r="A141">
        <v>907</v>
      </c>
      <c r="B141" t="str">
        <f t="shared" si="67"/>
        <v>Курск</v>
      </c>
      <c r="C141">
        <v>919321</v>
      </c>
      <c r="D141" t="str">
        <f t="shared" si="68"/>
        <v>Опора</v>
      </c>
      <c r="E141" t="str">
        <f t="shared" si="69"/>
        <v>(Опора)</v>
      </c>
      <c r="F141" t="str">
        <f>""</f>
        <v/>
      </c>
      <c r="G141" t="str">
        <f t="shared" si="38"/>
        <v>_МС (CAB_MS)</v>
      </c>
      <c r="H141" t="str">
        <f t="shared" si="70"/>
        <v>МС 2.6</v>
      </c>
      <c r="I141" t="str">
        <f t="shared" si="71"/>
        <v>09.12.2020</v>
      </c>
      <c r="J141" t="str">
        <f>""</f>
        <v/>
      </c>
      <c r="K141" t="str">
        <f>"АКТ №4653"</f>
        <v>АКТ №4653</v>
      </c>
      <c r="L141" t="str">
        <f>"Комитет по управлению муниципальным имуществом города Курска"</f>
        <v>Комитет по управлению муниципальным имуществом города Курска</v>
      </c>
      <c r="M141" t="str">
        <f t="shared" si="64"/>
        <v>Неизвестно</v>
      </c>
      <c r="N141" t="str">
        <f t="shared" si="65"/>
        <v>Да</v>
      </c>
      <c r="O141" t="str">
        <f>"[46/2131] М 2.6.2 - М 2.6.6"</f>
        <v>[46/2131] М 2.6.2 - М 2.6.6</v>
      </c>
      <c r="P141">
        <v>36.142916710000002</v>
      </c>
      <c r="Q141">
        <v>51.746709799999998</v>
      </c>
      <c r="R141" t="str">
        <f>"20000004579675"</f>
        <v>20000004579675</v>
      </c>
    </row>
    <row r="142" spans="1:18" x14ac:dyDescent="0.25">
      <c r="A142">
        <v>907</v>
      </c>
      <c r="B142" t="str">
        <f t="shared" si="67"/>
        <v>Курск</v>
      </c>
      <c r="C142">
        <v>919396</v>
      </c>
      <c r="D142" t="str">
        <f t="shared" si="68"/>
        <v>Опора</v>
      </c>
      <c r="E142" t="str">
        <f t="shared" si="69"/>
        <v>(Опора)</v>
      </c>
      <c r="F142" t="str">
        <f>""</f>
        <v/>
      </c>
      <c r="G142" t="str">
        <f t="shared" si="38"/>
        <v>_МС (CAB_MS)</v>
      </c>
      <c r="H142" t="str">
        <f t="shared" si="70"/>
        <v>МС 2.6</v>
      </c>
      <c r="I142" t="str">
        <f t="shared" si="71"/>
        <v>09.12.2020</v>
      </c>
      <c r="J142" t="str">
        <f>""</f>
        <v/>
      </c>
      <c r="K142" t="str">
        <f t="shared" ref="K142:K164" si="72">"Отсутствует"</f>
        <v>Отсутствует</v>
      </c>
      <c r="L142" t="str">
        <f t="shared" ref="L142:L164" si="73">"Не указан"</f>
        <v>Не указан</v>
      </c>
      <c r="M142" t="str">
        <f t="shared" si="64"/>
        <v>Неизвестно</v>
      </c>
      <c r="N142" t="str">
        <f t="shared" ref="N142:N164" si="74">"Нет"</f>
        <v>Нет</v>
      </c>
      <c r="O142" t="str">
        <f t="shared" ref="O142:O149" si="75">"[46/2124] М 2.6.8 - OK6.1 ППК 2.6.3 Курск, 50 Лет Октября, 147 а п. 2"</f>
        <v>[46/2124] М 2.6.8 - OK6.1 ППК 2.6.3 Курск, 50 Лет Октября, 147 а п. 2</v>
      </c>
      <c r="P142">
        <v>36.149462309999997</v>
      </c>
      <c r="Q142">
        <v>51.739809229999999</v>
      </c>
      <c r="R142" t="str">
        <f>""</f>
        <v/>
      </c>
    </row>
    <row r="143" spans="1:18" x14ac:dyDescent="0.25">
      <c r="A143">
        <v>907</v>
      </c>
      <c r="B143" t="str">
        <f t="shared" si="67"/>
        <v>Курск</v>
      </c>
      <c r="C143">
        <v>919395</v>
      </c>
      <c r="D143" t="str">
        <f t="shared" si="68"/>
        <v>Опора</v>
      </c>
      <c r="E143" t="str">
        <f t="shared" si="69"/>
        <v>(Опора)</v>
      </c>
      <c r="F143" t="str">
        <f>""</f>
        <v/>
      </c>
      <c r="G143" t="str">
        <f t="shared" si="38"/>
        <v>_МС (CAB_MS)</v>
      </c>
      <c r="H143" t="str">
        <f t="shared" si="70"/>
        <v>МС 2.6</v>
      </c>
      <c r="I143" t="str">
        <f t="shared" si="71"/>
        <v>09.12.2020</v>
      </c>
      <c r="J143" t="str">
        <f>""</f>
        <v/>
      </c>
      <c r="K143" t="str">
        <f t="shared" si="72"/>
        <v>Отсутствует</v>
      </c>
      <c r="L143" t="str">
        <f t="shared" si="73"/>
        <v>Не указан</v>
      </c>
      <c r="M143" t="str">
        <f t="shared" si="64"/>
        <v>Неизвестно</v>
      </c>
      <c r="N143" t="str">
        <f t="shared" si="74"/>
        <v>Нет</v>
      </c>
      <c r="O143" t="str">
        <f t="shared" si="75"/>
        <v>[46/2124] М 2.6.8 - OK6.1 ППК 2.6.3 Курск, 50 Лет Октября, 147 а п. 2</v>
      </c>
      <c r="P143">
        <v>36.151243289999996</v>
      </c>
      <c r="Q143">
        <v>51.737714769999997</v>
      </c>
      <c r="R143" t="str">
        <f>""</f>
        <v/>
      </c>
    </row>
    <row r="144" spans="1:18" x14ac:dyDescent="0.25">
      <c r="A144">
        <v>907</v>
      </c>
      <c r="B144" t="str">
        <f t="shared" si="67"/>
        <v>Курск</v>
      </c>
      <c r="C144">
        <v>919394</v>
      </c>
      <c r="D144" t="str">
        <f t="shared" si="68"/>
        <v>Опора</v>
      </c>
      <c r="E144" t="str">
        <f t="shared" si="69"/>
        <v>(Опора)</v>
      </c>
      <c r="F144" t="str">
        <f>""</f>
        <v/>
      </c>
      <c r="G144" t="str">
        <f t="shared" ref="G144:G207" si="76">"_МС (CAB_MS)"</f>
        <v>_МС (CAB_MS)</v>
      </c>
      <c r="H144" t="str">
        <f t="shared" si="70"/>
        <v>МС 2.6</v>
      </c>
      <c r="I144" t="str">
        <f t="shared" si="71"/>
        <v>09.12.2020</v>
      </c>
      <c r="J144" t="str">
        <f>""</f>
        <v/>
      </c>
      <c r="K144" t="str">
        <f t="shared" si="72"/>
        <v>Отсутствует</v>
      </c>
      <c r="L144" t="str">
        <f t="shared" si="73"/>
        <v>Не указан</v>
      </c>
      <c r="M144" t="str">
        <f t="shared" si="64"/>
        <v>Неизвестно</v>
      </c>
      <c r="N144" t="str">
        <f t="shared" si="74"/>
        <v>Нет</v>
      </c>
      <c r="O144" t="str">
        <f t="shared" si="75"/>
        <v>[46/2124] М 2.6.8 - OK6.1 ППК 2.6.3 Курск, 50 Лет Октября, 147 а п. 2</v>
      </c>
      <c r="P144">
        <v>36.151034080000002</v>
      </c>
      <c r="Q144">
        <v>51.73795063</v>
      </c>
      <c r="R144" t="str">
        <f>""</f>
        <v/>
      </c>
    </row>
    <row r="145" spans="1:18" x14ac:dyDescent="0.25">
      <c r="A145">
        <v>907</v>
      </c>
      <c r="B145" t="str">
        <f t="shared" si="67"/>
        <v>Курск</v>
      </c>
      <c r="C145">
        <v>919393</v>
      </c>
      <c r="D145" t="str">
        <f t="shared" si="68"/>
        <v>Опора</v>
      </c>
      <c r="E145" t="str">
        <f t="shared" si="69"/>
        <v>(Опора)</v>
      </c>
      <c r="F145" t="str">
        <f>""</f>
        <v/>
      </c>
      <c r="G145" t="str">
        <f t="shared" si="76"/>
        <v>_МС (CAB_MS)</v>
      </c>
      <c r="H145" t="str">
        <f t="shared" si="70"/>
        <v>МС 2.6</v>
      </c>
      <c r="I145" t="str">
        <f t="shared" si="71"/>
        <v>09.12.2020</v>
      </c>
      <c r="J145" t="str">
        <f>""</f>
        <v/>
      </c>
      <c r="K145" t="str">
        <f t="shared" si="72"/>
        <v>Отсутствует</v>
      </c>
      <c r="L145" t="str">
        <f t="shared" si="73"/>
        <v>Не указан</v>
      </c>
      <c r="M145" t="str">
        <f t="shared" si="64"/>
        <v>Неизвестно</v>
      </c>
      <c r="N145" t="str">
        <f t="shared" si="74"/>
        <v>Нет</v>
      </c>
      <c r="O145" t="str">
        <f t="shared" si="75"/>
        <v>[46/2124] М 2.6.8 - OK6.1 ППК 2.6.3 Курск, 50 Лет Октября, 147 а п. 2</v>
      </c>
      <c r="P145">
        <v>36.150674670000001</v>
      </c>
      <c r="Q145">
        <v>51.738350930000003</v>
      </c>
      <c r="R145" t="str">
        <f>""</f>
        <v/>
      </c>
    </row>
    <row r="146" spans="1:18" x14ac:dyDescent="0.25">
      <c r="A146">
        <v>907</v>
      </c>
      <c r="B146" t="str">
        <f t="shared" si="67"/>
        <v>Курск</v>
      </c>
      <c r="C146">
        <v>919392</v>
      </c>
      <c r="D146" t="str">
        <f t="shared" si="68"/>
        <v>Опора</v>
      </c>
      <c r="E146" t="str">
        <f t="shared" si="69"/>
        <v>(Опора)</v>
      </c>
      <c r="F146" t="str">
        <f>""</f>
        <v/>
      </c>
      <c r="G146" t="str">
        <f t="shared" si="76"/>
        <v>_МС (CAB_MS)</v>
      </c>
      <c r="H146" t="str">
        <f t="shared" si="70"/>
        <v>МС 2.6</v>
      </c>
      <c r="I146" t="str">
        <f t="shared" si="71"/>
        <v>09.12.2020</v>
      </c>
      <c r="J146" t="str">
        <f>""</f>
        <v/>
      </c>
      <c r="K146" t="str">
        <f t="shared" si="72"/>
        <v>Отсутствует</v>
      </c>
      <c r="L146" t="str">
        <f t="shared" si="73"/>
        <v>Не указан</v>
      </c>
      <c r="M146" t="str">
        <f t="shared" si="64"/>
        <v>Неизвестно</v>
      </c>
      <c r="N146" t="str">
        <f t="shared" si="74"/>
        <v>Нет</v>
      </c>
      <c r="O146" t="str">
        <f t="shared" si="75"/>
        <v>[46/2124] М 2.6.8 - OK6.1 ППК 2.6.3 Курск, 50 Лет Октября, 147 а п. 2</v>
      </c>
      <c r="P146">
        <v>36.150503</v>
      </c>
      <c r="Q146">
        <v>51.738578480000001</v>
      </c>
      <c r="R146" t="str">
        <f>""</f>
        <v/>
      </c>
    </row>
    <row r="147" spans="1:18" x14ac:dyDescent="0.25">
      <c r="A147">
        <v>907</v>
      </c>
      <c r="B147" t="str">
        <f t="shared" si="67"/>
        <v>Курск</v>
      </c>
      <c r="C147">
        <v>919391</v>
      </c>
      <c r="D147" t="str">
        <f t="shared" si="68"/>
        <v>Опора</v>
      </c>
      <c r="E147" t="str">
        <f t="shared" si="69"/>
        <v>(Опора)</v>
      </c>
      <c r="F147" t="str">
        <f>""</f>
        <v/>
      </c>
      <c r="G147" t="str">
        <f t="shared" si="76"/>
        <v>_МС (CAB_MS)</v>
      </c>
      <c r="H147" t="str">
        <f t="shared" si="70"/>
        <v>МС 2.6</v>
      </c>
      <c r="I147" t="str">
        <f t="shared" si="71"/>
        <v>09.12.2020</v>
      </c>
      <c r="J147" t="str">
        <f>""</f>
        <v/>
      </c>
      <c r="K147" t="str">
        <f t="shared" si="72"/>
        <v>Отсутствует</v>
      </c>
      <c r="L147" t="str">
        <f t="shared" si="73"/>
        <v>Не указан</v>
      </c>
      <c r="M147" t="str">
        <f t="shared" si="64"/>
        <v>Неизвестно</v>
      </c>
      <c r="N147" t="str">
        <f t="shared" si="74"/>
        <v>Нет</v>
      </c>
      <c r="O147" t="str">
        <f t="shared" si="75"/>
        <v>[46/2124] М 2.6.8 - OK6.1 ППК 2.6.3 Курск, 50 Лет Октября, 147 а п. 2</v>
      </c>
      <c r="P147">
        <v>36.150140909999998</v>
      </c>
      <c r="Q147">
        <v>51.73898209</v>
      </c>
      <c r="R147" t="str">
        <f>""</f>
        <v/>
      </c>
    </row>
    <row r="148" spans="1:18" x14ac:dyDescent="0.25">
      <c r="A148">
        <v>907</v>
      </c>
      <c r="B148" t="str">
        <f t="shared" si="67"/>
        <v>Курск</v>
      </c>
      <c r="C148">
        <v>919390</v>
      </c>
      <c r="D148" t="str">
        <f t="shared" si="68"/>
        <v>Опора</v>
      </c>
      <c r="E148" t="str">
        <f t="shared" si="69"/>
        <v>(Опора)</v>
      </c>
      <c r="F148" t="str">
        <f>""</f>
        <v/>
      </c>
      <c r="G148" t="str">
        <f t="shared" si="76"/>
        <v>_МС (CAB_MS)</v>
      </c>
      <c r="H148" t="str">
        <f t="shared" si="70"/>
        <v>МС 2.6</v>
      </c>
      <c r="I148" t="str">
        <f t="shared" si="71"/>
        <v>09.12.2020</v>
      </c>
      <c r="J148" t="str">
        <f>""</f>
        <v/>
      </c>
      <c r="K148" t="str">
        <f t="shared" si="72"/>
        <v>Отсутствует</v>
      </c>
      <c r="L148" t="str">
        <f t="shared" si="73"/>
        <v>Не указан</v>
      </c>
      <c r="M148" t="str">
        <f t="shared" si="64"/>
        <v>Неизвестно</v>
      </c>
      <c r="N148" t="str">
        <f t="shared" si="74"/>
        <v>Нет</v>
      </c>
      <c r="O148" t="str">
        <f t="shared" si="75"/>
        <v>[46/2124] М 2.6.8 - OK6.1 ППК 2.6.3 Курск, 50 Лет Октября, 147 а п. 2</v>
      </c>
      <c r="P148">
        <v>36.14980027</v>
      </c>
      <c r="Q148">
        <v>51.73940065</v>
      </c>
      <c r="R148" t="str">
        <f>""</f>
        <v/>
      </c>
    </row>
    <row r="149" spans="1:18" x14ac:dyDescent="0.25">
      <c r="A149">
        <v>907</v>
      </c>
      <c r="B149" t="str">
        <f t="shared" si="67"/>
        <v>Курск</v>
      </c>
      <c r="C149">
        <v>919389</v>
      </c>
      <c r="D149" t="str">
        <f t="shared" si="68"/>
        <v>Опора</v>
      </c>
      <c r="E149" t="str">
        <f t="shared" si="69"/>
        <v>(Опора)</v>
      </c>
      <c r="F149" t="str">
        <f>""</f>
        <v/>
      </c>
      <c r="G149" t="str">
        <f t="shared" si="76"/>
        <v>_МС (CAB_MS)</v>
      </c>
      <c r="H149" t="str">
        <f t="shared" si="70"/>
        <v>МС 2.6</v>
      </c>
      <c r="I149" t="str">
        <f t="shared" si="71"/>
        <v>09.12.2020</v>
      </c>
      <c r="J149" t="str">
        <f>""</f>
        <v/>
      </c>
      <c r="K149" t="str">
        <f t="shared" si="72"/>
        <v>Отсутствует</v>
      </c>
      <c r="L149" t="str">
        <f t="shared" si="73"/>
        <v>Не указан</v>
      </c>
      <c r="M149" t="str">
        <f t="shared" si="64"/>
        <v>Неизвестно</v>
      </c>
      <c r="N149" t="str">
        <f t="shared" si="74"/>
        <v>Нет</v>
      </c>
      <c r="O149" t="str">
        <f t="shared" si="75"/>
        <v>[46/2124] М 2.6.8 - OK6.1 ППК 2.6.3 Курск, 50 Лет Октября, 147 а п. 2</v>
      </c>
      <c r="P149">
        <v>36.149609830000003</v>
      </c>
      <c r="Q149">
        <v>51.739623209999998</v>
      </c>
      <c r="R149" t="str">
        <f>""</f>
        <v/>
      </c>
    </row>
    <row r="150" spans="1:18" x14ac:dyDescent="0.25">
      <c r="A150">
        <v>907</v>
      </c>
      <c r="B150" t="str">
        <f t="shared" si="67"/>
        <v>Курск</v>
      </c>
      <c r="C150">
        <v>919388</v>
      </c>
      <c r="D150" t="str">
        <f t="shared" si="68"/>
        <v>Опора</v>
      </c>
      <c r="E150" t="str">
        <f t="shared" si="69"/>
        <v>(Опора)</v>
      </c>
      <c r="F150" t="str">
        <f>""</f>
        <v/>
      </c>
      <c r="G150" t="str">
        <f t="shared" si="76"/>
        <v>_МС (CAB_MS)</v>
      </c>
      <c r="H150" t="str">
        <f t="shared" si="70"/>
        <v>МС 2.6</v>
      </c>
      <c r="I150" t="str">
        <f t="shared" si="71"/>
        <v>09.12.2020</v>
      </c>
      <c r="J150" t="str">
        <f>""</f>
        <v/>
      </c>
      <c r="K150" t="str">
        <f t="shared" si="72"/>
        <v>Отсутствует</v>
      </c>
      <c r="L150" t="str">
        <f t="shared" si="73"/>
        <v>Не указан</v>
      </c>
      <c r="M150" t="str">
        <f t="shared" si="64"/>
        <v>Неизвестно</v>
      </c>
      <c r="N150" t="str">
        <f t="shared" si="74"/>
        <v>Нет</v>
      </c>
      <c r="O150" t="str">
        <f>"[46/3205] М 2.2.8 - М 2.6.8"</f>
        <v>[46/3205] М 2.2.8 - М 2.6.8</v>
      </c>
      <c r="P150">
        <v>36.146987969999998</v>
      </c>
      <c r="Q150">
        <v>51.739129079999998</v>
      </c>
      <c r="R150" t="str">
        <f>""</f>
        <v/>
      </c>
    </row>
    <row r="151" spans="1:18" x14ac:dyDescent="0.25">
      <c r="A151">
        <v>907</v>
      </c>
      <c r="B151" t="str">
        <f t="shared" si="67"/>
        <v>Курск</v>
      </c>
      <c r="C151">
        <v>919387</v>
      </c>
      <c r="D151" t="str">
        <f t="shared" si="68"/>
        <v>Опора</v>
      </c>
      <c r="E151" t="str">
        <f t="shared" si="69"/>
        <v>(Опора)</v>
      </c>
      <c r="F151" t="str">
        <f>""</f>
        <v/>
      </c>
      <c r="G151" t="str">
        <f t="shared" si="76"/>
        <v>_МС (CAB_MS)</v>
      </c>
      <c r="H151" t="str">
        <f t="shared" si="70"/>
        <v>МС 2.6</v>
      </c>
      <c r="I151" t="str">
        <f t="shared" si="71"/>
        <v>09.12.2020</v>
      </c>
      <c r="J151" t="str">
        <f>""</f>
        <v/>
      </c>
      <c r="K151" t="str">
        <f t="shared" si="72"/>
        <v>Отсутствует</v>
      </c>
      <c r="L151" t="str">
        <f t="shared" si="73"/>
        <v>Не указан</v>
      </c>
      <c r="M151" t="str">
        <f t="shared" si="64"/>
        <v>Неизвестно</v>
      </c>
      <c r="N151" t="str">
        <f t="shared" si="74"/>
        <v>Нет</v>
      </c>
      <c r="O151" t="str">
        <f>"[46/3205] М 2.2.8 - М 2.6.8"</f>
        <v>[46/3205] М 2.2.8 - М 2.6.8</v>
      </c>
      <c r="P151">
        <v>36.1459124</v>
      </c>
      <c r="Q151">
        <v>51.739276080000003</v>
      </c>
      <c r="R151" t="str">
        <f>""</f>
        <v/>
      </c>
    </row>
    <row r="152" spans="1:18" x14ac:dyDescent="0.25">
      <c r="A152">
        <v>907</v>
      </c>
      <c r="B152" t="str">
        <f t="shared" si="67"/>
        <v>Курск</v>
      </c>
      <c r="C152">
        <v>919385</v>
      </c>
      <c r="D152" t="str">
        <f t="shared" si="68"/>
        <v>Опора</v>
      </c>
      <c r="E152" t="str">
        <f t="shared" si="69"/>
        <v>(Опора)</v>
      </c>
      <c r="F152" t="str">
        <f>""</f>
        <v/>
      </c>
      <c r="G152" t="str">
        <f t="shared" si="76"/>
        <v>_МС (CAB_MS)</v>
      </c>
      <c r="H152" t="str">
        <f t="shared" si="70"/>
        <v>МС 2.6</v>
      </c>
      <c r="I152" t="str">
        <f t="shared" si="71"/>
        <v>09.12.2020</v>
      </c>
      <c r="J152" t="str">
        <f>""</f>
        <v/>
      </c>
      <c r="K152" t="str">
        <f t="shared" si="72"/>
        <v>Отсутствует</v>
      </c>
      <c r="L152" t="str">
        <f t="shared" si="73"/>
        <v>Не указан</v>
      </c>
      <c r="M152" t="str">
        <f t="shared" si="64"/>
        <v>Неизвестно</v>
      </c>
      <c r="N152" t="str">
        <f t="shared" si="74"/>
        <v>Нет</v>
      </c>
      <c r="O152" t="str">
        <f>"[46/1006] МОК 2.2.2 Курск, Дружбы Пр-Кт, 4 б п.  - МС 2.2"</f>
        <v>[46/1006] МОК 2.2.2 Курск, Дружбы Пр-Кт, 4 б п.  - МС 2.2</v>
      </c>
      <c r="P152">
        <v>36.141662439999998</v>
      </c>
      <c r="Q152">
        <v>51.743589319999998</v>
      </c>
      <c r="R152" t="str">
        <f>""</f>
        <v/>
      </c>
    </row>
    <row r="153" spans="1:18" x14ac:dyDescent="0.25">
      <c r="A153">
        <v>907</v>
      </c>
      <c r="B153" t="str">
        <f t="shared" si="67"/>
        <v>Курск</v>
      </c>
      <c r="C153">
        <v>919384</v>
      </c>
      <c r="D153" t="str">
        <f t="shared" si="68"/>
        <v>Опора</v>
      </c>
      <c r="E153" t="str">
        <f t="shared" si="69"/>
        <v>(Опора)</v>
      </c>
      <c r="F153" t="str">
        <f>""</f>
        <v/>
      </c>
      <c r="G153" t="str">
        <f t="shared" si="76"/>
        <v>_МС (CAB_MS)</v>
      </c>
      <c r="H153" t="str">
        <f t="shared" si="70"/>
        <v>МС 2.6</v>
      </c>
      <c r="I153" t="str">
        <f t="shared" si="71"/>
        <v>09.12.2020</v>
      </c>
      <c r="J153" t="str">
        <f>""</f>
        <v/>
      </c>
      <c r="K153" t="str">
        <f t="shared" si="72"/>
        <v>Отсутствует</v>
      </c>
      <c r="L153" t="str">
        <f t="shared" si="73"/>
        <v>Не указан</v>
      </c>
      <c r="M153" t="str">
        <f t="shared" si="64"/>
        <v>Неизвестно</v>
      </c>
      <c r="N153" t="str">
        <f t="shared" si="74"/>
        <v>Нет</v>
      </c>
      <c r="O153" t="str">
        <f>"[46/1006] МОК 2.2.2 Курск, Дружбы Пр-Кт, 4 б п.  - МС 2.2"</f>
        <v>[46/1006] МОК 2.2.2 Курск, Дружбы Пр-Кт, 4 б п.  - МС 2.2</v>
      </c>
      <c r="P153">
        <v>36.142330313734</v>
      </c>
      <c r="Q153">
        <v>51.7437910994867</v>
      </c>
      <c r="R153" t="str">
        <f>""</f>
        <v/>
      </c>
    </row>
    <row r="154" spans="1:18" x14ac:dyDescent="0.25">
      <c r="A154">
        <v>907</v>
      </c>
      <c r="B154" t="str">
        <f t="shared" si="67"/>
        <v>Курск</v>
      </c>
      <c r="C154">
        <v>919383</v>
      </c>
      <c r="D154" t="str">
        <f t="shared" si="68"/>
        <v>Опора</v>
      </c>
      <c r="E154" t="str">
        <f t="shared" si="69"/>
        <v>(Опора)</v>
      </c>
      <c r="F154" t="str">
        <f>""</f>
        <v/>
      </c>
      <c r="G154" t="str">
        <f t="shared" si="76"/>
        <v>_МС (CAB_MS)</v>
      </c>
      <c r="H154" t="str">
        <f t="shared" si="70"/>
        <v>МС 2.6</v>
      </c>
      <c r="I154" t="str">
        <f t="shared" si="71"/>
        <v>09.12.2020</v>
      </c>
      <c r="J154" t="str">
        <f>""</f>
        <v/>
      </c>
      <c r="K154" t="str">
        <f t="shared" si="72"/>
        <v>Отсутствует</v>
      </c>
      <c r="L154" t="str">
        <f t="shared" si="73"/>
        <v>Не указан</v>
      </c>
      <c r="M154" t="str">
        <f t="shared" si="64"/>
        <v>Неизвестно</v>
      </c>
      <c r="N154" t="str">
        <f t="shared" si="74"/>
        <v>Нет</v>
      </c>
      <c r="O154" t="str">
        <f>"[46/1006] МОК 2.2.2 Курск, Дружбы Пр-Кт, 4 б п.  - МС 2.2"</f>
        <v>[46/1006] МОК 2.2.2 Курск, Дружбы Пр-Кт, 4 б п.  - МС 2.2</v>
      </c>
      <c r="P154">
        <v>36.142944540000002</v>
      </c>
      <c r="Q154">
        <v>51.743812689999999</v>
      </c>
      <c r="R154" t="str">
        <f>""</f>
        <v/>
      </c>
    </row>
    <row r="155" spans="1:18" x14ac:dyDescent="0.25">
      <c r="A155">
        <v>907</v>
      </c>
      <c r="B155" t="str">
        <f t="shared" si="67"/>
        <v>Курск</v>
      </c>
      <c r="C155">
        <v>919373</v>
      </c>
      <c r="D155" t="str">
        <f t="shared" si="68"/>
        <v>Опора</v>
      </c>
      <c r="E155" t="str">
        <f t="shared" si="69"/>
        <v>(Опора)</v>
      </c>
      <c r="F155" t="str">
        <f>""</f>
        <v/>
      </c>
      <c r="G155" t="str">
        <f t="shared" si="76"/>
        <v>_МС (CAB_MS)</v>
      </c>
      <c r="H155" t="str">
        <f t="shared" si="70"/>
        <v>МС 2.6</v>
      </c>
      <c r="I155" t="str">
        <f t="shared" si="71"/>
        <v>09.12.2020</v>
      </c>
      <c r="J155" t="str">
        <f>""</f>
        <v/>
      </c>
      <c r="K155" t="str">
        <f t="shared" si="72"/>
        <v>Отсутствует</v>
      </c>
      <c r="L155" t="str">
        <f t="shared" si="73"/>
        <v>Не указан</v>
      </c>
      <c r="M155" t="str">
        <f t="shared" si="64"/>
        <v>Неизвестно</v>
      </c>
      <c r="N155" t="str">
        <f t="shared" si="74"/>
        <v>Нет</v>
      </c>
      <c r="O155" t="str">
        <f t="shared" ref="O155:O164" si="77">"[46/3205] М 2.2.8 - М 2.6.8"</f>
        <v>[46/3205] М 2.2.8 - М 2.6.8</v>
      </c>
      <c r="P155">
        <v>36.144952170000003</v>
      </c>
      <c r="Q155">
        <v>51.740442870000003</v>
      </c>
      <c r="R155" t="str">
        <f>""</f>
        <v/>
      </c>
    </row>
    <row r="156" spans="1:18" x14ac:dyDescent="0.25">
      <c r="A156">
        <v>907</v>
      </c>
      <c r="B156" t="str">
        <f t="shared" si="67"/>
        <v>Курск</v>
      </c>
      <c r="C156">
        <v>919372</v>
      </c>
      <c r="D156" t="str">
        <f t="shared" si="68"/>
        <v>Опора</v>
      </c>
      <c r="E156" t="str">
        <f t="shared" si="69"/>
        <v>(Опора)</v>
      </c>
      <c r="F156" t="str">
        <f>""</f>
        <v/>
      </c>
      <c r="G156" t="str">
        <f t="shared" si="76"/>
        <v>_МС (CAB_MS)</v>
      </c>
      <c r="H156" t="str">
        <f t="shared" si="70"/>
        <v>МС 2.6</v>
      </c>
      <c r="I156" t="str">
        <f t="shared" si="71"/>
        <v>09.12.2020</v>
      </c>
      <c r="J156" t="str">
        <f>""</f>
        <v/>
      </c>
      <c r="K156" t="str">
        <f t="shared" si="72"/>
        <v>Отсутствует</v>
      </c>
      <c r="L156" t="str">
        <f t="shared" si="73"/>
        <v>Не указан</v>
      </c>
      <c r="M156" t="str">
        <f t="shared" si="64"/>
        <v>Неизвестно</v>
      </c>
      <c r="N156" t="str">
        <f t="shared" si="74"/>
        <v>Нет</v>
      </c>
      <c r="O156" t="str">
        <f t="shared" si="77"/>
        <v>[46/3205] М 2.2.8 - М 2.6.8</v>
      </c>
      <c r="P156">
        <v>36.145223080000001</v>
      </c>
      <c r="Q156">
        <v>51.740165500000003</v>
      </c>
      <c r="R156" t="str">
        <f>""</f>
        <v/>
      </c>
    </row>
    <row r="157" spans="1:18" x14ac:dyDescent="0.25">
      <c r="A157">
        <v>907</v>
      </c>
      <c r="B157" t="str">
        <f t="shared" si="67"/>
        <v>Курск</v>
      </c>
      <c r="C157">
        <v>919371</v>
      </c>
      <c r="D157" t="str">
        <f t="shared" si="68"/>
        <v>Опора</v>
      </c>
      <c r="E157" t="str">
        <f t="shared" si="69"/>
        <v>(Опора)</v>
      </c>
      <c r="F157" t="str">
        <f>""</f>
        <v/>
      </c>
      <c r="G157" t="str">
        <f t="shared" si="76"/>
        <v>_МС (CAB_MS)</v>
      </c>
      <c r="H157" t="str">
        <f t="shared" si="70"/>
        <v>МС 2.6</v>
      </c>
      <c r="I157" t="str">
        <f t="shared" si="71"/>
        <v>09.12.2020</v>
      </c>
      <c r="J157" t="str">
        <f>""</f>
        <v/>
      </c>
      <c r="K157" t="str">
        <f t="shared" si="72"/>
        <v>Отсутствует</v>
      </c>
      <c r="L157" t="str">
        <f t="shared" si="73"/>
        <v>Не указан</v>
      </c>
      <c r="M157" t="str">
        <f t="shared" si="64"/>
        <v>Неизвестно</v>
      </c>
      <c r="N157" t="str">
        <f t="shared" si="74"/>
        <v>Нет</v>
      </c>
      <c r="O157" t="str">
        <f t="shared" si="77"/>
        <v>[46/3205] М 2.2.8 - М 2.6.8</v>
      </c>
      <c r="P157">
        <v>36.145657589999999</v>
      </c>
      <c r="Q157">
        <v>51.739648959999997</v>
      </c>
      <c r="R157" t="str">
        <f>""</f>
        <v/>
      </c>
    </row>
    <row r="158" spans="1:18" x14ac:dyDescent="0.25">
      <c r="A158">
        <v>907</v>
      </c>
      <c r="B158" t="str">
        <f t="shared" si="67"/>
        <v>Курск</v>
      </c>
      <c r="C158">
        <v>919370</v>
      </c>
      <c r="D158" t="str">
        <f t="shared" si="68"/>
        <v>Опора</v>
      </c>
      <c r="E158" t="str">
        <f t="shared" si="69"/>
        <v>(Опора)</v>
      </c>
      <c r="F158" t="str">
        <f>""</f>
        <v/>
      </c>
      <c r="G158" t="str">
        <f t="shared" si="76"/>
        <v>_МС (CAB_MS)</v>
      </c>
      <c r="H158" t="str">
        <f t="shared" si="70"/>
        <v>МС 2.6</v>
      </c>
      <c r="I158" t="str">
        <f t="shared" si="71"/>
        <v>09.12.2020</v>
      </c>
      <c r="J158" t="str">
        <f>""</f>
        <v/>
      </c>
      <c r="K158" t="str">
        <f t="shared" si="72"/>
        <v>Отсутствует</v>
      </c>
      <c r="L158" t="str">
        <f t="shared" si="73"/>
        <v>Не указан</v>
      </c>
      <c r="M158" t="str">
        <f t="shared" si="64"/>
        <v>Неизвестно</v>
      </c>
      <c r="N158" t="str">
        <f t="shared" si="74"/>
        <v>Нет</v>
      </c>
      <c r="O158" t="str">
        <f t="shared" si="77"/>
        <v>[46/3205] М 2.2.8 - М 2.6.8</v>
      </c>
      <c r="P158">
        <v>36.146584300000001</v>
      </c>
      <c r="Q158">
        <v>51.739295589999998</v>
      </c>
      <c r="R158" t="str">
        <f>""</f>
        <v/>
      </c>
    </row>
    <row r="159" spans="1:18" x14ac:dyDescent="0.25">
      <c r="A159">
        <v>907</v>
      </c>
      <c r="B159" t="str">
        <f t="shared" si="67"/>
        <v>Курск</v>
      </c>
      <c r="C159">
        <v>919369</v>
      </c>
      <c r="D159" t="str">
        <f t="shared" si="68"/>
        <v>Опора</v>
      </c>
      <c r="E159" t="str">
        <f t="shared" si="69"/>
        <v>(Опора)</v>
      </c>
      <c r="F159" t="str">
        <f>""</f>
        <v/>
      </c>
      <c r="G159" t="str">
        <f t="shared" si="76"/>
        <v>_МС (CAB_MS)</v>
      </c>
      <c r="H159" t="str">
        <f t="shared" si="70"/>
        <v>МС 2.6</v>
      </c>
      <c r="I159" t="str">
        <f t="shared" si="71"/>
        <v>09.12.2020</v>
      </c>
      <c r="J159" t="str">
        <f>""</f>
        <v/>
      </c>
      <c r="K159" t="str">
        <f t="shared" si="72"/>
        <v>Отсутствует</v>
      </c>
      <c r="L159" t="str">
        <f t="shared" si="73"/>
        <v>Не указан</v>
      </c>
      <c r="M159" t="str">
        <f t="shared" si="64"/>
        <v>Неизвестно</v>
      </c>
      <c r="N159" t="str">
        <f t="shared" si="74"/>
        <v>Нет</v>
      </c>
      <c r="O159" t="str">
        <f t="shared" si="77"/>
        <v>[46/3205] М 2.2.8 - М 2.6.8</v>
      </c>
      <c r="P159">
        <v>36.145943250000002</v>
      </c>
      <c r="Q159">
        <v>51.739112059999997</v>
      </c>
      <c r="R159" t="str">
        <f>""</f>
        <v/>
      </c>
    </row>
    <row r="160" spans="1:18" x14ac:dyDescent="0.25">
      <c r="A160">
        <v>907</v>
      </c>
      <c r="B160" t="str">
        <f t="shared" si="67"/>
        <v>Курск</v>
      </c>
      <c r="C160">
        <v>919368</v>
      </c>
      <c r="D160" t="str">
        <f t="shared" si="68"/>
        <v>Опора</v>
      </c>
      <c r="E160" t="str">
        <f t="shared" si="69"/>
        <v>(Опора)</v>
      </c>
      <c r="F160" t="str">
        <f>""</f>
        <v/>
      </c>
      <c r="G160" t="str">
        <f t="shared" si="76"/>
        <v>_МС (CAB_MS)</v>
      </c>
      <c r="H160" t="str">
        <f t="shared" si="70"/>
        <v>МС 2.6</v>
      </c>
      <c r="I160" t="str">
        <f t="shared" si="71"/>
        <v>09.12.2020</v>
      </c>
      <c r="J160" t="str">
        <f>""</f>
        <v/>
      </c>
      <c r="K160" t="str">
        <f t="shared" si="72"/>
        <v>Отсутствует</v>
      </c>
      <c r="L160" t="str">
        <f t="shared" si="73"/>
        <v>Не указан</v>
      </c>
      <c r="M160" t="str">
        <f t="shared" si="64"/>
        <v>Неизвестно</v>
      </c>
      <c r="N160" t="str">
        <f t="shared" si="74"/>
        <v>Нет</v>
      </c>
      <c r="O160" t="str">
        <f t="shared" si="77"/>
        <v>[46/3205] М 2.2.8 - М 2.6.8</v>
      </c>
      <c r="P160">
        <v>36.147417789999999</v>
      </c>
      <c r="Q160">
        <v>51.739107490000002</v>
      </c>
      <c r="R160" t="str">
        <f>""</f>
        <v/>
      </c>
    </row>
    <row r="161" spans="1:18" x14ac:dyDescent="0.25">
      <c r="A161">
        <v>907</v>
      </c>
      <c r="B161" t="str">
        <f t="shared" si="67"/>
        <v>Курск</v>
      </c>
      <c r="C161">
        <v>919367</v>
      </c>
      <c r="D161" t="str">
        <f t="shared" si="68"/>
        <v>Опора</v>
      </c>
      <c r="E161" t="str">
        <f t="shared" si="69"/>
        <v>(Опора)</v>
      </c>
      <c r="F161" t="str">
        <f>""</f>
        <v/>
      </c>
      <c r="G161" t="str">
        <f t="shared" si="76"/>
        <v>_МС (CAB_MS)</v>
      </c>
      <c r="H161" t="str">
        <f t="shared" si="70"/>
        <v>МС 2.6</v>
      </c>
      <c r="I161" t="str">
        <f t="shared" si="71"/>
        <v>09.12.2020</v>
      </c>
      <c r="J161" t="str">
        <f>""</f>
        <v/>
      </c>
      <c r="K161" t="str">
        <f t="shared" si="72"/>
        <v>Отсутствует</v>
      </c>
      <c r="L161" t="str">
        <f t="shared" si="73"/>
        <v>Не указан</v>
      </c>
      <c r="M161" t="str">
        <f t="shared" si="64"/>
        <v>Неизвестно</v>
      </c>
      <c r="N161" t="str">
        <f t="shared" si="74"/>
        <v>Нет</v>
      </c>
      <c r="O161" t="str">
        <f t="shared" si="77"/>
        <v>[46/3205] М 2.2.8 - М 2.6.8</v>
      </c>
      <c r="P161">
        <v>36.147844259999999</v>
      </c>
      <c r="Q161">
        <v>51.739227079999999</v>
      </c>
      <c r="R161" t="str">
        <f>""</f>
        <v/>
      </c>
    </row>
    <row r="162" spans="1:18" x14ac:dyDescent="0.25">
      <c r="A162">
        <v>907</v>
      </c>
      <c r="B162" t="str">
        <f t="shared" si="67"/>
        <v>Курск</v>
      </c>
      <c r="C162">
        <v>919366</v>
      </c>
      <c r="D162" t="str">
        <f t="shared" si="68"/>
        <v>Опора</v>
      </c>
      <c r="E162" t="str">
        <f t="shared" si="69"/>
        <v>(Опора)</v>
      </c>
      <c r="F162" t="str">
        <f>""</f>
        <v/>
      </c>
      <c r="G162" t="str">
        <f t="shared" si="76"/>
        <v>_МС (CAB_MS)</v>
      </c>
      <c r="H162" t="str">
        <f t="shared" si="70"/>
        <v>МС 2.6</v>
      </c>
      <c r="I162" t="str">
        <f t="shared" si="71"/>
        <v>09.12.2020</v>
      </c>
      <c r="J162" t="str">
        <f>""</f>
        <v/>
      </c>
      <c r="K162" t="str">
        <f t="shared" si="72"/>
        <v>Отсутствует</v>
      </c>
      <c r="L162" t="str">
        <f t="shared" si="73"/>
        <v>Не указан</v>
      </c>
      <c r="M162" t="str">
        <f t="shared" si="64"/>
        <v>Неизвестно</v>
      </c>
      <c r="N162" t="str">
        <f t="shared" si="74"/>
        <v>Нет</v>
      </c>
      <c r="O162" t="str">
        <f t="shared" si="77"/>
        <v>[46/3205] М 2.2.8 - М 2.6.8</v>
      </c>
      <c r="P162">
        <v>36.148260010000001</v>
      </c>
      <c r="Q162">
        <v>51.739373239999999</v>
      </c>
      <c r="R162" t="str">
        <f>""</f>
        <v/>
      </c>
    </row>
    <row r="163" spans="1:18" x14ac:dyDescent="0.25">
      <c r="A163">
        <v>907</v>
      </c>
      <c r="B163" t="str">
        <f t="shared" si="67"/>
        <v>Курск</v>
      </c>
      <c r="C163">
        <v>919365</v>
      </c>
      <c r="D163" t="str">
        <f t="shared" si="68"/>
        <v>Опора</v>
      </c>
      <c r="E163" t="str">
        <f t="shared" si="69"/>
        <v>(Опора)</v>
      </c>
      <c r="F163" t="str">
        <f>""</f>
        <v/>
      </c>
      <c r="G163" t="str">
        <f t="shared" si="76"/>
        <v>_МС (CAB_MS)</v>
      </c>
      <c r="H163" t="str">
        <f t="shared" si="70"/>
        <v>МС 2.6</v>
      </c>
      <c r="I163" t="str">
        <f t="shared" si="71"/>
        <v>09.12.2020</v>
      </c>
      <c r="J163" t="str">
        <f>""</f>
        <v/>
      </c>
      <c r="K163" t="str">
        <f t="shared" si="72"/>
        <v>Отсутствует</v>
      </c>
      <c r="L163" t="str">
        <f t="shared" si="73"/>
        <v>Не указан</v>
      </c>
      <c r="M163" t="str">
        <f t="shared" si="64"/>
        <v>Неизвестно</v>
      </c>
      <c r="N163" t="str">
        <f t="shared" si="74"/>
        <v>Нет</v>
      </c>
      <c r="O163" t="str">
        <f t="shared" si="77"/>
        <v>[46/3205] М 2.2.8 - М 2.6.8</v>
      </c>
      <c r="P163">
        <v>36.148619420000003</v>
      </c>
      <c r="Q163">
        <v>51.739635669999998</v>
      </c>
      <c r="R163" t="str">
        <f>""</f>
        <v/>
      </c>
    </row>
    <row r="164" spans="1:18" x14ac:dyDescent="0.25">
      <c r="A164">
        <v>907</v>
      </c>
      <c r="B164" t="str">
        <f t="shared" si="67"/>
        <v>Курск</v>
      </c>
      <c r="C164">
        <v>919364</v>
      </c>
      <c r="D164" t="str">
        <f t="shared" si="68"/>
        <v>Опора</v>
      </c>
      <c r="E164" t="str">
        <f t="shared" si="69"/>
        <v>(Опора)</v>
      </c>
      <c r="F164" t="str">
        <f>""</f>
        <v/>
      </c>
      <c r="G164" t="str">
        <f t="shared" si="76"/>
        <v>_МС (CAB_MS)</v>
      </c>
      <c r="H164" t="str">
        <f t="shared" si="70"/>
        <v>МС 2.6</v>
      </c>
      <c r="I164" t="str">
        <f t="shared" si="71"/>
        <v>09.12.2020</v>
      </c>
      <c r="J164" t="str">
        <f>""</f>
        <v/>
      </c>
      <c r="K164" t="str">
        <f t="shared" si="72"/>
        <v>Отсутствует</v>
      </c>
      <c r="L164" t="str">
        <f t="shared" si="73"/>
        <v>Не указан</v>
      </c>
      <c r="M164" t="str">
        <f t="shared" si="64"/>
        <v>Неизвестно</v>
      </c>
      <c r="N164" t="str">
        <f t="shared" si="74"/>
        <v>Нет</v>
      </c>
      <c r="O164" t="str">
        <f t="shared" si="77"/>
        <v>[46/3205] М 2.2.8 - М 2.6.8</v>
      </c>
      <c r="P164">
        <v>36.149121000000001</v>
      </c>
      <c r="Q164">
        <v>51.739771859999998</v>
      </c>
      <c r="R164" t="str">
        <f>""</f>
        <v/>
      </c>
    </row>
    <row r="165" spans="1:18" x14ac:dyDescent="0.25">
      <c r="A165">
        <v>907</v>
      </c>
      <c r="B165" t="str">
        <f t="shared" si="67"/>
        <v>Курск</v>
      </c>
      <c r="C165">
        <v>919337</v>
      </c>
      <c r="D165" t="str">
        <f t="shared" si="68"/>
        <v>Опора</v>
      </c>
      <c r="E165" t="str">
        <f t="shared" si="69"/>
        <v>(Опора)</v>
      </c>
      <c r="F165" t="str">
        <f>""</f>
        <v/>
      </c>
      <c r="G165" t="str">
        <f t="shared" si="76"/>
        <v>_МС (CAB_MS)</v>
      </c>
      <c r="H165" t="str">
        <f t="shared" si="70"/>
        <v>МС 2.6</v>
      </c>
      <c r="I165" t="str">
        <f t="shared" si="71"/>
        <v>09.12.2020</v>
      </c>
      <c r="J165" t="str">
        <f>""</f>
        <v/>
      </c>
      <c r="K165" t="str">
        <f>"АКТ №4653"</f>
        <v>АКТ №4653</v>
      </c>
      <c r="L165" t="str">
        <f>"Комитет по управлению муниципальным имуществом города Курска"</f>
        <v>Комитет по управлению муниципальным имуществом города Курска</v>
      </c>
      <c r="M165" t="str">
        <f t="shared" si="64"/>
        <v>Неизвестно</v>
      </c>
      <c r="N165" t="str">
        <f t="shared" ref="N165:N172" si="78">"Да"</f>
        <v>Да</v>
      </c>
      <c r="O165" t="str">
        <f>"[46/2131] М 2.6.2 - М 2.6.6"</f>
        <v>[46/2131] М 2.6.2 - М 2.6.6</v>
      </c>
      <c r="P165">
        <v>36.1426096</v>
      </c>
      <c r="Q165">
        <v>51.747129950000001</v>
      </c>
      <c r="R165" t="str">
        <f>"20000004579689"</f>
        <v>20000004579689</v>
      </c>
    </row>
    <row r="166" spans="1:18" x14ac:dyDescent="0.25">
      <c r="A166">
        <v>907</v>
      </c>
      <c r="B166" t="str">
        <f t="shared" si="67"/>
        <v>Курск</v>
      </c>
      <c r="C166">
        <v>857880</v>
      </c>
      <c r="D166" t="str">
        <f>"Опора контактной сети"</f>
        <v>Опора контактной сети</v>
      </c>
      <c r="E166" t="str">
        <f>"08/223 (6)"</f>
        <v>08/223 (6)</v>
      </c>
      <c r="F166" t="str">
        <f>""</f>
        <v/>
      </c>
      <c r="G166" t="str">
        <f t="shared" si="76"/>
        <v>_МС (CAB_MS)</v>
      </c>
      <c r="H166" t="str">
        <f t="shared" ref="H166:H192" si="79">"МС 3.1"</f>
        <v>МС 3.1</v>
      </c>
      <c r="I166" t="str">
        <f>"17.04.2013"</f>
        <v>17.04.2013</v>
      </c>
      <c r="J166" t="str">
        <f>""</f>
        <v/>
      </c>
      <c r="K166" t="str">
        <f>"КСК-00506725"</f>
        <v>КСК-00506725</v>
      </c>
      <c r="L166" t="str">
        <f>"МУП ""Курскэлектротранс"""</f>
        <v>МУП "Курскэлектротранс"</v>
      </c>
      <c r="M166" t="str">
        <f>"Да"</f>
        <v>Да</v>
      </c>
      <c r="N166" t="str">
        <f t="shared" si="78"/>
        <v>Да</v>
      </c>
      <c r="O166" t="str">
        <f>"[46/2941] М 3.1.28 - М 3.1.27"</f>
        <v>[46/2941] М 3.1.28 - М 3.1.27</v>
      </c>
      <c r="P166">
        <v>36.183871328830698</v>
      </c>
      <c r="Q166">
        <v>51.765555829927798</v>
      </c>
      <c r="R166" t="str">
        <f>""</f>
        <v/>
      </c>
    </row>
    <row r="167" spans="1:18" x14ac:dyDescent="0.25">
      <c r="A167">
        <v>907</v>
      </c>
      <c r="B167" t="str">
        <f t="shared" si="67"/>
        <v>Курск</v>
      </c>
      <c r="C167">
        <v>857879</v>
      </c>
      <c r="D167" t="str">
        <f>"Опора контактной сети"</f>
        <v>Опора контактной сети</v>
      </c>
      <c r="E167" t="str">
        <f>"08/223 (5)"</f>
        <v>08/223 (5)</v>
      </c>
      <c r="F167" t="str">
        <f>""</f>
        <v/>
      </c>
      <c r="G167" t="str">
        <f t="shared" si="76"/>
        <v>_МС (CAB_MS)</v>
      </c>
      <c r="H167" t="str">
        <f t="shared" si="79"/>
        <v>МС 3.1</v>
      </c>
      <c r="I167" t="str">
        <f>"17.04.2013"</f>
        <v>17.04.2013</v>
      </c>
      <c r="J167" t="str">
        <f>""</f>
        <v/>
      </c>
      <c r="K167" t="str">
        <f>"КСК-00506725"</f>
        <v>КСК-00506725</v>
      </c>
      <c r="L167" t="str">
        <f>"МУП ""Курскэлектротранс"""</f>
        <v>МУП "Курскэлектротранс"</v>
      </c>
      <c r="M167" t="str">
        <f>"Да"</f>
        <v>Да</v>
      </c>
      <c r="N167" t="str">
        <f t="shared" si="78"/>
        <v>Да</v>
      </c>
      <c r="O167" t="str">
        <f>"[46/2941] М 3.1.28 - М 3.1.27"</f>
        <v>[46/2941] М 3.1.28 - М 3.1.27</v>
      </c>
      <c r="P167">
        <v>36.183678209781597</v>
      </c>
      <c r="Q167">
        <v>51.7658479832495</v>
      </c>
      <c r="R167" t="str">
        <f>""</f>
        <v/>
      </c>
    </row>
    <row r="168" spans="1:18" x14ac:dyDescent="0.25">
      <c r="A168">
        <v>907</v>
      </c>
      <c r="B168" t="str">
        <f t="shared" si="67"/>
        <v>Курск</v>
      </c>
      <c r="C168">
        <v>857877</v>
      </c>
      <c r="D168" t="str">
        <f>"Опора контактной сети"</f>
        <v>Опора контактной сети</v>
      </c>
      <c r="E168" t="str">
        <f>"08/223 (4)"</f>
        <v>08/223 (4)</v>
      </c>
      <c r="F168" t="str">
        <f>""</f>
        <v/>
      </c>
      <c r="G168" t="str">
        <f t="shared" si="76"/>
        <v>_МС (CAB_MS)</v>
      </c>
      <c r="H168" t="str">
        <f t="shared" si="79"/>
        <v>МС 3.1</v>
      </c>
      <c r="I168" t="str">
        <f>"17.04.2013"</f>
        <v>17.04.2013</v>
      </c>
      <c r="J168" t="str">
        <f>""</f>
        <v/>
      </c>
      <c r="K168" t="str">
        <f>"КСК-00506725"</f>
        <v>КСК-00506725</v>
      </c>
      <c r="L168" t="str">
        <f>"МУП ""Курскэлектротранс"""</f>
        <v>МУП "Курскэлектротранс"</v>
      </c>
      <c r="M168" t="str">
        <f>"Да"</f>
        <v>Да</v>
      </c>
      <c r="N168" t="str">
        <f t="shared" si="78"/>
        <v>Да</v>
      </c>
      <c r="O168" t="str">
        <f>"[46/2941] М 3.1.28 - М 3.1.27"</f>
        <v>[46/2941] М 3.1.28 - М 3.1.27</v>
      </c>
      <c r="P168">
        <v>36.183549463748903</v>
      </c>
      <c r="Q168">
        <v>51.766096976065398</v>
      </c>
      <c r="R168" t="str">
        <f>""</f>
        <v/>
      </c>
    </row>
    <row r="169" spans="1:18" x14ac:dyDescent="0.25">
      <c r="A169">
        <v>907</v>
      </c>
      <c r="B169" t="str">
        <f t="shared" si="67"/>
        <v>Курск</v>
      </c>
      <c r="C169">
        <v>857876</v>
      </c>
      <c r="D169" t="str">
        <f>"Опора контактной сети"</f>
        <v>Опора контактной сети</v>
      </c>
      <c r="E169" t="str">
        <f>"08/223 (7)"</f>
        <v>08/223 (7)</v>
      </c>
      <c r="F169" t="str">
        <f>""</f>
        <v/>
      </c>
      <c r="G169" t="str">
        <f t="shared" si="76"/>
        <v>_МС (CAB_MS)</v>
      </c>
      <c r="H169" t="str">
        <f t="shared" si="79"/>
        <v>МС 3.1</v>
      </c>
      <c r="I169" t="str">
        <f>"17.04.2013"</f>
        <v>17.04.2013</v>
      </c>
      <c r="J169" t="str">
        <f>""</f>
        <v/>
      </c>
      <c r="K169" t="str">
        <f>"КСК-00506725"</f>
        <v>КСК-00506725</v>
      </c>
      <c r="L169" t="str">
        <f>"МУП ""Курскэлектротранс"""</f>
        <v>МУП "Курскэлектротранс"</v>
      </c>
      <c r="M169" t="str">
        <f>"Да"</f>
        <v>Да</v>
      </c>
      <c r="N169" t="str">
        <f t="shared" si="78"/>
        <v>Да</v>
      </c>
      <c r="O169" t="str">
        <f>"[46/2941] М 3.1.28 - М 3.1.27"</f>
        <v>[46/2941] М 3.1.28 - М 3.1.27</v>
      </c>
      <c r="P169">
        <v>36.184010803699501</v>
      </c>
      <c r="Q169">
        <v>51.765320113937896</v>
      </c>
      <c r="R169" t="str">
        <f>""</f>
        <v/>
      </c>
    </row>
    <row r="170" spans="1:18" x14ac:dyDescent="0.25">
      <c r="A170">
        <v>907</v>
      </c>
      <c r="B170" t="str">
        <f t="shared" si="67"/>
        <v>Курск</v>
      </c>
      <c r="C170">
        <v>920318</v>
      </c>
      <c r="D170" t="str">
        <f t="shared" ref="D170:D175" si="80">"Опора"</f>
        <v>Опора</v>
      </c>
      <c r="E170" t="str">
        <f>"КИ 111 (0129)"</f>
        <v>КИ 111 (0129)</v>
      </c>
      <c r="F170" t="str">
        <f>""</f>
        <v/>
      </c>
      <c r="G170" t="str">
        <f t="shared" si="76"/>
        <v>_МС (CAB_MS)</v>
      </c>
      <c r="H170" t="str">
        <f t="shared" si="79"/>
        <v>МС 3.1</v>
      </c>
      <c r="I170" t="str">
        <f>"22.12.2020"</f>
        <v>22.12.2020</v>
      </c>
      <c r="J170" t="str">
        <f>""</f>
        <v/>
      </c>
      <c r="K170" t="str">
        <f>"АКТ №4654"</f>
        <v>АКТ №4654</v>
      </c>
      <c r="L170" t="str">
        <f>"Комитет по управлению муниципальным имуществом города Курска"</f>
        <v>Комитет по управлению муниципальным имуществом города Курска</v>
      </c>
      <c r="M170" t="str">
        <f>"Неизвестно"</f>
        <v>Неизвестно</v>
      </c>
      <c r="N170" t="str">
        <f t="shared" si="78"/>
        <v>Да</v>
      </c>
      <c r="O170" t="str">
        <f>"[46/1174] М 3.1.2 - М 3.1.10"</f>
        <v>[46/1174] М 3.1.2 - М 3.1.10</v>
      </c>
      <c r="P170">
        <v>36.181933870000002</v>
      </c>
      <c r="Q170">
        <v>51.762619039999997</v>
      </c>
      <c r="R170" t="str">
        <f>"20000006263041"</f>
        <v>20000006263041</v>
      </c>
    </row>
    <row r="171" spans="1:18" x14ac:dyDescent="0.25">
      <c r="A171">
        <v>907</v>
      </c>
      <c r="B171" t="str">
        <f t="shared" si="67"/>
        <v>Курск</v>
      </c>
      <c r="C171">
        <v>920316</v>
      </c>
      <c r="D171" t="str">
        <f t="shared" si="80"/>
        <v>Опора</v>
      </c>
      <c r="E171" t="str">
        <f>"КИ 111 (0127)"</f>
        <v>КИ 111 (0127)</v>
      </c>
      <c r="F171" t="str">
        <f>""</f>
        <v/>
      </c>
      <c r="G171" t="str">
        <f t="shared" si="76"/>
        <v>_МС (CAB_MS)</v>
      </c>
      <c r="H171" t="str">
        <f t="shared" si="79"/>
        <v>МС 3.1</v>
      </c>
      <c r="I171" t="str">
        <f>"22.12.2020"</f>
        <v>22.12.2020</v>
      </c>
      <c r="J171" t="str">
        <f>""</f>
        <v/>
      </c>
      <c r="K171" t="str">
        <f>"АКТ №4654"</f>
        <v>АКТ №4654</v>
      </c>
      <c r="L171" t="str">
        <f>"Комитет по управлению муниципальным имуществом города Курска"</f>
        <v>Комитет по управлению муниципальным имуществом города Курска</v>
      </c>
      <c r="M171" t="str">
        <f>"Неизвестно"</f>
        <v>Неизвестно</v>
      </c>
      <c r="N171" t="str">
        <f t="shared" si="78"/>
        <v>Да</v>
      </c>
      <c r="O171" t="str">
        <f>"[46/1172] М 3.1.1 - М 3.1.2"</f>
        <v>[46/1172] М 3.1.1 - М 3.1.2</v>
      </c>
      <c r="P171">
        <v>36.182561509999999</v>
      </c>
      <c r="Q171">
        <v>51.761447009999998</v>
      </c>
      <c r="R171" t="str">
        <f>"20000006263039"</f>
        <v>20000006263039</v>
      </c>
    </row>
    <row r="172" spans="1:18" x14ac:dyDescent="0.25">
      <c r="A172">
        <v>907</v>
      </c>
      <c r="B172" t="str">
        <f t="shared" si="67"/>
        <v>Курск</v>
      </c>
      <c r="C172">
        <v>920315</v>
      </c>
      <c r="D172" t="str">
        <f t="shared" si="80"/>
        <v>Опора</v>
      </c>
      <c r="E172" t="str">
        <f>"КИ 111 (0126)"</f>
        <v>КИ 111 (0126)</v>
      </c>
      <c r="F172" t="str">
        <f>""</f>
        <v/>
      </c>
      <c r="G172" t="str">
        <f t="shared" si="76"/>
        <v>_МС (CAB_MS)</v>
      </c>
      <c r="H172" t="str">
        <f t="shared" si="79"/>
        <v>МС 3.1</v>
      </c>
      <c r="I172" t="str">
        <f>"22.12.2020"</f>
        <v>22.12.2020</v>
      </c>
      <c r="J172" t="str">
        <f>""</f>
        <v/>
      </c>
      <c r="K172" t="str">
        <f>"АКТ №4654"</f>
        <v>АКТ №4654</v>
      </c>
      <c r="L172" t="str">
        <f>"Комитет по управлению муниципальным имуществом города Курска"</f>
        <v>Комитет по управлению муниципальным имуществом города Курска</v>
      </c>
      <c r="M172" t="str">
        <f>"Неизвестно"</f>
        <v>Неизвестно</v>
      </c>
      <c r="N172" t="str">
        <f t="shared" si="78"/>
        <v>Да</v>
      </c>
      <c r="O172" t="str">
        <f>"[46/1170] МОК3.1.1 Курск, Карла Маркса, 62 /21 п. 1 - М 3.1.1"</f>
        <v>[46/1170] МОК3.1.1 Курск, Карла Маркса, 62 /21 п. 1 - М 3.1.1</v>
      </c>
      <c r="P172">
        <v>36.183199879999997</v>
      </c>
      <c r="Q172">
        <v>51.760221829999999</v>
      </c>
      <c r="R172" t="str">
        <f>"20000006263038"</f>
        <v>20000006263038</v>
      </c>
    </row>
    <row r="173" spans="1:18" x14ac:dyDescent="0.25">
      <c r="A173">
        <v>907</v>
      </c>
      <c r="B173" t="str">
        <f t="shared" si="67"/>
        <v>Курск</v>
      </c>
      <c r="C173">
        <v>860294</v>
      </c>
      <c r="D173" t="str">
        <f t="shared" si="80"/>
        <v>Опора</v>
      </c>
      <c r="E173" t="str">
        <f>"КИ 111 (347)"</f>
        <v>КИ 111 (347)</v>
      </c>
      <c r="F173" t="str">
        <f>""</f>
        <v/>
      </c>
      <c r="G173" t="str">
        <f t="shared" si="76"/>
        <v>_МС (CAB_MS)</v>
      </c>
      <c r="H173" t="str">
        <f t="shared" si="79"/>
        <v>МС 3.1</v>
      </c>
      <c r="I173" t="str">
        <f>"25.05.2013"</f>
        <v>25.05.2013</v>
      </c>
      <c r="J173" t="str">
        <f>""</f>
        <v/>
      </c>
      <c r="K173" t="str">
        <f>"Отсутствует"</f>
        <v>Отсутствует</v>
      </c>
      <c r="L173" t="str">
        <f>"Комитет по управлению муниципальным имуществом города Курска"</f>
        <v>Комитет по управлению муниципальным имуществом города Курска</v>
      </c>
      <c r="M173" t="str">
        <f>"Нет"</f>
        <v>Нет</v>
      </c>
      <c r="N173" t="str">
        <f>"Нет"</f>
        <v>Нет</v>
      </c>
      <c r="O173" t="str">
        <f>"[46/1178] М 3.1.12 - М 3.1.4"</f>
        <v>[46/1178] М 3.1.12 - М 3.1.4</v>
      </c>
      <c r="P173">
        <v>36.176417469978297</v>
      </c>
      <c r="Q173">
        <v>51.771192727337898</v>
      </c>
      <c r="R173" t="str">
        <f>"20000004579462"</f>
        <v>20000004579462</v>
      </c>
    </row>
    <row r="174" spans="1:18" x14ac:dyDescent="0.25">
      <c r="A174">
        <v>907</v>
      </c>
      <c r="B174" t="str">
        <f t="shared" si="67"/>
        <v>Курск</v>
      </c>
      <c r="C174">
        <v>860290</v>
      </c>
      <c r="D174" t="str">
        <f t="shared" si="80"/>
        <v>Опора</v>
      </c>
      <c r="E174" t="str">
        <f>"КИ 111 (343)"</f>
        <v>КИ 111 (343)</v>
      </c>
      <c r="F174" t="str">
        <f>""</f>
        <v/>
      </c>
      <c r="G174" t="str">
        <f t="shared" si="76"/>
        <v>_МС (CAB_MS)</v>
      </c>
      <c r="H174" t="str">
        <f t="shared" si="79"/>
        <v>МС 3.1</v>
      </c>
      <c r="I174" t="str">
        <f>"25.05.2013"</f>
        <v>25.05.2013</v>
      </c>
      <c r="J174" t="str">
        <f>""</f>
        <v/>
      </c>
      <c r="K174" t="str">
        <f>"Отсутствует"</f>
        <v>Отсутствует</v>
      </c>
      <c r="L174" t="str">
        <f>"Не указан"</f>
        <v>Не указан</v>
      </c>
      <c r="M174" t="str">
        <f>"Нет"</f>
        <v>Нет</v>
      </c>
      <c r="N174" t="str">
        <f>"Нет"</f>
        <v>Нет</v>
      </c>
      <c r="O174" t="str">
        <f>"[46/1178] М 3.1.12 - М 3.1.4"</f>
        <v>[46/1178] М 3.1.12 - М 3.1.4</v>
      </c>
      <c r="P174">
        <v>36.1749798059464</v>
      </c>
      <c r="Q174">
        <v>51.770897289065502</v>
      </c>
      <c r="R174" t="str">
        <f>"20000004579458"</f>
        <v>20000004579458</v>
      </c>
    </row>
    <row r="175" spans="1:18" x14ac:dyDescent="0.25">
      <c r="A175">
        <v>907</v>
      </c>
      <c r="B175" t="str">
        <f t="shared" si="67"/>
        <v>Курск</v>
      </c>
      <c r="C175">
        <v>920317</v>
      </c>
      <c r="D175" t="str">
        <f t="shared" si="80"/>
        <v>Опора</v>
      </c>
      <c r="E175" t="str">
        <f>"КИ 111 (0128)"</f>
        <v>КИ 111 (0128)</v>
      </c>
      <c r="F175" t="str">
        <f>""</f>
        <v/>
      </c>
      <c r="G175" t="str">
        <f t="shared" si="76"/>
        <v>_МС (CAB_MS)</v>
      </c>
      <c r="H175" t="str">
        <f t="shared" si="79"/>
        <v>МС 3.1</v>
      </c>
      <c r="I175" t="str">
        <f>"22.12.2020"</f>
        <v>22.12.2020</v>
      </c>
      <c r="J175" t="str">
        <f>""</f>
        <v/>
      </c>
      <c r="K175" t="str">
        <f>"АКТ №4654"</f>
        <v>АКТ №4654</v>
      </c>
      <c r="L175" t="str">
        <f>"Комитет по управлению муниципальным имуществом города Курска"</f>
        <v>Комитет по управлению муниципальным имуществом города Курска</v>
      </c>
      <c r="M175" t="str">
        <f>"Неизвестно"</f>
        <v>Неизвестно</v>
      </c>
      <c r="N175" t="str">
        <f t="shared" ref="N175:N192" si="81">"Да"</f>
        <v>Да</v>
      </c>
      <c r="O175" t="str">
        <f>"[46/1172] М 3.1.1 - М 3.1.2"</f>
        <v>[46/1172] М 3.1.1 - М 3.1.2</v>
      </c>
      <c r="P175">
        <v>36.182462270000002</v>
      </c>
      <c r="Q175">
        <v>51.761613029999999</v>
      </c>
      <c r="R175" t="str">
        <f>"20000006263040"</f>
        <v>20000006263040</v>
      </c>
    </row>
    <row r="176" spans="1:18" x14ac:dyDescent="0.25">
      <c r="A176">
        <v>907</v>
      </c>
      <c r="B176" t="str">
        <f t="shared" si="67"/>
        <v>Курск</v>
      </c>
      <c r="C176">
        <v>857901</v>
      </c>
      <c r="D176" t="str">
        <f t="shared" ref="D176:D192" si="82">"Опора контактной сети"</f>
        <v>Опора контактной сети</v>
      </c>
      <c r="E176" t="str">
        <f>"08/223 (25)"</f>
        <v>08/223 (25)</v>
      </c>
      <c r="F176" t="str">
        <f>""</f>
        <v/>
      </c>
      <c r="G176" t="str">
        <f t="shared" si="76"/>
        <v>_МС (CAB_MS)</v>
      </c>
      <c r="H176" t="str">
        <f t="shared" si="79"/>
        <v>МС 3.1</v>
      </c>
      <c r="I176" t="str">
        <f t="shared" ref="I176:I192" si="83">"17.04.2013"</f>
        <v>17.04.2013</v>
      </c>
      <c r="J176" t="str">
        <f>""</f>
        <v/>
      </c>
      <c r="K176" t="str">
        <f t="shared" ref="K176:K192" si="84">"КСК-00506725"</f>
        <v>КСК-00506725</v>
      </c>
      <c r="L176" t="str">
        <f t="shared" ref="L176:L192" si="85">"МУП ""Курскэлектротранс"""</f>
        <v>МУП "Курскэлектротранс"</v>
      </c>
      <c r="M176" t="str">
        <f t="shared" ref="M176:M192" si="86">"Да"</f>
        <v>Да</v>
      </c>
      <c r="N176" t="str">
        <f t="shared" si="81"/>
        <v>Да</v>
      </c>
      <c r="O176" t="str">
        <f t="shared" ref="O176:O192" si="87">"[46/2941] М 3.1.28 - М 3.1.27"</f>
        <v>[46/2941] М 3.1.28 - М 3.1.27</v>
      </c>
      <c r="P176">
        <v>36.186505258083301</v>
      </c>
      <c r="Q176">
        <v>51.760655340124998</v>
      </c>
      <c r="R176" t="str">
        <f>""</f>
        <v/>
      </c>
    </row>
    <row r="177" spans="1:18" x14ac:dyDescent="0.25">
      <c r="A177">
        <v>907</v>
      </c>
      <c r="B177" t="str">
        <f t="shared" si="67"/>
        <v>Курск</v>
      </c>
      <c r="C177">
        <v>857900</v>
      </c>
      <c r="D177" t="str">
        <f t="shared" si="82"/>
        <v>Опора контактной сети</v>
      </c>
      <c r="E177" t="str">
        <f>"08/223 (24)"</f>
        <v>08/223 (24)</v>
      </c>
      <c r="F177" t="str">
        <f>""</f>
        <v/>
      </c>
      <c r="G177" t="str">
        <f t="shared" si="76"/>
        <v>_МС (CAB_MS)</v>
      </c>
      <c r="H177" t="str">
        <f t="shared" si="79"/>
        <v>МС 3.1</v>
      </c>
      <c r="I177" t="str">
        <f t="shared" si="83"/>
        <v>17.04.2013</v>
      </c>
      <c r="J177" t="str">
        <f>""</f>
        <v/>
      </c>
      <c r="K177" t="str">
        <f t="shared" si="84"/>
        <v>КСК-00506725</v>
      </c>
      <c r="L177" t="str">
        <f t="shared" si="85"/>
        <v>МУП "Курскэлектротранс"</v>
      </c>
      <c r="M177" t="str">
        <f t="shared" si="86"/>
        <v>Да</v>
      </c>
      <c r="N177" t="str">
        <f t="shared" si="81"/>
        <v>Да</v>
      </c>
      <c r="O177" t="str">
        <f t="shared" si="87"/>
        <v>[46/2941] М 3.1.28 - М 3.1.27</v>
      </c>
      <c r="P177">
        <v>36.1863765120506</v>
      </c>
      <c r="Q177">
        <v>51.760907681857702</v>
      </c>
      <c r="R177" t="str">
        <f>""</f>
        <v/>
      </c>
    </row>
    <row r="178" spans="1:18" x14ac:dyDescent="0.25">
      <c r="A178">
        <v>907</v>
      </c>
      <c r="B178" t="str">
        <f t="shared" si="67"/>
        <v>Курск</v>
      </c>
      <c r="C178">
        <v>857899</v>
      </c>
      <c r="D178" t="str">
        <f t="shared" si="82"/>
        <v>Опора контактной сети</v>
      </c>
      <c r="E178" t="str">
        <f>"08/223 (22)"</f>
        <v>08/223 (22)</v>
      </c>
      <c r="F178" t="str">
        <f>""</f>
        <v/>
      </c>
      <c r="G178" t="str">
        <f t="shared" si="76"/>
        <v>_МС (CAB_MS)</v>
      </c>
      <c r="H178" t="str">
        <f t="shared" si="79"/>
        <v>МС 3.1</v>
      </c>
      <c r="I178" t="str">
        <f t="shared" si="83"/>
        <v>17.04.2013</v>
      </c>
      <c r="J178" t="str">
        <f>""</f>
        <v/>
      </c>
      <c r="K178" t="str">
        <f t="shared" si="84"/>
        <v>КСК-00506725</v>
      </c>
      <c r="L178" t="str">
        <f t="shared" si="85"/>
        <v>МУП "Курскэлектротранс"</v>
      </c>
      <c r="M178" t="str">
        <f t="shared" si="86"/>
        <v>Да</v>
      </c>
      <c r="N178" t="str">
        <f t="shared" si="81"/>
        <v>Да</v>
      </c>
      <c r="O178" t="str">
        <f t="shared" si="87"/>
        <v>[46/2941] М 3.1.28 - М 3.1.27</v>
      </c>
      <c r="P178">
        <v>36.186097562313101</v>
      </c>
      <c r="Q178">
        <v>51.7614356027632</v>
      </c>
      <c r="R178" t="str">
        <f>""</f>
        <v/>
      </c>
    </row>
    <row r="179" spans="1:18" x14ac:dyDescent="0.25">
      <c r="A179">
        <v>907</v>
      </c>
      <c r="B179" t="str">
        <f t="shared" si="67"/>
        <v>Курск</v>
      </c>
      <c r="C179">
        <v>857898</v>
      </c>
      <c r="D179" t="str">
        <f t="shared" si="82"/>
        <v>Опора контактной сети</v>
      </c>
      <c r="E179" t="str">
        <f>"08/223 (23)"</f>
        <v>08/223 (23)</v>
      </c>
      <c r="F179" t="str">
        <f>""</f>
        <v/>
      </c>
      <c r="G179" t="str">
        <f t="shared" si="76"/>
        <v>_МС (CAB_MS)</v>
      </c>
      <c r="H179" t="str">
        <f t="shared" si="79"/>
        <v>МС 3.1</v>
      </c>
      <c r="I179" t="str">
        <f t="shared" si="83"/>
        <v>17.04.2013</v>
      </c>
      <c r="J179" t="str">
        <f>""</f>
        <v/>
      </c>
      <c r="K179" t="str">
        <f t="shared" si="84"/>
        <v>КСК-00506725</v>
      </c>
      <c r="L179" t="str">
        <f t="shared" si="85"/>
        <v>МУП "Курскэлектротранс"</v>
      </c>
      <c r="M179" t="str">
        <f t="shared" si="86"/>
        <v>Да</v>
      </c>
      <c r="N179" t="str">
        <f t="shared" si="81"/>
        <v>Да</v>
      </c>
      <c r="O179" t="str">
        <f t="shared" si="87"/>
        <v>[46/2941] М 3.1.28 - М 3.1.27</v>
      </c>
      <c r="P179">
        <v>36.186204850673697</v>
      </c>
      <c r="Q179">
        <v>51.761183263981003</v>
      </c>
      <c r="R179" t="str">
        <f>""</f>
        <v/>
      </c>
    </row>
    <row r="180" spans="1:18" x14ac:dyDescent="0.25">
      <c r="A180">
        <v>907</v>
      </c>
      <c r="B180" t="str">
        <f t="shared" si="67"/>
        <v>Курск</v>
      </c>
      <c r="C180">
        <v>857897</v>
      </c>
      <c r="D180" t="str">
        <f t="shared" si="82"/>
        <v>Опора контактной сети</v>
      </c>
      <c r="E180" t="str">
        <f>"08/223 (21)"</f>
        <v>08/223 (21)</v>
      </c>
      <c r="F180" t="str">
        <f>""</f>
        <v/>
      </c>
      <c r="G180" t="str">
        <f t="shared" si="76"/>
        <v>_МС (CAB_MS)</v>
      </c>
      <c r="H180" t="str">
        <f t="shared" si="79"/>
        <v>МС 3.1</v>
      </c>
      <c r="I180" t="str">
        <f t="shared" si="83"/>
        <v>17.04.2013</v>
      </c>
      <c r="J180" t="str">
        <f>""</f>
        <v/>
      </c>
      <c r="K180" t="str">
        <f t="shared" si="84"/>
        <v>КСК-00506725</v>
      </c>
      <c r="L180" t="str">
        <f t="shared" si="85"/>
        <v>МУП "Курскэлектротранс"</v>
      </c>
      <c r="M180" t="str">
        <f t="shared" si="86"/>
        <v>Да</v>
      </c>
      <c r="N180" t="str">
        <f t="shared" si="81"/>
        <v>Да</v>
      </c>
      <c r="O180" t="str">
        <f t="shared" si="87"/>
        <v>[46/2941] М 3.1.28 - М 3.1.27</v>
      </c>
      <c r="P180">
        <v>36.185958087444298</v>
      </c>
      <c r="Q180">
        <v>51.761684619915599</v>
      </c>
      <c r="R180" t="str">
        <f>""</f>
        <v/>
      </c>
    </row>
    <row r="181" spans="1:18" x14ac:dyDescent="0.25">
      <c r="A181">
        <v>907</v>
      </c>
      <c r="B181" t="str">
        <f t="shared" si="67"/>
        <v>Курск</v>
      </c>
      <c r="C181">
        <v>857896</v>
      </c>
      <c r="D181" t="str">
        <f t="shared" si="82"/>
        <v>Опора контактной сети</v>
      </c>
      <c r="E181" t="str">
        <f>"08/223 (19)"</f>
        <v>08/223 (19)</v>
      </c>
      <c r="F181" t="str">
        <f>""</f>
        <v/>
      </c>
      <c r="G181" t="str">
        <f t="shared" si="76"/>
        <v>_МС (CAB_MS)</v>
      </c>
      <c r="H181" t="str">
        <f t="shared" si="79"/>
        <v>МС 3.1</v>
      </c>
      <c r="I181" t="str">
        <f t="shared" si="83"/>
        <v>17.04.2013</v>
      </c>
      <c r="J181" t="str">
        <f>""</f>
        <v/>
      </c>
      <c r="K181" t="str">
        <f t="shared" si="84"/>
        <v>КСК-00506725</v>
      </c>
      <c r="L181" t="str">
        <f t="shared" si="85"/>
        <v>МУП "Курскэлектротранс"</v>
      </c>
      <c r="M181" t="str">
        <f t="shared" si="86"/>
        <v>Да</v>
      </c>
      <c r="N181" t="str">
        <f t="shared" si="81"/>
        <v>Да</v>
      </c>
      <c r="O181" t="str">
        <f t="shared" si="87"/>
        <v>[46/2941] М 3.1.28 - М 3.1.27</v>
      </c>
      <c r="P181">
        <v>36.185641586780498</v>
      </c>
      <c r="Q181">
        <v>51.762215851917297</v>
      </c>
      <c r="R181" t="str">
        <f>""</f>
        <v/>
      </c>
    </row>
    <row r="182" spans="1:18" x14ac:dyDescent="0.25">
      <c r="A182">
        <v>907</v>
      </c>
      <c r="B182" t="str">
        <f t="shared" si="67"/>
        <v>Курск</v>
      </c>
      <c r="C182">
        <v>857895</v>
      </c>
      <c r="D182" t="str">
        <f t="shared" si="82"/>
        <v>Опора контактной сети</v>
      </c>
      <c r="E182" t="str">
        <f>"08/223 (20)"</f>
        <v>08/223 (20)</v>
      </c>
      <c r="F182" t="str">
        <f>""</f>
        <v/>
      </c>
      <c r="G182" t="str">
        <f t="shared" si="76"/>
        <v>_МС (CAB_MS)</v>
      </c>
      <c r="H182" t="str">
        <f t="shared" si="79"/>
        <v>МС 3.1</v>
      </c>
      <c r="I182" t="str">
        <f t="shared" si="83"/>
        <v>17.04.2013</v>
      </c>
      <c r="J182" t="str">
        <f>""</f>
        <v/>
      </c>
      <c r="K182" t="str">
        <f t="shared" si="84"/>
        <v>КСК-00506725</v>
      </c>
      <c r="L182" t="str">
        <f t="shared" si="85"/>
        <v>МУП "Курскэлектротранс"</v>
      </c>
      <c r="M182" t="str">
        <f t="shared" si="86"/>
        <v>Да</v>
      </c>
      <c r="N182" t="str">
        <f t="shared" si="81"/>
        <v>Да</v>
      </c>
      <c r="O182" t="str">
        <f t="shared" si="87"/>
        <v>[46/2941] М 3.1.28 - М 3.1.27</v>
      </c>
      <c r="P182">
        <v>36.1858246475458</v>
      </c>
      <c r="Q182">
        <v>51.761938200971201</v>
      </c>
      <c r="R182" t="str">
        <f>""</f>
        <v/>
      </c>
    </row>
    <row r="183" spans="1:18" x14ac:dyDescent="0.25">
      <c r="A183">
        <v>907</v>
      </c>
      <c r="B183" t="str">
        <f t="shared" si="67"/>
        <v>Курск</v>
      </c>
      <c r="C183">
        <v>857893</v>
      </c>
      <c r="D183" t="str">
        <f t="shared" si="82"/>
        <v>Опора контактной сети</v>
      </c>
      <c r="E183" t="str">
        <f>"08/223 (17)"</f>
        <v>08/223 (17)</v>
      </c>
      <c r="F183" t="str">
        <f>""</f>
        <v/>
      </c>
      <c r="G183" t="str">
        <f t="shared" si="76"/>
        <v>_МС (CAB_MS)</v>
      </c>
      <c r="H183" t="str">
        <f t="shared" si="79"/>
        <v>МС 3.1</v>
      </c>
      <c r="I183" t="str">
        <f t="shared" si="83"/>
        <v>17.04.2013</v>
      </c>
      <c r="J183" t="str">
        <f>""</f>
        <v/>
      </c>
      <c r="K183" t="str">
        <f t="shared" si="84"/>
        <v>КСК-00506725</v>
      </c>
      <c r="L183" t="str">
        <f t="shared" si="85"/>
        <v>МУП "Курскэлектротранс"</v>
      </c>
      <c r="M183" t="str">
        <f t="shared" si="86"/>
        <v>Да</v>
      </c>
      <c r="N183" t="str">
        <f t="shared" si="81"/>
        <v>Да</v>
      </c>
      <c r="O183" t="str">
        <f t="shared" si="87"/>
        <v>[46/2941] М 3.1.28 - М 3.1.27</v>
      </c>
      <c r="P183">
        <v>36.185394823551199</v>
      </c>
      <c r="Q183">
        <v>51.762713876242103</v>
      </c>
      <c r="R183" t="str">
        <f>""</f>
        <v/>
      </c>
    </row>
    <row r="184" spans="1:18" x14ac:dyDescent="0.25">
      <c r="A184">
        <v>907</v>
      </c>
      <c r="B184" t="str">
        <f t="shared" si="67"/>
        <v>Курск</v>
      </c>
      <c r="C184">
        <v>857892</v>
      </c>
      <c r="D184" t="str">
        <f t="shared" si="82"/>
        <v>Опора контактной сети</v>
      </c>
      <c r="E184" t="str">
        <f>"08/223 (16)"</f>
        <v>08/223 (16)</v>
      </c>
      <c r="F184" t="str">
        <f>""</f>
        <v/>
      </c>
      <c r="G184" t="str">
        <f t="shared" si="76"/>
        <v>_МС (CAB_MS)</v>
      </c>
      <c r="H184" t="str">
        <f t="shared" si="79"/>
        <v>МС 3.1</v>
      </c>
      <c r="I184" t="str">
        <f t="shared" si="83"/>
        <v>17.04.2013</v>
      </c>
      <c r="J184" t="str">
        <f>""</f>
        <v/>
      </c>
      <c r="K184" t="str">
        <f t="shared" si="84"/>
        <v>КСК-00506725</v>
      </c>
      <c r="L184" t="str">
        <f t="shared" si="85"/>
        <v>МУП "Курскэлектротранс"</v>
      </c>
      <c r="M184" t="str">
        <f t="shared" si="86"/>
        <v>Да</v>
      </c>
      <c r="N184" t="str">
        <f t="shared" si="81"/>
        <v>Да</v>
      </c>
      <c r="O184" t="str">
        <f t="shared" si="87"/>
        <v>[46/2941] М 3.1.28 - М 3.1.27</v>
      </c>
      <c r="P184">
        <v>36.185292899608598</v>
      </c>
      <c r="Q184">
        <v>51.762942965586703</v>
      </c>
      <c r="R184" t="str">
        <f>""</f>
        <v/>
      </c>
    </row>
    <row r="185" spans="1:18" x14ac:dyDescent="0.25">
      <c r="A185">
        <v>907</v>
      </c>
      <c r="B185" t="str">
        <f t="shared" si="67"/>
        <v>Курск</v>
      </c>
      <c r="C185">
        <v>857891</v>
      </c>
      <c r="D185" t="str">
        <f t="shared" si="82"/>
        <v>Опора контактной сети</v>
      </c>
      <c r="E185" t="str">
        <f>"08/223 (15)"</f>
        <v>08/223 (15)</v>
      </c>
      <c r="F185" t="str">
        <f>""</f>
        <v/>
      </c>
      <c r="G185" t="str">
        <f t="shared" si="76"/>
        <v>_МС (CAB_MS)</v>
      </c>
      <c r="H185" t="str">
        <f t="shared" si="79"/>
        <v>МС 3.1</v>
      </c>
      <c r="I185" t="str">
        <f t="shared" si="83"/>
        <v>17.04.2013</v>
      </c>
      <c r="J185" t="str">
        <f>""</f>
        <v/>
      </c>
      <c r="K185" t="str">
        <f t="shared" si="84"/>
        <v>КСК-00506725</v>
      </c>
      <c r="L185" t="str">
        <f t="shared" si="85"/>
        <v>МУП "Курскэлектротранс"</v>
      </c>
      <c r="M185" t="str">
        <f t="shared" si="86"/>
        <v>Да</v>
      </c>
      <c r="N185" t="str">
        <f t="shared" si="81"/>
        <v>Да</v>
      </c>
      <c r="O185" t="str">
        <f t="shared" si="87"/>
        <v>[46/2941] М 3.1.28 - М 3.1.27</v>
      </c>
      <c r="P185">
        <v>36.185148060321801</v>
      </c>
      <c r="Q185">
        <v>51.763191974425403</v>
      </c>
      <c r="R185" t="str">
        <f>""</f>
        <v/>
      </c>
    </row>
    <row r="186" spans="1:18" x14ac:dyDescent="0.25">
      <c r="A186">
        <v>907</v>
      </c>
      <c r="B186" t="str">
        <f t="shared" si="67"/>
        <v>Курск</v>
      </c>
      <c r="C186">
        <v>857890</v>
      </c>
      <c r="D186" t="str">
        <f t="shared" si="82"/>
        <v>Опора контактной сети</v>
      </c>
      <c r="E186" t="str">
        <f>"08/223 (13)"</f>
        <v>08/223 (13)</v>
      </c>
      <c r="F186" t="str">
        <f>""</f>
        <v/>
      </c>
      <c r="G186" t="str">
        <f t="shared" si="76"/>
        <v>_МС (CAB_MS)</v>
      </c>
      <c r="H186" t="str">
        <f t="shared" si="79"/>
        <v>МС 3.1</v>
      </c>
      <c r="I186" t="str">
        <f t="shared" si="83"/>
        <v>17.04.2013</v>
      </c>
      <c r="J186" t="str">
        <f>""</f>
        <v/>
      </c>
      <c r="K186" t="str">
        <f t="shared" si="84"/>
        <v>КСК-00506725</v>
      </c>
      <c r="L186" t="str">
        <f t="shared" si="85"/>
        <v>МУП "Курскэлектротранс"</v>
      </c>
      <c r="M186" t="str">
        <f t="shared" si="86"/>
        <v>Да</v>
      </c>
      <c r="N186" t="str">
        <f t="shared" si="81"/>
        <v>Да</v>
      </c>
      <c r="O186" t="str">
        <f t="shared" si="87"/>
        <v>[46/2941] М 3.1.28 - М 3.1.27</v>
      </c>
      <c r="P186">
        <v>36.184895932674401</v>
      </c>
      <c r="Q186">
        <v>51.763693308054599</v>
      </c>
      <c r="R186" t="str">
        <f>""</f>
        <v/>
      </c>
    </row>
    <row r="187" spans="1:18" x14ac:dyDescent="0.25">
      <c r="A187">
        <v>907</v>
      </c>
      <c r="B187" t="str">
        <f t="shared" si="67"/>
        <v>Курск</v>
      </c>
      <c r="C187">
        <v>857889</v>
      </c>
      <c r="D187" t="str">
        <f t="shared" si="82"/>
        <v>Опора контактной сети</v>
      </c>
      <c r="E187" t="str">
        <f>"08/223 (14)"</f>
        <v>08/223 (14)</v>
      </c>
      <c r="F187" t="str">
        <f>""</f>
        <v/>
      </c>
      <c r="G187" t="str">
        <f t="shared" si="76"/>
        <v>_МС (CAB_MS)</v>
      </c>
      <c r="H187" t="str">
        <f t="shared" si="79"/>
        <v>МС 3.1</v>
      </c>
      <c r="I187" t="str">
        <f t="shared" si="83"/>
        <v>17.04.2013</v>
      </c>
      <c r="J187" t="str">
        <f>""</f>
        <v/>
      </c>
      <c r="K187" t="str">
        <f t="shared" si="84"/>
        <v>КСК-00506725</v>
      </c>
      <c r="L187" t="str">
        <f t="shared" si="85"/>
        <v>МУП "Курскэлектротранс"</v>
      </c>
      <c r="M187" t="str">
        <f t="shared" si="86"/>
        <v>Да</v>
      </c>
      <c r="N187" t="str">
        <f t="shared" si="81"/>
        <v>Да</v>
      </c>
      <c r="O187" t="str">
        <f t="shared" si="87"/>
        <v>[46/2941] М 3.1.28 - М 3.1.27</v>
      </c>
      <c r="P187">
        <v>36.184992492198901</v>
      </c>
      <c r="Q187">
        <v>51.763444301981004</v>
      </c>
      <c r="R187" t="str">
        <f>""</f>
        <v/>
      </c>
    </row>
    <row r="188" spans="1:18" x14ac:dyDescent="0.25">
      <c r="A188">
        <v>907</v>
      </c>
      <c r="B188" t="str">
        <f t="shared" si="67"/>
        <v>Курск</v>
      </c>
      <c r="C188">
        <v>857887</v>
      </c>
      <c r="D188" t="str">
        <f t="shared" si="82"/>
        <v>Опора контактной сети</v>
      </c>
      <c r="E188" t="str">
        <f>"08/223 (12)"</f>
        <v>08/223 (12)</v>
      </c>
      <c r="F188" t="str">
        <f>""</f>
        <v/>
      </c>
      <c r="G188" t="str">
        <f t="shared" si="76"/>
        <v>_МС (CAB_MS)</v>
      </c>
      <c r="H188" t="str">
        <f t="shared" si="79"/>
        <v>МС 3.1</v>
      </c>
      <c r="I188" t="str">
        <f t="shared" si="83"/>
        <v>17.04.2013</v>
      </c>
      <c r="J188" t="str">
        <f>""</f>
        <v/>
      </c>
      <c r="K188" t="str">
        <f t="shared" si="84"/>
        <v>КСК-00506725</v>
      </c>
      <c r="L188" t="str">
        <f t="shared" si="85"/>
        <v>МУП "Курскэлектротранс"</v>
      </c>
      <c r="M188" t="str">
        <f t="shared" si="86"/>
        <v>Да</v>
      </c>
      <c r="N188" t="str">
        <f t="shared" si="81"/>
        <v>Да</v>
      </c>
      <c r="O188" t="str">
        <f t="shared" si="87"/>
        <v>[46/2941] М 3.1.28 - М 3.1.27</v>
      </c>
      <c r="P188">
        <v>36.184751093387597</v>
      </c>
      <c r="Q188">
        <v>51.763962233071503</v>
      </c>
      <c r="R188" t="str">
        <f>""</f>
        <v/>
      </c>
    </row>
    <row r="189" spans="1:18" x14ac:dyDescent="0.25">
      <c r="A189">
        <v>907</v>
      </c>
      <c r="B189" t="str">
        <f t="shared" si="67"/>
        <v>Курск</v>
      </c>
      <c r="C189">
        <v>857886</v>
      </c>
      <c r="D189" t="str">
        <f t="shared" si="82"/>
        <v>Опора контактной сети</v>
      </c>
      <c r="E189" t="str">
        <f>"08/223 (11)"</f>
        <v>08/223 (11)</v>
      </c>
      <c r="F189" t="str">
        <f>""</f>
        <v/>
      </c>
      <c r="G189" t="str">
        <f t="shared" si="76"/>
        <v>_МС (CAB_MS)</v>
      </c>
      <c r="H189" t="str">
        <f t="shared" si="79"/>
        <v>МС 3.1</v>
      </c>
      <c r="I189" t="str">
        <f t="shared" si="83"/>
        <v>17.04.2013</v>
      </c>
      <c r="J189" t="str">
        <f>""</f>
        <v/>
      </c>
      <c r="K189" t="str">
        <f t="shared" si="84"/>
        <v>КСК-00506725</v>
      </c>
      <c r="L189" t="str">
        <f t="shared" si="85"/>
        <v>МУП "Курскэлектротранс"</v>
      </c>
      <c r="M189" t="str">
        <f t="shared" si="86"/>
        <v>Да</v>
      </c>
      <c r="N189" t="str">
        <f t="shared" si="81"/>
        <v>Да</v>
      </c>
      <c r="O189" t="str">
        <f t="shared" si="87"/>
        <v>[46/2941] М 3.1.28 - М 3.1.27</v>
      </c>
      <c r="P189">
        <v>36.184611618518801</v>
      </c>
      <c r="Q189">
        <v>51.7641913160817</v>
      </c>
      <c r="R189" t="str">
        <f>""</f>
        <v/>
      </c>
    </row>
    <row r="190" spans="1:18" x14ac:dyDescent="0.25">
      <c r="A190">
        <v>907</v>
      </c>
      <c r="B190" t="str">
        <f t="shared" si="67"/>
        <v>Курск</v>
      </c>
      <c r="C190">
        <v>857885</v>
      </c>
      <c r="D190" t="str">
        <f t="shared" si="82"/>
        <v>Опора контактной сети</v>
      </c>
      <c r="E190" t="str">
        <f>"08/223 (10)"</f>
        <v>08/223 (10)</v>
      </c>
      <c r="F190" t="str">
        <f>""</f>
        <v/>
      </c>
      <c r="G190" t="str">
        <f t="shared" si="76"/>
        <v>_МС (CAB_MS)</v>
      </c>
      <c r="H190" t="str">
        <f t="shared" si="79"/>
        <v>МС 3.1</v>
      </c>
      <c r="I190" t="str">
        <f t="shared" si="83"/>
        <v>17.04.2013</v>
      </c>
      <c r="J190" t="str">
        <f>""</f>
        <v/>
      </c>
      <c r="K190" t="str">
        <f t="shared" si="84"/>
        <v>КСК-00506725</v>
      </c>
      <c r="L190" t="str">
        <f t="shared" si="85"/>
        <v>МУП "Курскэлектротранс"</v>
      </c>
      <c r="M190" t="str">
        <f t="shared" si="86"/>
        <v>Да</v>
      </c>
      <c r="N190" t="str">
        <f t="shared" si="81"/>
        <v>Да</v>
      </c>
      <c r="O190" t="str">
        <f t="shared" si="87"/>
        <v>[46/2941] М 3.1.28 - М 3.1.27</v>
      </c>
      <c r="P190">
        <v>36.184461414814002</v>
      </c>
      <c r="Q190">
        <v>51.7644701981772</v>
      </c>
      <c r="R190" t="str">
        <f>""</f>
        <v/>
      </c>
    </row>
    <row r="191" spans="1:18" x14ac:dyDescent="0.25">
      <c r="A191">
        <v>907</v>
      </c>
      <c r="B191" t="str">
        <f t="shared" si="67"/>
        <v>Курск</v>
      </c>
      <c r="C191">
        <v>857883</v>
      </c>
      <c r="D191" t="str">
        <f t="shared" si="82"/>
        <v>Опора контактной сети</v>
      </c>
      <c r="E191" t="str">
        <f>"08/223 (9)"</f>
        <v>08/223 (9)</v>
      </c>
      <c r="F191" t="str">
        <f>""</f>
        <v/>
      </c>
      <c r="G191" t="str">
        <f t="shared" si="76"/>
        <v>_МС (CAB_MS)</v>
      </c>
      <c r="H191" t="str">
        <f t="shared" si="79"/>
        <v>МС 3.1</v>
      </c>
      <c r="I191" t="str">
        <f t="shared" si="83"/>
        <v>17.04.2013</v>
      </c>
      <c r="J191" t="str">
        <f>""</f>
        <v/>
      </c>
      <c r="K191" t="str">
        <f t="shared" si="84"/>
        <v>КСК-00506725</v>
      </c>
      <c r="L191" t="str">
        <f t="shared" si="85"/>
        <v>МУП "Курскэлектротранс"</v>
      </c>
      <c r="M191" t="str">
        <f t="shared" si="86"/>
        <v>Да</v>
      </c>
      <c r="N191" t="str">
        <f t="shared" si="81"/>
        <v>Да</v>
      </c>
      <c r="O191" t="str">
        <f t="shared" si="87"/>
        <v>[46/2941] М 3.1.28 - М 3.1.27</v>
      </c>
      <c r="P191">
        <v>36.1843273043633</v>
      </c>
      <c r="Q191">
        <v>51.764719198592402</v>
      </c>
      <c r="R191" t="str">
        <f>""</f>
        <v/>
      </c>
    </row>
    <row r="192" spans="1:18" x14ac:dyDescent="0.25">
      <c r="A192">
        <v>907</v>
      </c>
      <c r="B192" t="str">
        <f t="shared" si="67"/>
        <v>Курск</v>
      </c>
      <c r="C192">
        <v>857882</v>
      </c>
      <c r="D192" t="str">
        <f t="shared" si="82"/>
        <v>Опора контактной сети</v>
      </c>
      <c r="E192" t="str">
        <f>"08/223 (8)"</f>
        <v>08/223 (8)</v>
      </c>
      <c r="F192" t="str">
        <f>""</f>
        <v/>
      </c>
      <c r="G192" t="str">
        <f t="shared" si="76"/>
        <v>_МС (CAB_MS)</v>
      </c>
      <c r="H192" t="str">
        <f t="shared" si="79"/>
        <v>МС 3.1</v>
      </c>
      <c r="I192" t="str">
        <f t="shared" si="83"/>
        <v>17.04.2013</v>
      </c>
      <c r="J192" t="str">
        <f>""</f>
        <v/>
      </c>
      <c r="K192" t="str">
        <f t="shared" si="84"/>
        <v>КСК-00506725</v>
      </c>
      <c r="L192" t="str">
        <f t="shared" si="85"/>
        <v>МУП "Курскэлектротранс"</v>
      </c>
      <c r="M192" t="str">
        <f t="shared" si="86"/>
        <v>Да</v>
      </c>
      <c r="N192" t="str">
        <f t="shared" si="81"/>
        <v>Да</v>
      </c>
      <c r="O192" t="str">
        <f t="shared" si="87"/>
        <v>[46/2941] М 3.1.28 - М 3.1.27</v>
      </c>
      <c r="P192">
        <v>36.184144914150203</v>
      </c>
      <c r="Q192">
        <v>51.765017997277901</v>
      </c>
      <c r="R192" t="str">
        <f>""</f>
        <v/>
      </c>
    </row>
    <row r="193" spans="1:18" x14ac:dyDescent="0.25">
      <c r="A193">
        <v>907</v>
      </c>
      <c r="B193" t="str">
        <f t="shared" si="67"/>
        <v>Курск</v>
      </c>
      <c r="C193">
        <v>938985</v>
      </c>
      <c r="D193" t="str">
        <f t="shared" ref="D193:D224" si="88">"Опора"</f>
        <v>Опора</v>
      </c>
      <c r="E193" t="str">
        <f t="shared" ref="E193:E233" si="89">"(Опора)"</f>
        <v>(Опора)</v>
      </c>
      <c r="F193" t="str">
        <f>""</f>
        <v/>
      </c>
      <c r="G193" t="str">
        <f t="shared" si="76"/>
        <v>_МС (CAB_MS)</v>
      </c>
      <c r="H193" t="str">
        <f t="shared" ref="H193:H233" si="90">"МС 3.4"</f>
        <v>МС 3.4</v>
      </c>
      <c r="I193" t="str">
        <f t="shared" ref="I193:I233" si="91">"16.03.2022"</f>
        <v>16.03.2022</v>
      </c>
      <c r="J193" t="str">
        <f>""</f>
        <v/>
      </c>
      <c r="K193" t="str">
        <f>"Отсутствует"</f>
        <v>Отсутствует</v>
      </c>
      <c r="L193" t="str">
        <f>"Не указан"</f>
        <v>Не указан</v>
      </c>
      <c r="M193" t="str">
        <f t="shared" ref="M193:N212" si="92">"Неизвестно"</f>
        <v>Неизвестно</v>
      </c>
      <c r="N193" t="str">
        <f t="shared" si="92"/>
        <v>Неизвестно</v>
      </c>
      <c r="O193" t="str">
        <f>"[46/2747] Р 3.4.6.3 - Р 3.4.6.4"</f>
        <v>[46/2747] Р 3.4.6.3 - Р 3.4.6.4</v>
      </c>
      <c r="P193">
        <v>36.196550799999997</v>
      </c>
      <c r="Q193">
        <v>51.73707572</v>
      </c>
      <c r="R193" t="str">
        <f>""</f>
        <v/>
      </c>
    </row>
    <row r="194" spans="1:18" x14ac:dyDescent="0.25">
      <c r="A194">
        <v>907</v>
      </c>
      <c r="B194" t="str">
        <f t="shared" ref="B194:B257" si="93">"Курск"</f>
        <v>Курск</v>
      </c>
      <c r="C194">
        <v>938903</v>
      </c>
      <c r="D194" t="str">
        <f t="shared" si="88"/>
        <v>Опора</v>
      </c>
      <c r="E194" t="str">
        <f t="shared" si="89"/>
        <v>(Опора)</v>
      </c>
      <c r="F194" t="str">
        <f>""</f>
        <v/>
      </c>
      <c r="G194" t="str">
        <f t="shared" si="76"/>
        <v>_МС (CAB_MS)</v>
      </c>
      <c r="H194" t="str">
        <f t="shared" si="90"/>
        <v>МС 3.4</v>
      </c>
      <c r="I194" t="str">
        <f t="shared" si="91"/>
        <v>16.03.2022</v>
      </c>
      <c r="J194" t="str">
        <f>""</f>
        <v/>
      </c>
      <c r="K194" t="str">
        <f>"ТУ № 1241/6"</f>
        <v>ТУ № 1241/6</v>
      </c>
      <c r="L194" t="str">
        <f>"ОАО ""Курские электрические сети"""</f>
        <v>ОАО "Курские электрические сети"</v>
      </c>
      <c r="M194" t="str">
        <f t="shared" si="92"/>
        <v>Неизвестно</v>
      </c>
      <c r="N194" t="str">
        <f t="shared" si="92"/>
        <v>Неизвестно</v>
      </c>
      <c r="O194" t="str">
        <f>"[46/2748] Р 3.4.6.3 - , [46/2747] Р 3.4.6.3 - Р 3.4.6.4"</f>
        <v>[46/2748] Р 3.4.6.3 - , [46/2747] Р 3.4.6.3 - Р 3.4.6.4</v>
      </c>
      <c r="P194">
        <v>36.196634950000004</v>
      </c>
      <c r="Q194">
        <v>51.737386739999998</v>
      </c>
      <c r="R194" t="str">
        <f>""</f>
        <v/>
      </c>
    </row>
    <row r="195" spans="1:18" x14ac:dyDescent="0.25">
      <c r="A195">
        <v>907</v>
      </c>
      <c r="B195" t="str">
        <f t="shared" si="93"/>
        <v>Курск</v>
      </c>
      <c r="C195">
        <v>938973</v>
      </c>
      <c r="D195" t="str">
        <f t="shared" si="88"/>
        <v>Опора</v>
      </c>
      <c r="E195" t="str">
        <f t="shared" si="89"/>
        <v>(Опора)</v>
      </c>
      <c r="F195" t="str">
        <f>""</f>
        <v/>
      </c>
      <c r="G195" t="str">
        <f t="shared" si="76"/>
        <v>_МС (CAB_MS)</v>
      </c>
      <c r="H195" t="str">
        <f t="shared" si="90"/>
        <v>МС 3.4</v>
      </c>
      <c r="I195" t="str">
        <f t="shared" si="91"/>
        <v>16.03.2022</v>
      </c>
      <c r="J195" t="str">
        <f>""</f>
        <v/>
      </c>
      <c r="K195" t="str">
        <f t="shared" ref="K195:K201" si="94">"Отсутствует"</f>
        <v>Отсутствует</v>
      </c>
      <c r="L195" t="str">
        <f t="shared" ref="L195:L201" si="95">"Не указан"</f>
        <v>Не указан</v>
      </c>
      <c r="M195" t="str">
        <f t="shared" si="92"/>
        <v>Неизвестно</v>
      </c>
      <c r="N195" t="str">
        <f t="shared" si="92"/>
        <v>Неизвестно</v>
      </c>
      <c r="O195" t="str">
        <f>"[46/2287] М 3.4.7 - ОК346-1 ППК3.4.6 Курск, Ленина, 43  п. 1"</f>
        <v>[46/2287] М 3.4.7 - ОК346-1 ППК3.4.6 Курск, Ленина, 43  п. 1</v>
      </c>
      <c r="P195">
        <v>36.194340325892</v>
      </c>
      <c r="Q195">
        <v>51.738838014216199</v>
      </c>
      <c r="R195" t="str">
        <f>""</f>
        <v/>
      </c>
    </row>
    <row r="196" spans="1:18" x14ac:dyDescent="0.25">
      <c r="A196">
        <v>907</v>
      </c>
      <c r="B196" t="str">
        <f t="shared" si="93"/>
        <v>Курск</v>
      </c>
      <c r="C196">
        <v>938972</v>
      </c>
      <c r="D196" t="str">
        <f t="shared" si="88"/>
        <v>Опора</v>
      </c>
      <c r="E196" t="str">
        <f t="shared" si="89"/>
        <v>(Опора)</v>
      </c>
      <c r="F196" t="str">
        <f>""</f>
        <v/>
      </c>
      <c r="G196" t="str">
        <f t="shared" si="76"/>
        <v>_МС (CAB_MS)</v>
      </c>
      <c r="H196" t="str">
        <f t="shared" si="90"/>
        <v>МС 3.4</v>
      </c>
      <c r="I196" t="str">
        <f t="shared" si="91"/>
        <v>16.03.2022</v>
      </c>
      <c r="J196" t="str">
        <f>""</f>
        <v/>
      </c>
      <c r="K196" t="str">
        <f t="shared" si="94"/>
        <v>Отсутствует</v>
      </c>
      <c r="L196" t="str">
        <f t="shared" si="95"/>
        <v>Не указан</v>
      </c>
      <c r="M196" t="str">
        <f t="shared" si="92"/>
        <v>Неизвестно</v>
      </c>
      <c r="N196" t="str">
        <f t="shared" si="92"/>
        <v>Неизвестно</v>
      </c>
      <c r="O196" t="str">
        <f>"[46/2730] М 3.4.7 - Р 3.4.6.11"</f>
        <v>[46/2730] М 3.4.7 - Р 3.4.6.11</v>
      </c>
      <c r="P196">
        <v>36.197156309999997</v>
      </c>
      <c r="Q196">
        <v>51.738751440000001</v>
      </c>
      <c r="R196" t="str">
        <f>""</f>
        <v/>
      </c>
    </row>
    <row r="197" spans="1:18" x14ac:dyDescent="0.25">
      <c r="A197">
        <v>907</v>
      </c>
      <c r="B197" t="str">
        <f t="shared" si="93"/>
        <v>Курск</v>
      </c>
      <c r="C197">
        <v>938971</v>
      </c>
      <c r="D197" t="str">
        <f t="shared" si="88"/>
        <v>Опора</v>
      </c>
      <c r="E197" t="str">
        <f t="shared" si="89"/>
        <v>(Опора)</v>
      </c>
      <c r="F197" t="str">
        <f>""</f>
        <v/>
      </c>
      <c r="G197" t="str">
        <f t="shared" si="76"/>
        <v>_МС (CAB_MS)</v>
      </c>
      <c r="H197" t="str">
        <f t="shared" si="90"/>
        <v>МС 3.4</v>
      </c>
      <c r="I197" t="str">
        <f t="shared" si="91"/>
        <v>16.03.2022</v>
      </c>
      <c r="J197" t="str">
        <f>""</f>
        <v/>
      </c>
      <c r="K197" t="str">
        <f t="shared" si="94"/>
        <v>Отсутствует</v>
      </c>
      <c r="L197" t="str">
        <f t="shared" si="95"/>
        <v>Не указан</v>
      </c>
      <c r="M197" t="str">
        <f t="shared" si="92"/>
        <v>Неизвестно</v>
      </c>
      <c r="N197" t="str">
        <f t="shared" si="92"/>
        <v>Неизвестно</v>
      </c>
      <c r="O197" t="str">
        <f>"[46/2730] М 3.4.7 - Р 3.4.6.11"</f>
        <v>[46/2730] М 3.4.7 - Р 3.4.6.11</v>
      </c>
      <c r="P197">
        <v>36.196466979999997</v>
      </c>
      <c r="Q197">
        <v>51.738768880000002</v>
      </c>
      <c r="R197" t="str">
        <f>""</f>
        <v/>
      </c>
    </row>
    <row r="198" spans="1:18" x14ac:dyDescent="0.25">
      <c r="A198">
        <v>907</v>
      </c>
      <c r="B198" t="str">
        <f t="shared" si="93"/>
        <v>Курск</v>
      </c>
      <c r="C198">
        <v>938970</v>
      </c>
      <c r="D198" t="str">
        <f t="shared" si="88"/>
        <v>Опора</v>
      </c>
      <c r="E198" t="str">
        <f t="shared" si="89"/>
        <v>(Опора)</v>
      </c>
      <c r="F198" t="str">
        <f>""</f>
        <v/>
      </c>
      <c r="G198" t="str">
        <f t="shared" si="76"/>
        <v>_МС (CAB_MS)</v>
      </c>
      <c r="H198" t="str">
        <f t="shared" si="90"/>
        <v>МС 3.4</v>
      </c>
      <c r="I198" t="str">
        <f t="shared" si="91"/>
        <v>16.03.2022</v>
      </c>
      <c r="J198" t="str">
        <f>""</f>
        <v/>
      </c>
      <c r="K198" t="str">
        <f t="shared" si="94"/>
        <v>Отсутствует</v>
      </c>
      <c r="L198" t="str">
        <f t="shared" si="95"/>
        <v>Не указан</v>
      </c>
      <c r="M198" t="str">
        <f t="shared" si="92"/>
        <v>Неизвестно</v>
      </c>
      <c r="N198" t="str">
        <f t="shared" si="92"/>
        <v>Неизвестно</v>
      </c>
      <c r="O198" t="str">
        <f>"[46/2730] М 3.4.7 - Р 3.4.6.11, [46/4581] Р 3.4.6.11 - Р 3.4.6.12"</f>
        <v>[46/2730] М 3.4.7 - Р 3.4.6.11, [46/4581] Р 3.4.6.11 - Р 3.4.6.12</v>
      </c>
      <c r="P198">
        <v>36.19709864</v>
      </c>
      <c r="Q198">
        <v>51.738454949999998</v>
      </c>
      <c r="R198" t="str">
        <f>""</f>
        <v/>
      </c>
    </row>
    <row r="199" spans="1:18" x14ac:dyDescent="0.25">
      <c r="A199">
        <v>907</v>
      </c>
      <c r="B199" t="str">
        <f t="shared" si="93"/>
        <v>Курск</v>
      </c>
      <c r="C199">
        <v>938969</v>
      </c>
      <c r="D199" t="str">
        <f t="shared" si="88"/>
        <v>Опора</v>
      </c>
      <c r="E199" t="str">
        <f t="shared" si="89"/>
        <v>(Опора)</v>
      </c>
      <c r="F199" t="str">
        <f>""</f>
        <v/>
      </c>
      <c r="G199" t="str">
        <f t="shared" si="76"/>
        <v>_МС (CAB_MS)</v>
      </c>
      <c r="H199" t="str">
        <f t="shared" si="90"/>
        <v>МС 3.4</v>
      </c>
      <c r="I199" t="str">
        <f t="shared" si="91"/>
        <v>16.03.2022</v>
      </c>
      <c r="J199" t="str">
        <f>""</f>
        <v/>
      </c>
      <c r="K199" t="str">
        <f t="shared" si="94"/>
        <v>Отсутствует</v>
      </c>
      <c r="L199" t="str">
        <f t="shared" si="95"/>
        <v>Не указан</v>
      </c>
      <c r="M199" t="str">
        <f t="shared" si="92"/>
        <v>Неизвестно</v>
      </c>
      <c r="N199" t="str">
        <f t="shared" si="92"/>
        <v>Неизвестно</v>
      </c>
      <c r="O199" t="str">
        <f>"[46/3032] М 3.4.7 - Р 3.4.6.8, [46/2730] М 3.4.7 - Р 3.4.6.11"</f>
        <v>[46/3032] М 3.4.7 - Р 3.4.6.8, [46/2730] М 3.4.7 - Р 3.4.6.11</v>
      </c>
      <c r="P199">
        <v>36.195838000000002</v>
      </c>
      <c r="Q199">
        <v>51.738816210000003</v>
      </c>
      <c r="R199" t="str">
        <f>""</f>
        <v/>
      </c>
    </row>
    <row r="200" spans="1:18" x14ac:dyDescent="0.25">
      <c r="A200">
        <v>907</v>
      </c>
      <c r="B200" t="str">
        <f t="shared" si="93"/>
        <v>Курск</v>
      </c>
      <c r="C200">
        <v>938968</v>
      </c>
      <c r="D200" t="str">
        <f t="shared" si="88"/>
        <v>Опора</v>
      </c>
      <c r="E200" t="str">
        <f t="shared" si="89"/>
        <v>(Опора)</v>
      </c>
      <c r="F200" t="str">
        <f>""</f>
        <v/>
      </c>
      <c r="G200" t="str">
        <f t="shared" si="76"/>
        <v>_МС (CAB_MS)</v>
      </c>
      <c r="H200" t="str">
        <f t="shared" si="90"/>
        <v>МС 3.4</v>
      </c>
      <c r="I200" t="str">
        <f t="shared" si="91"/>
        <v>16.03.2022</v>
      </c>
      <c r="J200" t="str">
        <f>""</f>
        <v/>
      </c>
      <c r="K200" t="str">
        <f t="shared" si="94"/>
        <v>Отсутствует</v>
      </c>
      <c r="L200" t="str">
        <f t="shared" si="95"/>
        <v>Не указан</v>
      </c>
      <c r="M200" t="str">
        <f t="shared" si="92"/>
        <v>Неизвестно</v>
      </c>
      <c r="N200" t="str">
        <f t="shared" si="92"/>
        <v>Неизвестно</v>
      </c>
      <c r="O200" t="str">
        <f>"[46/2730] М 3.4.7 - Р 3.4.6.11"</f>
        <v>[46/2730] М 3.4.7 - Р 3.4.6.11</v>
      </c>
      <c r="P200">
        <v>36.195450430000001</v>
      </c>
      <c r="Q200">
        <v>51.738826179999997</v>
      </c>
      <c r="R200" t="str">
        <f>""</f>
        <v/>
      </c>
    </row>
    <row r="201" spans="1:18" x14ac:dyDescent="0.25">
      <c r="A201">
        <v>907</v>
      </c>
      <c r="B201" t="str">
        <f t="shared" si="93"/>
        <v>Курск</v>
      </c>
      <c r="C201">
        <v>938967</v>
      </c>
      <c r="D201" t="str">
        <f t="shared" si="88"/>
        <v>Опора</v>
      </c>
      <c r="E201" t="str">
        <f t="shared" si="89"/>
        <v>(Опора)</v>
      </c>
      <c r="F201" t="str">
        <f>""</f>
        <v/>
      </c>
      <c r="G201" t="str">
        <f t="shared" si="76"/>
        <v>_МС (CAB_MS)</v>
      </c>
      <c r="H201" t="str">
        <f t="shared" si="90"/>
        <v>МС 3.4</v>
      </c>
      <c r="I201" t="str">
        <f t="shared" si="91"/>
        <v>16.03.2022</v>
      </c>
      <c r="J201" t="str">
        <f>""</f>
        <v/>
      </c>
      <c r="K201" t="str">
        <f t="shared" si="94"/>
        <v>Отсутствует</v>
      </c>
      <c r="L201" t="str">
        <f t="shared" si="95"/>
        <v>Не указан</v>
      </c>
      <c r="M201" t="str">
        <f t="shared" si="92"/>
        <v>Неизвестно</v>
      </c>
      <c r="N201" t="str">
        <f t="shared" si="92"/>
        <v>Неизвестно</v>
      </c>
      <c r="O201" t="str">
        <f>"[46/2730] М 3.4.7 - Р 3.4.6.11, [46/2287] М 3.4.7 - ОК346-1 ППК3.4.6 Курск, Ленина, 43  п. 1"</f>
        <v>[46/2730] М 3.4.7 - Р 3.4.6.11, [46/2287] М 3.4.7 - ОК346-1 ППК3.4.6 Курск, Ленина, 43  п. 1</v>
      </c>
      <c r="P201">
        <v>36.195035349999998</v>
      </c>
      <c r="Q201">
        <v>51.738829500000001</v>
      </c>
      <c r="R201" t="str">
        <f>""</f>
        <v/>
      </c>
    </row>
    <row r="202" spans="1:18" x14ac:dyDescent="0.25">
      <c r="A202">
        <v>907</v>
      </c>
      <c r="B202" t="str">
        <f t="shared" si="93"/>
        <v>Курск</v>
      </c>
      <c r="C202">
        <v>938958</v>
      </c>
      <c r="D202" t="str">
        <f t="shared" si="88"/>
        <v>Опора</v>
      </c>
      <c r="E202" t="str">
        <f t="shared" si="89"/>
        <v>(Опора)</v>
      </c>
      <c r="F202" t="str">
        <f>""</f>
        <v/>
      </c>
      <c r="G202" t="str">
        <f t="shared" si="76"/>
        <v>_МС (CAB_MS)</v>
      </c>
      <c r="H202" t="str">
        <f t="shared" si="90"/>
        <v>МС 3.4</v>
      </c>
      <c r="I202" t="str">
        <f t="shared" si="91"/>
        <v>16.03.2022</v>
      </c>
      <c r="J202" t="str">
        <f>""</f>
        <v/>
      </c>
      <c r="K202" t="str">
        <f t="shared" ref="K202:K219" si="96">"ТУ № 1241/6"</f>
        <v>ТУ № 1241/6</v>
      </c>
      <c r="L202" t="str">
        <f t="shared" ref="L202:L219" si="97">"ОАО ""Курские электрические сети"""</f>
        <v>ОАО "Курские электрические сети"</v>
      </c>
      <c r="M202" t="str">
        <f t="shared" si="92"/>
        <v>Неизвестно</v>
      </c>
      <c r="N202" t="str">
        <f t="shared" si="92"/>
        <v>Неизвестно</v>
      </c>
      <c r="O202" t="str">
        <f>"[46/3008] Р 3.4.6.4 - Р 3.4.6.6"</f>
        <v>[46/3008] Р 3.4.6.4 - Р 3.4.6.6</v>
      </c>
      <c r="P202">
        <v>36.195834650000002</v>
      </c>
      <c r="Q202">
        <v>51.734132510000002</v>
      </c>
      <c r="R202" t="str">
        <f>""</f>
        <v/>
      </c>
    </row>
    <row r="203" spans="1:18" x14ac:dyDescent="0.25">
      <c r="A203">
        <v>907</v>
      </c>
      <c r="B203" t="str">
        <f t="shared" si="93"/>
        <v>Курск</v>
      </c>
      <c r="C203">
        <v>938957</v>
      </c>
      <c r="D203" t="str">
        <f t="shared" si="88"/>
        <v>Опора</v>
      </c>
      <c r="E203" t="str">
        <f t="shared" si="89"/>
        <v>(Опора)</v>
      </c>
      <c r="F203" t="str">
        <f>""</f>
        <v/>
      </c>
      <c r="G203" t="str">
        <f t="shared" si="76"/>
        <v>_МС (CAB_MS)</v>
      </c>
      <c r="H203" t="str">
        <f t="shared" si="90"/>
        <v>МС 3.4</v>
      </c>
      <c r="I203" t="str">
        <f t="shared" si="91"/>
        <v>16.03.2022</v>
      </c>
      <c r="J203" t="str">
        <f>""</f>
        <v/>
      </c>
      <c r="K203" t="str">
        <f t="shared" si="96"/>
        <v>ТУ № 1241/6</v>
      </c>
      <c r="L203" t="str">
        <f t="shared" si="97"/>
        <v>ОАО "Курские электрические сети"</v>
      </c>
      <c r="M203" t="str">
        <f t="shared" si="92"/>
        <v>Неизвестно</v>
      </c>
      <c r="N203" t="str">
        <f t="shared" si="92"/>
        <v>Неизвестно</v>
      </c>
      <c r="O203" t="str">
        <f>"[46/3008] Р 3.4.6.4 - Р 3.4.6.6"</f>
        <v>[46/3008] Р 3.4.6.4 - Р 3.4.6.6</v>
      </c>
      <c r="P203">
        <v>36.195727359999999</v>
      </c>
      <c r="Q203">
        <v>51.73378159</v>
      </c>
      <c r="R203" t="str">
        <f>""</f>
        <v/>
      </c>
    </row>
    <row r="204" spans="1:18" x14ac:dyDescent="0.25">
      <c r="A204">
        <v>907</v>
      </c>
      <c r="B204" t="str">
        <f t="shared" si="93"/>
        <v>Курск</v>
      </c>
      <c r="C204">
        <v>938951</v>
      </c>
      <c r="D204" t="str">
        <f t="shared" si="88"/>
        <v>Опора</v>
      </c>
      <c r="E204" t="str">
        <f t="shared" si="89"/>
        <v>(Опора)</v>
      </c>
      <c r="F204" t="str">
        <f>""</f>
        <v/>
      </c>
      <c r="G204" t="str">
        <f t="shared" si="76"/>
        <v>_МС (CAB_MS)</v>
      </c>
      <c r="H204" t="str">
        <f t="shared" si="90"/>
        <v>МС 3.4</v>
      </c>
      <c r="I204" t="str">
        <f t="shared" si="91"/>
        <v>16.03.2022</v>
      </c>
      <c r="J204" t="str">
        <f>""</f>
        <v/>
      </c>
      <c r="K204" t="str">
        <f t="shared" si="96"/>
        <v>ТУ № 1241/6</v>
      </c>
      <c r="L204" t="str">
        <f t="shared" si="97"/>
        <v>ОАО "Курские электрические сети"</v>
      </c>
      <c r="M204" t="str">
        <f t="shared" si="92"/>
        <v>Неизвестно</v>
      </c>
      <c r="N204" t="str">
        <f t="shared" si="92"/>
        <v>Неизвестно</v>
      </c>
      <c r="O204" t="str">
        <f>"[46/3010] Р 3.4.6.5 - ОК 8.2 ППК 3.4.6  Курск, Володарского, 6  п. 1"</f>
        <v>[46/3010] Р 3.4.6.5 - ОК 8.2 ППК 3.4.6  Курск, Володарского, 6  п. 1</v>
      </c>
      <c r="P204">
        <v>36.196730840000001</v>
      </c>
      <c r="Q204">
        <v>51.730386729999999</v>
      </c>
      <c r="R204" t="str">
        <f>""</f>
        <v/>
      </c>
    </row>
    <row r="205" spans="1:18" x14ac:dyDescent="0.25">
      <c r="A205">
        <v>907</v>
      </c>
      <c r="B205" t="str">
        <f t="shared" si="93"/>
        <v>Курск</v>
      </c>
      <c r="C205">
        <v>938950</v>
      </c>
      <c r="D205" t="str">
        <f t="shared" si="88"/>
        <v>Опора</v>
      </c>
      <c r="E205" t="str">
        <f t="shared" si="89"/>
        <v>(Опора)</v>
      </c>
      <c r="F205" t="str">
        <f>""</f>
        <v/>
      </c>
      <c r="G205" t="str">
        <f t="shared" si="76"/>
        <v>_МС (CAB_MS)</v>
      </c>
      <c r="H205" t="str">
        <f t="shared" si="90"/>
        <v>МС 3.4</v>
      </c>
      <c r="I205" t="str">
        <f t="shared" si="91"/>
        <v>16.03.2022</v>
      </c>
      <c r="J205" t="str">
        <f>""</f>
        <v/>
      </c>
      <c r="K205" t="str">
        <f t="shared" si="96"/>
        <v>ТУ № 1241/6</v>
      </c>
      <c r="L205" t="str">
        <f t="shared" si="97"/>
        <v>ОАО "Курские электрические сети"</v>
      </c>
      <c r="M205" t="str">
        <f t="shared" si="92"/>
        <v>Неизвестно</v>
      </c>
      <c r="N205" t="str">
        <f t="shared" si="92"/>
        <v>Неизвестно</v>
      </c>
      <c r="O205" t="str">
        <f>"[46/3104] Р 3.4.6.5 - ОК 15.2 ППК 3.4.6  Курск, Красная Пл, 7  п. 1, [46/3010] Р 3.4.6.5 - ОК 8.2 ППК 3.4.6  Курск, Володарского, 6  п. 1"</f>
        <v>[46/3104] Р 3.4.6.5 - ОК 15.2 ППК 3.4.6  Курск, Красная Пл, 7  п. 1, [46/3010] Р 3.4.6.5 - ОК 8.2 ППК 3.4.6  Курск, Володарского, 6  п. 1</v>
      </c>
      <c r="P205">
        <v>36.196820700000004</v>
      </c>
      <c r="Q205">
        <v>51.730574449999999</v>
      </c>
      <c r="R205" t="str">
        <f>""</f>
        <v/>
      </c>
    </row>
    <row r="206" spans="1:18" x14ac:dyDescent="0.25">
      <c r="A206">
        <v>907</v>
      </c>
      <c r="B206" t="str">
        <f t="shared" si="93"/>
        <v>Курск</v>
      </c>
      <c r="C206">
        <v>938949</v>
      </c>
      <c r="D206" t="str">
        <f t="shared" si="88"/>
        <v>Опора</v>
      </c>
      <c r="E206" t="str">
        <f t="shared" si="89"/>
        <v>(Опора)</v>
      </c>
      <c r="F206" t="str">
        <f>""</f>
        <v/>
      </c>
      <c r="G206" t="str">
        <f t="shared" si="76"/>
        <v>_МС (CAB_MS)</v>
      </c>
      <c r="H206" t="str">
        <f t="shared" si="90"/>
        <v>МС 3.4</v>
      </c>
      <c r="I206" t="str">
        <f t="shared" si="91"/>
        <v>16.03.2022</v>
      </c>
      <c r="J206" t="str">
        <f>""</f>
        <v/>
      </c>
      <c r="K206" t="str">
        <f t="shared" si="96"/>
        <v>ТУ № 1241/6</v>
      </c>
      <c r="L206" t="str">
        <f t="shared" si="97"/>
        <v>ОАО "Курские электрические сети"</v>
      </c>
      <c r="M206" t="str">
        <f t="shared" si="92"/>
        <v>Неизвестно</v>
      </c>
      <c r="N206" t="str">
        <f t="shared" si="92"/>
        <v>Неизвестно</v>
      </c>
      <c r="O206" t="str">
        <f>"[46/3104] Р 3.4.6.5 - ОК 15.2 ППК 3.4.6  Курск, Красная Пл, 7  п. 1, [46/3010] Р 3.4.6.5 - ОК 8.2 ППК 3.4.6  Курск, Володарского, 6  п. 1"</f>
        <v>[46/3104] Р 3.4.6.5 - ОК 15.2 ППК 3.4.6  Курск, Красная Пл, 7  п. 1, [46/3010] Р 3.4.6.5 - ОК 8.2 ППК 3.4.6  Курск, Володарского, 6  п. 1</v>
      </c>
      <c r="P206">
        <v>36.197017841041102</v>
      </c>
      <c r="Q206">
        <v>51.730938262282997</v>
      </c>
      <c r="R206" t="str">
        <f>""</f>
        <v/>
      </c>
    </row>
    <row r="207" spans="1:18" x14ac:dyDescent="0.25">
      <c r="A207">
        <v>907</v>
      </c>
      <c r="B207" t="str">
        <f t="shared" si="93"/>
        <v>Курск</v>
      </c>
      <c r="C207">
        <v>938948</v>
      </c>
      <c r="D207" t="str">
        <f t="shared" si="88"/>
        <v>Опора</v>
      </c>
      <c r="E207" t="str">
        <f t="shared" si="89"/>
        <v>(Опора)</v>
      </c>
      <c r="F207" t="str">
        <f>""</f>
        <v/>
      </c>
      <c r="G207" t="str">
        <f t="shared" si="76"/>
        <v>_МС (CAB_MS)</v>
      </c>
      <c r="H207" t="str">
        <f t="shared" si="90"/>
        <v>МС 3.4</v>
      </c>
      <c r="I207" t="str">
        <f t="shared" si="91"/>
        <v>16.03.2022</v>
      </c>
      <c r="J207" t="str">
        <f>""</f>
        <v/>
      </c>
      <c r="K207" t="str">
        <f t="shared" si="96"/>
        <v>ТУ № 1241/6</v>
      </c>
      <c r="L207" t="str">
        <f t="shared" si="97"/>
        <v>ОАО "Курские электрические сети"</v>
      </c>
      <c r="M207" t="str">
        <f t="shared" si="92"/>
        <v>Неизвестно</v>
      </c>
      <c r="N207" t="str">
        <f t="shared" si="92"/>
        <v>Неизвестно</v>
      </c>
      <c r="O207" t="str">
        <f>"[46/3104] Р 3.4.6.5 - ОК 15.2 ППК 3.4.6  Курск, Красная Пл, 7  п. 1, [46/3010] Р 3.4.6.5 - ОК 8.2 ППК 3.4.6  Курск, Володарского, 6  п. 1, [46/3011] Р 3.4.6.6 - Р 3.4.6.5"</f>
        <v>[46/3104] Р 3.4.6.5 - ОК 15.2 ППК 3.4.6  Курск, Красная Пл, 7  п. 1, [46/3010] Р 3.4.6.5 - ОК 8.2 ППК 3.4.6  Курск, Володарского, 6  п. 1, [46/3011] Р 3.4.6.6 - Р 3.4.6.5</v>
      </c>
      <c r="P207">
        <v>36.197068799999997</v>
      </c>
      <c r="Q207">
        <v>51.731219009999997</v>
      </c>
      <c r="R207" t="str">
        <f>""</f>
        <v/>
      </c>
    </row>
    <row r="208" spans="1:18" x14ac:dyDescent="0.25">
      <c r="A208">
        <v>907</v>
      </c>
      <c r="B208" t="str">
        <f t="shared" si="93"/>
        <v>Курск</v>
      </c>
      <c r="C208">
        <v>938947</v>
      </c>
      <c r="D208" t="str">
        <f t="shared" si="88"/>
        <v>Опора</v>
      </c>
      <c r="E208" t="str">
        <f t="shared" si="89"/>
        <v>(Опора)</v>
      </c>
      <c r="F208" t="str">
        <f>""</f>
        <v/>
      </c>
      <c r="G208" t="str">
        <f t="shared" ref="G208:G271" si="98">"_МС (CAB_MS)"</f>
        <v>_МС (CAB_MS)</v>
      </c>
      <c r="H208" t="str">
        <f t="shared" si="90"/>
        <v>МС 3.4</v>
      </c>
      <c r="I208" t="str">
        <f t="shared" si="91"/>
        <v>16.03.2022</v>
      </c>
      <c r="J208" t="str">
        <f>""</f>
        <v/>
      </c>
      <c r="K208" t="str">
        <f t="shared" si="96"/>
        <v>ТУ № 1241/6</v>
      </c>
      <c r="L208" t="str">
        <f t="shared" si="97"/>
        <v>ОАО "Курские электрические сети"</v>
      </c>
      <c r="M208" t="str">
        <f t="shared" si="92"/>
        <v>Неизвестно</v>
      </c>
      <c r="N208" t="str">
        <f t="shared" si="92"/>
        <v>Неизвестно</v>
      </c>
      <c r="O208" t="str">
        <f>"[46/3011] Р 3.4.6.6 - Р 3.4.6.5"</f>
        <v>[46/3011] Р 3.4.6.6 - Р 3.4.6.5</v>
      </c>
      <c r="P208">
        <v>36.196419710000001</v>
      </c>
      <c r="Q208">
        <v>51.731265530000002</v>
      </c>
      <c r="R208" t="str">
        <f>""</f>
        <v/>
      </c>
    </row>
    <row r="209" spans="1:18" x14ac:dyDescent="0.25">
      <c r="A209">
        <v>907</v>
      </c>
      <c r="B209" t="str">
        <f t="shared" si="93"/>
        <v>Курск</v>
      </c>
      <c r="C209">
        <v>938945</v>
      </c>
      <c r="D209" t="str">
        <f t="shared" si="88"/>
        <v>Опора</v>
      </c>
      <c r="E209" t="str">
        <f t="shared" si="89"/>
        <v>(Опора)</v>
      </c>
      <c r="F209" t="str">
        <f>""</f>
        <v/>
      </c>
      <c r="G209" t="str">
        <f t="shared" si="98"/>
        <v>_МС (CAB_MS)</v>
      </c>
      <c r="H209" t="str">
        <f t="shared" si="90"/>
        <v>МС 3.4</v>
      </c>
      <c r="I209" t="str">
        <f t="shared" si="91"/>
        <v>16.03.2022</v>
      </c>
      <c r="J209" t="str">
        <f>""</f>
        <v/>
      </c>
      <c r="K209" t="str">
        <f t="shared" si="96"/>
        <v>ТУ № 1241/6</v>
      </c>
      <c r="L209" t="str">
        <f t="shared" si="97"/>
        <v>ОАО "Курские электрические сети"</v>
      </c>
      <c r="M209" t="str">
        <f t="shared" si="92"/>
        <v>Неизвестно</v>
      </c>
      <c r="N209" t="str">
        <f t="shared" si="92"/>
        <v>Неизвестно</v>
      </c>
      <c r="O209" t="str">
        <f>"[46/3011] Р 3.4.6.6 - Р 3.4.6.5"</f>
        <v>[46/3011] Р 3.4.6.6 - Р 3.4.6.5</v>
      </c>
      <c r="P209">
        <v>36.19619977</v>
      </c>
      <c r="Q209">
        <v>51.731135950000002</v>
      </c>
      <c r="R209" t="str">
        <f>""</f>
        <v/>
      </c>
    </row>
    <row r="210" spans="1:18" x14ac:dyDescent="0.25">
      <c r="A210">
        <v>907</v>
      </c>
      <c r="B210" t="str">
        <f t="shared" si="93"/>
        <v>Курск</v>
      </c>
      <c r="C210">
        <v>938944</v>
      </c>
      <c r="D210" t="str">
        <f t="shared" si="88"/>
        <v>Опора</v>
      </c>
      <c r="E210" t="str">
        <f t="shared" si="89"/>
        <v>(Опора)</v>
      </c>
      <c r="F210" t="str">
        <f>""</f>
        <v/>
      </c>
      <c r="G210" t="str">
        <f t="shared" si="98"/>
        <v>_МС (CAB_MS)</v>
      </c>
      <c r="H210" t="str">
        <f t="shared" si="90"/>
        <v>МС 3.4</v>
      </c>
      <c r="I210" t="str">
        <f t="shared" si="91"/>
        <v>16.03.2022</v>
      </c>
      <c r="J210" t="str">
        <f>""</f>
        <v/>
      </c>
      <c r="K210" t="str">
        <f t="shared" si="96"/>
        <v>ТУ № 1241/6</v>
      </c>
      <c r="L210" t="str">
        <f t="shared" si="97"/>
        <v>ОАО "Курские электрические сети"</v>
      </c>
      <c r="M210" t="str">
        <f t="shared" si="92"/>
        <v>Неизвестно</v>
      </c>
      <c r="N210" t="str">
        <f t="shared" si="92"/>
        <v>Неизвестно</v>
      </c>
      <c r="O210" t="str">
        <f>"[46/3011] Р 3.4.6.6 - Р 3.4.6.5"</f>
        <v>[46/3011] Р 3.4.6.6 - Р 3.4.6.5</v>
      </c>
      <c r="P210">
        <v>36.195574809999997</v>
      </c>
      <c r="Q210">
        <v>51.731163359999996</v>
      </c>
      <c r="R210" t="str">
        <f>""</f>
        <v/>
      </c>
    </row>
    <row r="211" spans="1:18" x14ac:dyDescent="0.25">
      <c r="A211">
        <v>907</v>
      </c>
      <c r="B211" t="str">
        <f t="shared" si="93"/>
        <v>Курск</v>
      </c>
      <c r="C211">
        <v>938943</v>
      </c>
      <c r="D211" t="str">
        <f t="shared" si="88"/>
        <v>Опора</v>
      </c>
      <c r="E211" t="str">
        <f t="shared" si="89"/>
        <v>(Опора)</v>
      </c>
      <c r="F211" t="str">
        <f>""</f>
        <v/>
      </c>
      <c r="G211" t="str">
        <f t="shared" si="98"/>
        <v>_МС (CAB_MS)</v>
      </c>
      <c r="H211" t="str">
        <f t="shared" si="90"/>
        <v>МС 3.4</v>
      </c>
      <c r="I211" t="str">
        <f t="shared" si="91"/>
        <v>16.03.2022</v>
      </c>
      <c r="J211" t="str">
        <f>""</f>
        <v/>
      </c>
      <c r="K211" t="str">
        <f t="shared" si="96"/>
        <v>ТУ № 1241/6</v>
      </c>
      <c r="L211" t="str">
        <f t="shared" si="97"/>
        <v>ОАО "Курские электрические сети"</v>
      </c>
      <c r="M211" t="str">
        <f t="shared" si="92"/>
        <v>Неизвестно</v>
      </c>
      <c r="N211" t="str">
        <f t="shared" si="92"/>
        <v>Неизвестно</v>
      </c>
      <c r="O211" t="str">
        <f>"[46/3011] Р 3.4.6.6 - Р 3.4.6.5"</f>
        <v>[46/3011] Р 3.4.6.6 - Р 3.4.6.5</v>
      </c>
      <c r="P211">
        <v>36.195037030000002</v>
      </c>
      <c r="Q211">
        <v>51.731215689999999</v>
      </c>
      <c r="R211" t="str">
        <f>""</f>
        <v/>
      </c>
    </row>
    <row r="212" spans="1:18" x14ac:dyDescent="0.25">
      <c r="A212">
        <v>907</v>
      </c>
      <c r="B212" t="str">
        <f t="shared" si="93"/>
        <v>Курск</v>
      </c>
      <c r="C212">
        <v>938941</v>
      </c>
      <c r="D212" t="str">
        <f t="shared" si="88"/>
        <v>Опора</v>
      </c>
      <c r="E212" t="str">
        <f t="shared" si="89"/>
        <v>(Опора)</v>
      </c>
      <c r="F212" t="str">
        <f>""</f>
        <v/>
      </c>
      <c r="G212" t="str">
        <f t="shared" si="98"/>
        <v>_МС (CAB_MS)</v>
      </c>
      <c r="H212" t="str">
        <f t="shared" si="90"/>
        <v>МС 3.4</v>
      </c>
      <c r="I212" t="str">
        <f t="shared" si="91"/>
        <v>16.03.2022</v>
      </c>
      <c r="J212" t="str">
        <f>""</f>
        <v/>
      </c>
      <c r="K212" t="str">
        <f t="shared" si="96"/>
        <v>ТУ № 1241/6</v>
      </c>
      <c r="L212" t="str">
        <f t="shared" si="97"/>
        <v>ОАО "Курские электрические сети"</v>
      </c>
      <c r="M212" t="str">
        <f t="shared" si="92"/>
        <v>Неизвестно</v>
      </c>
      <c r="N212" t="str">
        <f t="shared" si="92"/>
        <v>Неизвестно</v>
      </c>
      <c r="O212" t="str">
        <f>"[46/3011] Р 3.4.6.6 - Р 3.4.6.5"</f>
        <v>[46/3011] Р 3.4.6.6 - Р 3.4.6.5</v>
      </c>
      <c r="P212">
        <v>36.19514298</v>
      </c>
      <c r="Q212">
        <v>51.731763890000003</v>
      </c>
      <c r="R212" t="str">
        <f>""</f>
        <v/>
      </c>
    </row>
    <row r="213" spans="1:18" x14ac:dyDescent="0.25">
      <c r="A213">
        <v>907</v>
      </c>
      <c r="B213" t="str">
        <f t="shared" si="93"/>
        <v>Курск</v>
      </c>
      <c r="C213">
        <v>938940</v>
      </c>
      <c r="D213" t="str">
        <f t="shared" si="88"/>
        <v>Опора</v>
      </c>
      <c r="E213" t="str">
        <f t="shared" si="89"/>
        <v>(Опора)</v>
      </c>
      <c r="F213" t="str">
        <f>""</f>
        <v/>
      </c>
      <c r="G213" t="str">
        <f t="shared" si="98"/>
        <v>_МС (CAB_MS)</v>
      </c>
      <c r="H213" t="str">
        <f t="shared" si="90"/>
        <v>МС 3.4</v>
      </c>
      <c r="I213" t="str">
        <f t="shared" si="91"/>
        <v>16.03.2022</v>
      </c>
      <c r="J213" t="str">
        <f>""</f>
        <v/>
      </c>
      <c r="K213" t="str">
        <f t="shared" si="96"/>
        <v>ТУ № 1241/6</v>
      </c>
      <c r="L213" t="str">
        <f t="shared" si="97"/>
        <v>ОАО "Курские электрические сети"</v>
      </c>
      <c r="M213" t="str">
        <f t="shared" ref="M213:N234" si="99">"Неизвестно"</f>
        <v>Неизвестно</v>
      </c>
      <c r="N213" t="str">
        <f t="shared" si="99"/>
        <v>Неизвестно</v>
      </c>
      <c r="O213" t="str">
        <f>"[46/3008] Р 3.4.6.4 - Р 3.4.6.6"</f>
        <v>[46/3008] Р 3.4.6.4 - Р 3.4.6.6</v>
      </c>
      <c r="P213">
        <v>36.195657959999998</v>
      </c>
      <c r="Q213">
        <v>51.733355299999999</v>
      </c>
      <c r="R213" t="str">
        <f>""</f>
        <v/>
      </c>
    </row>
    <row r="214" spans="1:18" x14ac:dyDescent="0.25">
      <c r="A214">
        <v>907</v>
      </c>
      <c r="B214" t="str">
        <f t="shared" si="93"/>
        <v>Курск</v>
      </c>
      <c r="C214">
        <v>938939</v>
      </c>
      <c r="D214" t="str">
        <f t="shared" si="88"/>
        <v>Опора</v>
      </c>
      <c r="E214" t="str">
        <f t="shared" si="89"/>
        <v>(Опора)</v>
      </c>
      <c r="F214" t="str">
        <f>""</f>
        <v/>
      </c>
      <c r="G214" t="str">
        <f t="shared" si="98"/>
        <v>_МС (CAB_MS)</v>
      </c>
      <c r="H214" t="str">
        <f t="shared" si="90"/>
        <v>МС 3.4</v>
      </c>
      <c r="I214" t="str">
        <f t="shared" si="91"/>
        <v>16.03.2022</v>
      </c>
      <c r="J214" t="str">
        <f>""</f>
        <v/>
      </c>
      <c r="K214" t="str">
        <f t="shared" si="96"/>
        <v>ТУ № 1241/6</v>
      </c>
      <c r="L214" t="str">
        <f t="shared" si="97"/>
        <v>ОАО "Курские электрические сети"</v>
      </c>
      <c r="M214" t="str">
        <f t="shared" si="99"/>
        <v>Неизвестно</v>
      </c>
      <c r="N214" t="str">
        <f t="shared" si="99"/>
        <v>Неизвестно</v>
      </c>
      <c r="O214" t="str">
        <f>"[46/3011] Р 3.4.6.6 - Р 3.4.6.5"</f>
        <v>[46/3011] Р 3.4.6.6 - Р 3.4.6.5</v>
      </c>
      <c r="P214">
        <v>36.19540181</v>
      </c>
      <c r="Q214">
        <v>51.732489829999999</v>
      </c>
      <c r="R214" t="str">
        <f>""</f>
        <v/>
      </c>
    </row>
    <row r="215" spans="1:18" x14ac:dyDescent="0.25">
      <c r="A215">
        <v>907</v>
      </c>
      <c r="B215" t="str">
        <f t="shared" si="93"/>
        <v>Курск</v>
      </c>
      <c r="C215">
        <v>938938</v>
      </c>
      <c r="D215" t="str">
        <f t="shared" si="88"/>
        <v>Опора</v>
      </c>
      <c r="E215" t="str">
        <f t="shared" si="89"/>
        <v>(Опора)</v>
      </c>
      <c r="F215" t="str">
        <f>""</f>
        <v/>
      </c>
      <c r="G215" t="str">
        <f t="shared" si="98"/>
        <v>_МС (CAB_MS)</v>
      </c>
      <c r="H215" t="str">
        <f t="shared" si="90"/>
        <v>МС 3.4</v>
      </c>
      <c r="I215" t="str">
        <f t="shared" si="91"/>
        <v>16.03.2022</v>
      </c>
      <c r="J215" t="str">
        <f>""</f>
        <v/>
      </c>
      <c r="K215" t="str">
        <f t="shared" si="96"/>
        <v>ТУ № 1241/6</v>
      </c>
      <c r="L215" t="str">
        <f t="shared" si="97"/>
        <v>ОАО "Курские электрические сети"</v>
      </c>
      <c r="M215" t="str">
        <f t="shared" si="99"/>
        <v>Неизвестно</v>
      </c>
      <c r="N215" t="str">
        <f t="shared" si="99"/>
        <v>Неизвестно</v>
      </c>
      <c r="O215" t="str">
        <f>"[46/3011] Р 3.4.6.6 - Р 3.4.6.5"</f>
        <v>[46/3011] Р 3.4.6.6 - Р 3.4.6.5</v>
      </c>
      <c r="P215">
        <v>36.195281110000003</v>
      </c>
      <c r="Q215">
        <v>51.732159260000003</v>
      </c>
      <c r="R215" t="str">
        <f>""</f>
        <v/>
      </c>
    </row>
    <row r="216" spans="1:18" x14ac:dyDescent="0.25">
      <c r="A216">
        <v>907</v>
      </c>
      <c r="B216" t="str">
        <f t="shared" si="93"/>
        <v>Курск</v>
      </c>
      <c r="C216">
        <v>938937</v>
      </c>
      <c r="D216" t="str">
        <f t="shared" si="88"/>
        <v>Опора</v>
      </c>
      <c r="E216" t="str">
        <f t="shared" si="89"/>
        <v>(Опора)</v>
      </c>
      <c r="F216" t="str">
        <f>""</f>
        <v/>
      </c>
      <c r="G216" t="str">
        <f t="shared" si="98"/>
        <v>_МС (CAB_MS)</v>
      </c>
      <c r="H216" t="str">
        <f t="shared" si="90"/>
        <v>МС 3.4</v>
      </c>
      <c r="I216" t="str">
        <f t="shared" si="91"/>
        <v>16.03.2022</v>
      </c>
      <c r="J216" t="str">
        <f>""</f>
        <v/>
      </c>
      <c r="K216" t="str">
        <f t="shared" si="96"/>
        <v>ТУ № 1241/6</v>
      </c>
      <c r="L216" t="str">
        <f t="shared" si="97"/>
        <v>ОАО "Курские электрические сети"</v>
      </c>
      <c r="M216" t="str">
        <f t="shared" si="99"/>
        <v>Неизвестно</v>
      </c>
      <c r="N216" t="str">
        <f t="shared" si="99"/>
        <v>Неизвестно</v>
      </c>
      <c r="O216" t="str">
        <f>"[46/3011] Р 3.4.6.6 - Р 3.4.6.5"</f>
        <v>[46/3011] Р 3.4.6.6 - Р 3.4.6.5</v>
      </c>
      <c r="P216">
        <v>36.19552418</v>
      </c>
      <c r="Q216">
        <v>51.732904079999997</v>
      </c>
      <c r="R216" t="str">
        <f>""</f>
        <v/>
      </c>
    </row>
    <row r="217" spans="1:18" x14ac:dyDescent="0.25">
      <c r="A217">
        <v>907</v>
      </c>
      <c r="B217" t="str">
        <f t="shared" si="93"/>
        <v>Курск</v>
      </c>
      <c r="C217">
        <v>938933</v>
      </c>
      <c r="D217" t="str">
        <f t="shared" si="88"/>
        <v>Опора</v>
      </c>
      <c r="E217" t="str">
        <f t="shared" si="89"/>
        <v>(Опора)</v>
      </c>
      <c r="F217" t="str">
        <f>""</f>
        <v/>
      </c>
      <c r="G217" t="str">
        <f t="shared" si="98"/>
        <v>_МС (CAB_MS)</v>
      </c>
      <c r="H217" t="str">
        <f t="shared" si="90"/>
        <v>МС 3.4</v>
      </c>
      <c r="I217" t="str">
        <f t="shared" si="91"/>
        <v>16.03.2022</v>
      </c>
      <c r="J217" t="str">
        <f>""</f>
        <v/>
      </c>
      <c r="K217" t="str">
        <f t="shared" si="96"/>
        <v>ТУ № 1241/6</v>
      </c>
      <c r="L217" t="str">
        <f t="shared" si="97"/>
        <v>ОАО "Курские электрические сети"</v>
      </c>
      <c r="M217" t="str">
        <f t="shared" si="99"/>
        <v>Неизвестно</v>
      </c>
      <c r="N217" t="str">
        <f t="shared" si="99"/>
        <v>Неизвестно</v>
      </c>
      <c r="O217" t="str">
        <f>"[46/2747] Р 3.4.6.3 - Р 3.4.6.4"</f>
        <v>[46/2747] Р 3.4.6.3 - Р 3.4.6.4</v>
      </c>
      <c r="P217">
        <v>36.196119299999999</v>
      </c>
      <c r="Q217">
        <v>51.735717399999999</v>
      </c>
      <c r="R217" t="str">
        <f>""</f>
        <v/>
      </c>
    </row>
    <row r="218" spans="1:18" x14ac:dyDescent="0.25">
      <c r="A218">
        <v>907</v>
      </c>
      <c r="B218" t="str">
        <f t="shared" si="93"/>
        <v>Курск</v>
      </c>
      <c r="C218">
        <v>938931</v>
      </c>
      <c r="D218" t="str">
        <f t="shared" si="88"/>
        <v>Опора</v>
      </c>
      <c r="E218" t="str">
        <f t="shared" si="89"/>
        <v>(Опора)</v>
      </c>
      <c r="F218" t="str">
        <f>""</f>
        <v/>
      </c>
      <c r="G218" t="str">
        <f t="shared" si="98"/>
        <v>_МС (CAB_MS)</v>
      </c>
      <c r="H218" t="str">
        <f t="shared" si="90"/>
        <v>МС 3.4</v>
      </c>
      <c r="I218" t="str">
        <f t="shared" si="91"/>
        <v>16.03.2022</v>
      </c>
      <c r="J218" t="str">
        <f>""</f>
        <v/>
      </c>
      <c r="K218" t="str">
        <f t="shared" si="96"/>
        <v>ТУ № 1241/6</v>
      </c>
      <c r="L218" t="str">
        <f t="shared" si="97"/>
        <v>ОАО "Курские электрические сети"</v>
      </c>
      <c r="M218" t="str">
        <f t="shared" si="99"/>
        <v>Неизвестно</v>
      </c>
      <c r="N218" t="str">
        <f t="shared" si="99"/>
        <v>Неизвестно</v>
      </c>
      <c r="O218" t="str">
        <f>"[46/2747] Р 3.4.6.3 - Р 3.4.6.4"</f>
        <v>[46/2747] Р 3.4.6.3 - Р 3.4.6.4</v>
      </c>
      <c r="P218">
        <v>36.196221219999998</v>
      </c>
      <c r="Q218">
        <v>51.736031339999997</v>
      </c>
      <c r="R218" t="str">
        <f>""</f>
        <v/>
      </c>
    </row>
    <row r="219" spans="1:18" x14ac:dyDescent="0.25">
      <c r="A219">
        <v>907</v>
      </c>
      <c r="B219" t="str">
        <f t="shared" si="93"/>
        <v>Курск</v>
      </c>
      <c r="C219">
        <v>938930</v>
      </c>
      <c r="D219" t="str">
        <f t="shared" si="88"/>
        <v>Опора</v>
      </c>
      <c r="E219" t="str">
        <f t="shared" si="89"/>
        <v>(Опора)</v>
      </c>
      <c r="F219" t="str">
        <f>""</f>
        <v/>
      </c>
      <c r="G219" t="str">
        <f t="shared" si="98"/>
        <v>_МС (CAB_MS)</v>
      </c>
      <c r="H219" t="str">
        <f t="shared" si="90"/>
        <v>МС 3.4</v>
      </c>
      <c r="I219" t="str">
        <f t="shared" si="91"/>
        <v>16.03.2022</v>
      </c>
      <c r="J219" t="str">
        <f>""</f>
        <v/>
      </c>
      <c r="K219" t="str">
        <f t="shared" si="96"/>
        <v>ТУ № 1241/6</v>
      </c>
      <c r="L219" t="str">
        <f t="shared" si="97"/>
        <v>ОАО "Курские электрические сети"</v>
      </c>
      <c r="M219" t="str">
        <f t="shared" si="99"/>
        <v>Неизвестно</v>
      </c>
      <c r="N219" t="str">
        <f t="shared" si="99"/>
        <v>Неизвестно</v>
      </c>
      <c r="O219" t="str">
        <f>"[46/3009] Р 3.4.6.4 - ОК 3.4.6-3.1 ППК 3.4.6 Курск, Ленина, 19  п. 1"</f>
        <v>[46/3009] Р 3.4.6.4 - ОК 3.4.6-3.1 ППК 3.4.6 Курск, Ленина, 19  п. 1</v>
      </c>
      <c r="P219">
        <v>36.194660169999999</v>
      </c>
      <c r="Q219">
        <v>51.734447500000002</v>
      </c>
      <c r="R219" t="str">
        <f>""</f>
        <v/>
      </c>
    </row>
    <row r="220" spans="1:18" x14ac:dyDescent="0.25">
      <c r="A220">
        <v>907</v>
      </c>
      <c r="B220" t="str">
        <f t="shared" si="93"/>
        <v>Курск</v>
      </c>
      <c r="C220">
        <v>938928</v>
      </c>
      <c r="D220" t="str">
        <f t="shared" si="88"/>
        <v>Опора</v>
      </c>
      <c r="E220" t="str">
        <f t="shared" si="89"/>
        <v>(Опора)</v>
      </c>
      <c r="F220" t="str">
        <f>""</f>
        <v/>
      </c>
      <c r="G220" t="str">
        <f t="shared" si="98"/>
        <v>_МС (CAB_MS)</v>
      </c>
      <c r="H220" t="str">
        <f t="shared" si="90"/>
        <v>МС 3.4</v>
      </c>
      <c r="I220" t="str">
        <f t="shared" si="91"/>
        <v>16.03.2022</v>
      </c>
      <c r="J220" t="str">
        <f>""</f>
        <v/>
      </c>
      <c r="K220" t="str">
        <f>"Отсутствует"</f>
        <v>Отсутствует</v>
      </c>
      <c r="L220" t="str">
        <f>"Не указан"</f>
        <v>Не указан</v>
      </c>
      <c r="M220" t="str">
        <f t="shared" si="99"/>
        <v>Неизвестно</v>
      </c>
      <c r="N220" t="str">
        <f t="shared" si="99"/>
        <v>Неизвестно</v>
      </c>
      <c r="O220" t="str">
        <f>"[46/3012] Р 3.4.6.6 - ОК 10.2 ППК 3.4.6  Курск, Ленина, 11  п. 1"</f>
        <v>[46/3012] Р 3.4.6.6 - ОК 10.2 ППК 3.4.6  Курск, Ленина, 11  п. 1</v>
      </c>
      <c r="P220">
        <v>36.194126420000003</v>
      </c>
      <c r="Q220">
        <v>51.732956629999997</v>
      </c>
      <c r="R220" t="str">
        <f>""</f>
        <v/>
      </c>
    </row>
    <row r="221" spans="1:18" x14ac:dyDescent="0.25">
      <c r="A221">
        <v>907</v>
      </c>
      <c r="B221" t="str">
        <f t="shared" si="93"/>
        <v>Курск</v>
      </c>
      <c r="C221">
        <v>938926</v>
      </c>
      <c r="D221" t="str">
        <f t="shared" si="88"/>
        <v>Опора</v>
      </c>
      <c r="E221" t="str">
        <f t="shared" si="89"/>
        <v>(Опора)</v>
      </c>
      <c r="F221" t="str">
        <f>""</f>
        <v/>
      </c>
      <c r="G221" t="str">
        <f t="shared" si="98"/>
        <v>_МС (CAB_MS)</v>
      </c>
      <c r="H221" t="str">
        <f t="shared" si="90"/>
        <v>МС 3.4</v>
      </c>
      <c r="I221" t="str">
        <f t="shared" si="91"/>
        <v>16.03.2022</v>
      </c>
      <c r="J221" t="str">
        <f>""</f>
        <v/>
      </c>
      <c r="K221" t="str">
        <f t="shared" ref="K221:K232" si="100">"ТУ № 1241/6"</f>
        <v>ТУ № 1241/6</v>
      </c>
      <c r="L221" t="str">
        <f t="shared" ref="L221:L232" si="101">"ОАО ""Курские электрические сети"""</f>
        <v>ОАО "Курские электрические сети"</v>
      </c>
      <c r="M221" t="str">
        <f t="shared" si="99"/>
        <v>Неизвестно</v>
      </c>
      <c r="N221" t="str">
        <f t="shared" si="99"/>
        <v>Неизвестно</v>
      </c>
      <c r="O221" t="str">
        <f>"[46/2730] М 3.4.7 - Р 3.4.6.11"</f>
        <v>[46/2730] М 3.4.7 - Р 3.4.6.11</v>
      </c>
      <c r="P221">
        <v>36.197151959999999</v>
      </c>
      <c r="Q221">
        <v>51.738651570000002</v>
      </c>
      <c r="R221" t="str">
        <f>""</f>
        <v/>
      </c>
    </row>
    <row r="222" spans="1:18" x14ac:dyDescent="0.25">
      <c r="A222">
        <v>907</v>
      </c>
      <c r="B222" t="str">
        <f t="shared" si="93"/>
        <v>Курск</v>
      </c>
      <c r="C222">
        <v>938923</v>
      </c>
      <c r="D222" t="str">
        <f t="shared" si="88"/>
        <v>Опора</v>
      </c>
      <c r="E222" t="str">
        <f t="shared" si="89"/>
        <v>(Опора)</v>
      </c>
      <c r="F222" t="str">
        <f>""</f>
        <v/>
      </c>
      <c r="G222" t="str">
        <f t="shared" si="98"/>
        <v>_МС (CAB_MS)</v>
      </c>
      <c r="H222" t="str">
        <f t="shared" si="90"/>
        <v>МС 3.4</v>
      </c>
      <c r="I222" t="str">
        <f t="shared" si="91"/>
        <v>16.03.2022</v>
      </c>
      <c r="J222" t="str">
        <f>""</f>
        <v/>
      </c>
      <c r="K222" t="str">
        <f t="shared" si="100"/>
        <v>ТУ № 1241/6</v>
      </c>
      <c r="L222" t="str">
        <f t="shared" si="101"/>
        <v>ОАО "Курские электрические сети"</v>
      </c>
      <c r="M222" t="str">
        <f t="shared" si="99"/>
        <v>Неизвестно</v>
      </c>
      <c r="N222" t="str">
        <f t="shared" si="99"/>
        <v>Неизвестно</v>
      </c>
      <c r="O222" t="str">
        <f>"[46/3012] Р 3.4.6.6 - ОК 10.2 ППК 3.4.6  Курск, Ленина, 11  п. 1"</f>
        <v>[46/3012] Р 3.4.6.6 - ОК 10.2 ППК 3.4.6  Курск, Ленина, 11  п. 1</v>
      </c>
      <c r="P222">
        <v>36.193662400000001</v>
      </c>
      <c r="Q222">
        <v>51.732976559999997</v>
      </c>
      <c r="R222" t="str">
        <f>""</f>
        <v/>
      </c>
    </row>
    <row r="223" spans="1:18" x14ac:dyDescent="0.25">
      <c r="A223">
        <v>907</v>
      </c>
      <c r="B223" t="str">
        <f t="shared" si="93"/>
        <v>Курск</v>
      </c>
      <c r="C223">
        <v>938920</v>
      </c>
      <c r="D223" t="str">
        <f t="shared" si="88"/>
        <v>Опора</v>
      </c>
      <c r="E223" t="str">
        <f t="shared" si="89"/>
        <v>(Опора)</v>
      </c>
      <c r="F223" t="str">
        <f>""</f>
        <v/>
      </c>
      <c r="G223" t="str">
        <f t="shared" si="98"/>
        <v>_МС (CAB_MS)</v>
      </c>
      <c r="H223" t="str">
        <f t="shared" si="90"/>
        <v>МС 3.4</v>
      </c>
      <c r="I223" t="str">
        <f t="shared" si="91"/>
        <v>16.03.2022</v>
      </c>
      <c r="J223" t="str">
        <f>""</f>
        <v/>
      </c>
      <c r="K223" t="str">
        <f t="shared" si="100"/>
        <v>ТУ № 1241/6</v>
      </c>
      <c r="L223" t="str">
        <f t="shared" si="101"/>
        <v>ОАО "Курские электрические сети"</v>
      </c>
      <c r="M223" t="str">
        <f t="shared" si="99"/>
        <v>Неизвестно</v>
      </c>
      <c r="N223" t="str">
        <f t="shared" si="99"/>
        <v>Неизвестно</v>
      </c>
      <c r="O223" t="str">
        <f>"[46/3012] Р 3.4.6.6 - ОК 10.2 ППК 3.4.6  Курск, Ленина, 11  п. 1"</f>
        <v>[46/3012] Р 3.4.6.6 - ОК 10.2 ППК 3.4.6  Курск, Ленина, 11  п. 1</v>
      </c>
      <c r="P223">
        <v>36.194531429999998</v>
      </c>
      <c r="Q223">
        <v>51.732933369999998</v>
      </c>
      <c r="R223" t="str">
        <f>""</f>
        <v/>
      </c>
    </row>
    <row r="224" spans="1:18" x14ac:dyDescent="0.25">
      <c r="A224">
        <v>907</v>
      </c>
      <c r="B224" t="str">
        <f t="shared" si="93"/>
        <v>Курск</v>
      </c>
      <c r="C224">
        <v>938919</v>
      </c>
      <c r="D224" t="str">
        <f t="shared" si="88"/>
        <v>Опора</v>
      </c>
      <c r="E224" t="str">
        <f t="shared" si="89"/>
        <v>(Опора)</v>
      </c>
      <c r="F224" t="str">
        <f>""</f>
        <v/>
      </c>
      <c r="G224" t="str">
        <f t="shared" si="98"/>
        <v>_МС (CAB_MS)</v>
      </c>
      <c r="H224" t="str">
        <f t="shared" si="90"/>
        <v>МС 3.4</v>
      </c>
      <c r="I224" t="str">
        <f t="shared" si="91"/>
        <v>16.03.2022</v>
      </c>
      <c r="J224" t="str">
        <f>""</f>
        <v/>
      </c>
      <c r="K224" t="str">
        <f t="shared" si="100"/>
        <v>ТУ № 1241/6</v>
      </c>
      <c r="L224" t="str">
        <f t="shared" si="101"/>
        <v>ОАО "Курские электрические сети"</v>
      </c>
      <c r="M224" t="str">
        <f t="shared" si="99"/>
        <v>Неизвестно</v>
      </c>
      <c r="N224" t="str">
        <f t="shared" si="99"/>
        <v>Неизвестно</v>
      </c>
      <c r="O224" t="str">
        <f>"[46/3012] Р 3.4.6.6 - ОК 10.2 ППК 3.4.6  Курск, Ленина, 11  п. 1"</f>
        <v>[46/3012] Р 3.4.6.6 - ОК 10.2 ППК 3.4.6  Курск, Ленина, 11  п. 1</v>
      </c>
      <c r="P224">
        <v>36.195049099999999</v>
      </c>
      <c r="Q224">
        <v>51.732913439999997</v>
      </c>
      <c r="R224" t="str">
        <f>""</f>
        <v/>
      </c>
    </row>
    <row r="225" spans="1:18" x14ac:dyDescent="0.25">
      <c r="A225">
        <v>907</v>
      </c>
      <c r="B225" t="str">
        <f t="shared" si="93"/>
        <v>Курск</v>
      </c>
      <c r="C225">
        <v>938918</v>
      </c>
      <c r="D225" t="str">
        <f t="shared" ref="D225:D256" si="102">"Опора"</f>
        <v>Опора</v>
      </c>
      <c r="E225" t="str">
        <f t="shared" si="89"/>
        <v>(Опора)</v>
      </c>
      <c r="F225" t="str">
        <f>""</f>
        <v/>
      </c>
      <c r="G225" t="str">
        <f t="shared" si="98"/>
        <v>_МС (CAB_MS)</v>
      </c>
      <c r="H225" t="str">
        <f t="shared" si="90"/>
        <v>МС 3.4</v>
      </c>
      <c r="I225" t="str">
        <f t="shared" si="91"/>
        <v>16.03.2022</v>
      </c>
      <c r="J225" t="str">
        <f>""</f>
        <v/>
      </c>
      <c r="K225" t="str">
        <f t="shared" si="100"/>
        <v>ТУ № 1241/6</v>
      </c>
      <c r="L225" t="str">
        <f t="shared" si="101"/>
        <v>ОАО "Курские электрические сети"</v>
      </c>
      <c r="M225" t="str">
        <f t="shared" si="99"/>
        <v>Неизвестно</v>
      </c>
      <c r="N225" t="str">
        <f t="shared" si="99"/>
        <v>Неизвестно</v>
      </c>
      <c r="O225" t="str">
        <f>"[46/3009] Р 3.4.6.4 - ОК 3.4.6-3.1 ППК 3.4.6 Курск, Ленина, 19  п. 1"</f>
        <v>[46/3009] Р 3.4.6.4 - ОК 3.4.6-3.1 ППК 3.4.6 Курск, Ленина, 19  п. 1</v>
      </c>
      <c r="P225">
        <v>36.19511481</v>
      </c>
      <c r="Q225">
        <v>51.734421740000002</v>
      </c>
      <c r="R225" t="str">
        <f>""</f>
        <v/>
      </c>
    </row>
    <row r="226" spans="1:18" x14ac:dyDescent="0.25">
      <c r="A226">
        <v>907</v>
      </c>
      <c r="B226" t="str">
        <f t="shared" si="93"/>
        <v>Курск</v>
      </c>
      <c r="C226">
        <v>938917</v>
      </c>
      <c r="D226" t="str">
        <f t="shared" si="102"/>
        <v>Опора</v>
      </c>
      <c r="E226" t="str">
        <f t="shared" si="89"/>
        <v>(Опора)</v>
      </c>
      <c r="F226" t="str">
        <f>""</f>
        <v/>
      </c>
      <c r="G226" t="str">
        <f t="shared" si="98"/>
        <v>_МС (CAB_MS)</v>
      </c>
      <c r="H226" t="str">
        <f t="shared" si="90"/>
        <v>МС 3.4</v>
      </c>
      <c r="I226" t="str">
        <f t="shared" si="91"/>
        <v>16.03.2022</v>
      </c>
      <c r="J226" t="str">
        <f>""</f>
        <v/>
      </c>
      <c r="K226" t="str">
        <f t="shared" si="100"/>
        <v>ТУ № 1241/6</v>
      </c>
      <c r="L226" t="str">
        <f t="shared" si="101"/>
        <v>ОАО "Курские электрические сети"</v>
      </c>
      <c r="M226" t="str">
        <f t="shared" si="99"/>
        <v>Неизвестно</v>
      </c>
      <c r="N226" t="str">
        <f t="shared" si="99"/>
        <v>Неизвестно</v>
      </c>
      <c r="O226" t="str">
        <f>"[46/3009] Р 3.4.6.4 - ОК 3.4.6-3.1 ППК 3.4.6 Курск, Ленина, 19  п. 1"</f>
        <v>[46/3009] Р 3.4.6.4 - ОК 3.4.6-3.1 ППК 3.4.6 Курск, Ленина, 19  п. 1</v>
      </c>
      <c r="P226">
        <v>36.194205539999999</v>
      </c>
      <c r="Q226">
        <v>51.734474900000002</v>
      </c>
      <c r="R226" t="str">
        <f>""</f>
        <v/>
      </c>
    </row>
    <row r="227" spans="1:18" x14ac:dyDescent="0.25">
      <c r="A227">
        <v>907</v>
      </c>
      <c r="B227" t="str">
        <f t="shared" si="93"/>
        <v>Курск</v>
      </c>
      <c r="C227">
        <v>938916</v>
      </c>
      <c r="D227" t="str">
        <f t="shared" si="102"/>
        <v>Опора</v>
      </c>
      <c r="E227" t="str">
        <f t="shared" si="89"/>
        <v>(Опора)</v>
      </c>
      <c r="F227" t="str">
        <f>""</f>
        <v/>
      </c>
      <c r="G227" t="str">
        <f t="shared" si="98"/>
        <v>_МС (CAB_MS)</v>
      </c>
      <c r="H227" t="str">
        <f t="shared" si="90"/>
        <v>МС 3.4</v>
      </c>
      <c r="I227" t="str">
        <f t="shared" si="91"/>
        <v>16.03.2022</v>
      </c>
      <c r="J227" t="str">
        <f>""</f>
        <v/>
      </c>
      <c r="K227" t="str">
        <f t="shared" si="100"/>
        <v>ТУ № 1241/6</v>
      </c>
      <c r="L227" t="str">
        <f t="shared" si="101"/>
        <v>ОАО "Курские электрические сети"</v>
      </c>
      <c r="M227" t="str">
        <f t="shared" si="99"/>
        <v>Неизвестно</v>
      </c>
      <c r="N227" t="str">
        <f t="shared" si="99"/>
        <v>Неизвестно</v>
      </c>
      <c r="O227" t="str">
        <f>"[46/3008] Р 3.4.6.4 - Р 3.4.6.6"</f>
        <v>[46/3008] Р 3.4.6.4 - Р 3.4.6.6</v>
      </c>
      <c r="P227">
        <v>36.195967760000002</v>
      </c>
      <c r="Q227">
        <v>51.734391850000002</v>
      </c>
      <c r="R227" t="str">
        <f>""</f>
        <v/>
      </c>
    </row>
    <row r="228" spans="1:18" x14ac:dyDescent="0.25">
      <c r="A228">
        <v>907</v>
      </c>
      <c r="B228" t="str">
        <f t="shared" si="93"/>
        <v>Курск</v>
      </c>
      <c r="C228">
        <v>938915</v>
      </c>
      <c r="D228" t="str">
        <f t="shared" si="102"/>
        <v>Опора</v>
      </c>
      <c r="E228" t="str">
        <f t="shared" si="89"/>
        <v>(Опора)</v>
      </c>
      <c r="F228" t="str">
        <f>""</f>
        <v/>
      </c>
      <c r="G228" t="str">
        <f t="shared" si="98"/>
        <v>_МС (CAB_MS)</v>
      </c>
      <c r="H228" t="str">
        <f t="shared" si="90"/>
        <v>МС 3.4</v>
      </c>
      <c r="I228" t="str">
        <f t="shared" si="91"/>
        <v>16.03.2022</v>
      </c>
      <c r="J228" t="str">
        <f>""</f>
        <v/>
      </c>
      <c r="K228" t="str">
        <f t="shared" si="100"/>
        <v>ТУ № 1241/6</v>
      </c>
      <c r="L228" t="str">
        <f t="shared" si="101"/>
        <v>ОАО "Курские электрические сети"</v>
      </c>
      <c r="M228" t="str">
        <f t="shared" si="99"/>
        <v>Неизвестно</v>
      </c>
      <c r="N228" t="str">
        <f t="shared" si="99"/>
        <v>Неизвестно</v>
      </c>
      <c r="O228" t="str">
        <f>"[46/3009] Р 3.4.6.4 - ОК 3.4.6-3.1 ППК 3.4.6 Курск, Ленина, 19  п. 1"</f>
        <v>[46/3009] Р 3.4.6.4 - ОК 3.4.6-3.1 ППК 3.4.6 Курск, Ленина, 19  п. 1</v>
      </c>
      <c r="P228">
        <v>36.193813939999998</v>
      </c>
      <c r="Q228">
        <v>51.734503140000001</v>
      </c>
      <c r="R228" t="str">
        <f>""</f>
        <v/>
      </c>
    </row>
    <row r="229" spans="1:18" x14ac:dyDescent="0.25">
      <c r="A229">
        <v>907</v>
      </c>
      <c r="B229" t="str">
        <f t="shared" si="93"/>
        <v>Курск</v>
      </c>
      <c r="C229">
        <v>938914</v>
      </c>
      <c r="D229" t="str">
        <f t="shared" si="102"/>
        <v>Опора</v>
      </c>
      <c r="E229" t="str">
        <f t="shared" si="89"/>
        <v>(Опора)</v>
      </c>
      <c r="F229" t="str">
        <f>""</f>
        <v/>
      </c>
      <c r="G229" t="str">
        <f t="shared" si="98"/>
        <v>_МС (CAB_MS)</v>
      </c>
      <c r="H229" t="str">
        <f t="shared" si="90"/>
        <v>МС 3.4</v>
      </c>
      <c r="I229" t="str">
        <f t="shared" si="91"/>
        <v>16.03.2022</v>
      </c>
      <c r="J229" t="str">
        <f>""</f>
        <v/>
      </c>
      <c r="K229" t="str">
        <f t="shared" si="100"/>
        <v>ТУ № 1241/6</v>
      </c>
      <c r="L229" t="str">
        <f t="shared" si="101"/>
        <v>ОАО "Курские электрические сети"</v>
      </c>
      <c r="M229" t="str">
        <f t="shared" si="99"/>
        <v>Неизвестно</v>
      </c>
      <c r="N229" t="str">
        <f t="shared" si="99"/>
        <v>Неизвестно</v>
      </c>
      <c r="O229" t="str">
        <f>"[46/2747] Р 3.4.6.3 - Р 3.4.6.4"</f>
        <v>[46/2747] Р 3.4.6.3 - Р 3.4.6.4</v>
      </c>
      <c r="P229">
        <v>36.195904720000001</v>
      </c>
      <c r="Q229">
        <v>51.73488021</v>
      </c>
      <c r="R229" t="str">
        <f>""</f>
        <v/>
      </c>
    </row>
    <row r="230" spans="1:18" x14ac:dyDescent="0.25">
      <c r="A230">
        <v>907</v>
      </c>
      <c r="B230" t="str">
        <f t="shared" si="93"/>
        <v>Курск</v>
      </c>
      <c r="C230">
        <v>938913</v>
      </c>
      <c r="D230" t="str">
        <f t="shared" si="102"/>
        <v>Опора</v>
      </c>
      <c r="E230" t="str">
        <f t="shared" si="89"/>
        <v>(Опора)</v>
      </c>
      <c r="F230" t="str">
        <f>""</f>
        <v/>
      </c>
      <c r="G230" t="str">
        <f t="shared" si="98"/>
        <v>_МС (CAB_MS)</v>
      </c>
      <c r="H230" t="str">
        <f t="shared" si="90"/>
        <v>МС 3.4</v>
      </c>
      <c r="I230" t="str">
        <f t="shared" si="91"/>
        <v>16.03.2022</v>
      </c>
      <c r="J230" t="str">
        <f>""</f>
        <v/>
      </c>
      <c r="K230" t="str">
        <f t="shared" si="100"/>
        <v>ТУ № 1241/6</v>
      </c>
      <c r="L230" t="str">
        <f t="shared" si="101"/>
        <v>ОАО "Курские электрические сети"</v>
      </c>
      <c r="M230" t="str">
        <f t="shared" si="99"/>
        <v>Неизвестно</v>
      </c>
      <c r="N230" t="str">
        <f t="shared" si="99"/>
        <v>Неизвестно</v>
      </c>
      <c r="O230" t="str">
        <f>"[46/3009] Р 3.4.6.4 - ОК 3.4.6-3.1 ППК 3.4.6 Курск, Ленина, 19  п. 1, [46/2747] Р 3.4.6.3 - Р 3.4.6.4"</f>
        <v>[46/3009] Р 3.4.6.4 - ОК 3.4.6-3.1 ППК 3.4.6 Курск, Ленина, 19  п. 1, [46/2747] Р 3.4.6.3 - Р 3.4.6.4</v>
      </c>
      <c r="P230">
        <v>36.195743790000002</v>
      </c>
      <c r="Q230">
        <v>51.734406800000002</v>
      </c>
      <c r="R230" t="str">
        <f>""</f>
        <v/>
      </c>
    </row>
    <row r="231" spans="1:18" x14ac:dyDescent="0.25">
      <c r="A231">
        <v>907</v>
      </c>
      <c r="B231" t="str">
        <f t="shared" si="93"/>
        <v>Курск</v>
      </c>
      <c r="C231">
        <v>938912</v>
      </c>
      <c r="D231" t="str">
        <f t="shared" si="102"/>
        <v>Опора</v>
      </c>
      <c r="E231" t="str">
        <f t="shared" si="89"/>
        <v>(Опора)</v>
      </c>
      <c r="F231" t="str">
        <f>""</f>
        <v/>
      </c>
      <c r="G231" t="str">
        <f t="shared" si="98"/>
        <v>_МС (CAB_MS)</v>
      </c>
      <c r="H231" t="str">
        <f t="shared" si="90"/>
        <v>МС 3.4</v>
      </c>
      <c r="I231" t="str">
        <f t="shared" si="91"/>
        <v>16.03.2022</v>
      </c>
      <c r="J231" t="str">
        <f>""</f>
        <v/>
      </c>
      <c r="K231" t="str">
        <f t="shared" si="100"/>
        <v>ТУ № 1241/6</v>
      </c>
      <c r="L231" t="str">
        <f t="shared" si="101"/>
        <v>ОАО "Курские электрические сети"</v>
      </c>
      <c r="M231" t="str">
        <f t="shared" si="99"/>
        <v>Неизвестно</v>
      </c>
      <c r="N231" t="str">
        <f t="shared" si="99"/>
        <v>Неизвестно</v>
      </c>
      <c r="O231" t="str">
        <f>"[46/2747] Р 3.4.6.3 - Р 3.4.6.4"</f>
        <v>[46/2747] Р 3.4.6.3 - Р 3.4.6.4</v>
      </c>
      <c r="P231">
        <v>36.196329849999998</v>
      </c>
      <c r="Q231">
        <v>51.736318699999998</v>
      </c>
      <c r="R231" t="str">
        <f>""</f>
        <v/>
      </c>
    </row>
    <row r="232" spans="1:18" x14ac:dyDescent="0.25">
      <c r="A232">
        <v>907</v>
      </c>
      <c r="B232" t="str">
        <f t="shared" si="93"/>
        <v>Курск</v>
      </c>
      <c r="C232">
        <v>938907</v>
      </c>
      <c r="D232" t="str">
        <f t="shared" si="102"/>
        <v>Опора</v>
      </c>
      <c r="E232" t="str">
        <f t="shared" si="89"/>
        <v>(Опора)</v>
      </c>
      <c r="F232" t="str">
        <f>""</f>
        <v/>
      </c>
      <c r="G232" t="str">
        <f t="shared" si="98"/>
        <v>_МС (CAB_MS)</v>
      </c>
      <c r="H232" t="str">
        <f t="shared" si="90"/>
        <v>МС 3.4</v>
      </c>
      <c r="I232" t="str">
        <f t="shared" si="91"/>
        <v>16.03.2022</v>
      </c>
      <c r="J232" t="str">
        <f>""</f>
        <v/>
      </c>
      <c r="K232" t="str">
        <f t="shared" si="100"/>
        <v>ТУ № 1241/6</v>
      </c>
      <c r="L232" t="str">
        <f t="shared" si="101"/>
        <v>ОАО "Курские электрические сети"</v>
      </c>
      <c r="M232" t="str">
        <f t="shared" si="99"/>
        <v>Неизвестно</v>
      </c>
      <c r="N232" t="str">
        <f t="shared" si="99"/>
        <v>Неизвестно</v>
      </c>
      <c r="O232" t="str">
        <f>"[46/2748] Р 3.4.6.3 -"</f>
        <v>[46/2748] Р 3.4.6.3 -</v>
      </c>
      <c r="P232">
        <v>36.196693289999999</v>
      </c>
      <c r="Q232">
        <v>51.737576920000002</v>
      </c>
      <c r="R232" t="str">
        <f>""</f>
        <v/>
      </c>
    </row>
    <row r="233" spans="1:18" x14ac:dyDescent="0.25">
      <c r="A233">
        <v>907</v>
      </c>
      <c r="B233" t="str">
        <f t="shared" si="93"/>
        <v>Курск</v>
      </c>
      <c r="C233">
        <v>938984</v>
      </c>
      <c r="D233" t="str">
        <f t="shared" si="102"/>
        <v>Опора</v>
      </c>
      <c r="E233" t="str">
        <f t="shared" si="89"/>
        <v>(Опора)</v>
      </c>
      <c r="F233" t="str">
        <f>""</f>
        <v/>
      </c>
      <c r="G233" t="str">
        <f t="shared" si="98"/>
        <v>_МС (CAB_MS)</v>
      </c>
      <c r="H233" t="str">
        <f t="shared" si="90"/>
        <v>МС 3.4</v>
      </c>
      <c r="I233" t="str">
        <f t="shared" si="91"/>
        <v>16.03.2022</v>
      </c>
      <c r="J233" t="str">
        <f>""</f>
        <v/>
      </c>
      <c r="K233" t="str">
        <f t="shared" ref="K233:K264" si="103">"Отсутствует"</f>
        <v>Отсутствует</v>
      </c>
      <c r="L233" t="str">
        <f>"Не указан"</f>
        <v>Не указан</v>
      </c>
      <c r="M233" t="str">
        <f t="shared" si="99"/>
        <v>Неизвестно</v>
      </c>
      <c r="N233" t="str">
        <f t="shared" si="99"/>
        <v>Неизвестно</v>
      </c>
      <c r="O233" t="str">
        <f>"[46/2747] Р 3.4.6.3 - Р 3.4.6.4"</f>
        <v>[46/2747] Р 3.4.6.3 - Р 3.4.6.4</v>
      </c>
      <c r="P233">
        <v>36.196092810000003</v>
      </c>
      <c r="Q233">
        <v>51.735377710000002</v>
      </c>
      <c r="R233" t="str">
        <f>""</f>
        <v/>
      </c>
    </row>
    <row r="234" spans="1:18" x14ac:dyDescent="0.25">
      <c r="A234">
        <v>907</v>
      </c>
      <c r="B234" t="str">
        <f t="shared" si="93"/>
        <v>Курск</v>
      </c>
      <c r="C234">
        <v>970701</v>
      </c>
      <c r="D234" t="str">
        <f t="shared" si="102"/>
        <v>Опора</v>
      </c>
      <c r="E234" t="str">
        <f>"КЭС"</f>
        <v>КЭС</v>
      </c>
      <c r="F234" t="str">
        <f>""</f>
        <v/>
      </c>
      <c r="G234" t="str">
        <f t="shared" si="98"/>
        <v>_МС (CAB_MS)</v>
      </c>
      <c r="H234" t="str">
        <f t="shared" ref="H234:H265" si="104">"МС 4.1"</f>
        <v>МС 4.1</v>
      </c>
      <c r="I234" t="str">
        <f t="shared" ref="I234:I265" si="105">"29.07.2022"</f>
        <v>29.07.2022</v>
      </c>
      <c r="J234" t="str">
        <f>""</f>
        <v/>
      </c>
      <c r="K234" t="str">
        <f t="shared" si="103"/>
        <v>Отсутствует</v>
      </c>
      <c r="L234" t="str">
        <f>"Не указан"</f>
        <v>Не указан</v>
      </c>
      <c r="M234" t="str">
        <f t="shared" si="99"/>
        <v>Неизвестно</v>
      </c>
      <c r="N234" t="str">
        <f t="shared" si="99"/>
        <v>Неизвестно</v>
      </c>
      <c r="O234" t="str">
        <f>"[46/2142] М 4.1.5 - ГОК4.1.5.1 Курск, Республиканская, 8  п. 3"</f>
        <v>[46/2142] М 4.1.5 - ГОК4.1.5.1 Курск, Республиканская, 8  п. 3</v>
      </c>
      <c r="P234">
        <v>36.236377920000002</v>
      </c>
      <c r="Q234">
        <v>51.743139249999999</v>
      </c>
      <c r="R234" t="str">
        <f>""</f>
        <v/>
      </c>
    </row>
    <row r="235" spans="1:18" x14ac:dyDescent="0.25">
      <c r="A235">
        <v>907</v>
      </c>
      <c r="B235" t="str">
        <f t="shared" si="93"/>
        <v>Курск</v>
      </c>
      <c r="C235">
        <v>970710</v>
      </c>
      <c r="D235" t="str">
        <f t="shared" si="102"/>
        <v>Опора</v>
      </c>
      <c r="E235" t="str">
        <f>"КУМИ 6"</f>
        <v>КУМИ 6</v>
      </c>
      <c r="F235" t="str">
        <f>""</f>
        <v/>
      </c>
      <c r="G235" t="str">
        <f t="shared" si="98"/>
        <v>_МС (CAB_MS)</v>
      </c>
      <c r="H235" t="str">
        <f t="shared" si="104"/>
        <v>МС 4.1</v>
      </c>
      <c r="I235" t="str">
        <f t="shared" si="105"/>
        <v>29.07.2022</v>
      </c>
      <c r="J235" t="str">
        <f>""</f>
        <v/>
      </c>
      <c r="K235" t="str">
        <f t="shared" si="103"/>
        <v>Отсутствует</v>
      </c>
      <c r="L235" t="str">
        <f t="shared" ref="L235:L256" si="106">"Комитет по управлению муниципальным имуществом города Курска"</f>
        <v>Комитет по управлению муниципальным имуществом города Курска</v>
      </c>
      <c r="M235" t="str">
        <f t="shared" ref="M235:M266" si="107">"Неизвестно"</f>
        <v>Неизвестно</v>
      </c>
      <c r="N235" t="str">
        <f t="shared" ref="N235:N266" si="108">"Нет"</f>
        <v>Нет</v>
      </c>
      <c r="O235" t="s">
        <v>0</v>
      </c>
      <c r="P235">
        <v>36.237082669999999</v>
      </c>
      <c r="Q235">
        <v>51.743172880000003</v>
      </c>
      <c r="R235" t="str">
        <f>""</f>
        <v/>
      </c>
    </row>
    <row r="236" spans="1:18" x14ac:dyDescent="0.25">
      <c r="A236">
        <v>907</v>
      </c>
      <c r="B236" t="str">
        <f t="shared" si="93"/>
        <v>Курск</v>
      </c>
      <c r="C236">
        <v>970709</v>
      </c>
      <c r="D236" t="str">
        <f t="shared" si="102"/>
        <v>Опора</v>
      </c>
      <c r="E236" t="str">
        <f>"КУМИ 5"</f>
        <v>КУМИ 5</v>
      </c>
      <c r="F236" t="str">
        <f>""</f>
        <v/>
      </c>
      <c r="G236" t="str">
        <f t="shared" si="98"/>
        <v>_МС (CAB_MS)</v>
      </c>
      <c r="H236" t="str">
        <f t="shared" si="104"/>
        <v>МС 4.1</v>
      </c>
      <c r="I236" t="str">
        <f t="shared" si="105"/>
        <v>29.07.2022</v>
      </c>
      <c r="J236" t="str">
        <f>""</f>
        <v/>
      </c>
      <c r="K236" t="str">
        <f t="shared" si="103"/>
        <v>Отсутствует</v>
      </c>
      <c r="L236" t="str">
        <f t="shared" si="106"/>
        <v>Комитет по управлению муниципальным имуществом города Курска</v>
      </c>
      <c r="M236" t="str">
        <f t="shared" si="107"/>
        <v>Неизвестно</v>
      </c>
      <c r="N236" t="str">
        <f t="shared" si="108"/>
        <v>Нет</v>
      </c>
      <c r="O236" t="s">
        <v>1</v>
      </c>
      <c r="P236">
        <v>36.236703140000003</v>
      </c>
      <c r="Q236">
        <v>51.743206100000002</v>
      </c>
      <c r="R236" t="str">
        <f>""</f>
        <v/>
      </c>
    </row>
    <row r="237" spans="1:18" x14ac:dyDescent="0.25">
      <c r="A237">
        <v>907</v>
      </c>
      <c r="B237" t="str">
        <f t="shared" si="93"/>
        <v>Курск</v>
      </c>
      <c r="C237">
        <v>970707</v>
      </c>
      <c r="D237" t="str">
        <f t="shared" si="102"/>
        <v>Опора</v>
      </c>
      <c r="E237" t="str">
        <f>"КУМИ 4"</f>
        <v>КУМИ 4</v>
      </c>
      <c r="F237" t="str">
        <f>""</f>
        <v/>
      </c>
      <c r="G237" t="str">
        <f t="shared" si="98"/>
        <v>_МС (CAB_MS)</v>
      </c>
      <c r="H237" t="str">
        <f t="shared" si="104"/>
        <v>МС 4.1</v>
      </c>
      <c r="I237" t="str">
        <f t="shared" si="105"/>
        <v>29.07.2022</v>
      </c>
      <c r="J237" t="str">
        <f>""</f>
        <v/>
      </c>
      <c r="K237" t="str">
        <f t="shared" si="103"/>
        <v>Отсутствует</v>
      </c>
      <c r="L237" t="str">
        <f t="shared" si="106"/>
        <v>Комитет по управлению муниципальным имуществом города Курска</v>
      </c>
      <c r="M237" t="str">
        <f t="shared" si="107"/>
        <v>Неизвестно</v>
      </c>
      <c r="N237" t="str">
        <f t="shared" si="108"/>
        <v>Нет</v>
      </c>
      <c r="O237" t="str">
        <f>"[46/4458] ОК4.1-1.1 Баранова Вера Анатольевна Курск, Станционная, 35  п. 1 - М 4.1.5, [46/2141] М 4.1.4 - М 4.1.5, [46/2286] М 4.1.5 - ОК415-1 ППК4.1.5 Курск, Республиканская, 1 б п. 1, [46/2652] М 4.1.5 - М 4.1.10"</f>
        <v>[46/4458] ОК4.1-1.1 Баранова Вера Анатольевна Курск, Станционная, 35  п. 1 - М 4.1.5, [46/2141] М 4.1.4 - М 4.1.5, [46/2286] М 4.1.5 - ОК415-1 ППК4.1.5 Курск, Республиканская, 1 б п. 1, [46/2652] М 4.1.5 - М 4.1.10</v>
      </c>
      <c r="P237">
        <v>36.23623911</v>
      </c>
      <c r="Q237">
        <v>51.74324721</v>
      </c>
      <c r="R237" t="str">
        <f>""</f>
        <v/>
      </c>
    </row>
    <row r="238" spans="1:18" x14ac:dyDescent="0.25">
      <c r="A238">
        <v>907</v>
      </c>
      <c r="B238" t="str">
        <f t="shared" si="93"/>
        <v>Курск</v>
      </c>
      <c r="C238">
        <v>970706</v>
      </c>
      <c r="D238" t="str">
        <f t="shared" si="102"/>
        <v>Опора</v>
      </c>
      <c r="E238" t="str">
        <f>"КУМИ 3"</f>
        <v>КУМИ 3</v>
      </c>
      <c r="F238" t="str">
        <f>""</f>
        <v/>
      </c>
      <c r="G238" t="str">
        <f t="shared" si="98"/>
        <v>_МС (CAB_MS)</v>
      </c>
      <c r="H238" t="str">
        <f t="shared" si="104"/>
        <v>МС 4.1</v>
      </c>
      <c r="I238" t="str">
        <f t="shared" si="105"/>
        <v>29.07.2022</v>
      </c>
      <c r="J238" t="str">
        <f>""</f>
        <v/>
      </c>
      <c r="K238" t="str">
        <f t="shared" si="103"/>
        <v>Отсутствует</v>
      </c>
      <c r="L238" t="str">
        <f t="shared" si="106"/>
        <v>Комитет по управлению муниципальным имуществом города Курска</v>
      </c>
      <c r="M238" t="str">
        <f t="shared" si="107"/>
        <v>Неизвестно</v>
      </c>
      <c r="N238" t="str">
        <f t="shared" si="108"/>
        <v>Нет</v>
      </c>
      <c r="O238" t="str">
        <f>"[46/4458] ОК4.1-1.1 Баранова Вера Анатольевна Курск, Станционная, 35  п. 1 - М 4.1.5, [46/2141] М 4.1.4 - М 4.1.5, [46/2652] М 4.1.5 - М 4.1.10"</f>
        <v>[46/4458] ОК4.1-1.1 Баранова Вера Анатольевна Курск, Станционная, 35  п. 1 - М 4.1.5, [46/2141] М 4.1.4 - М 4.1.5, [46/2652] М 4.1.5 - М 4.1.10</v>
      </c>
      <c r="P238">
        <v>36.2355357</v>
      </c>
      <c r="Q238">
        <v>51.743313639999997</v>
      </c>
      <c r="R238" t="str">
        <f>""</f>
        <v/>
      </c>
    </row>
    <row r="239" spans="1:18" x14ac:dyDescent="0.25">
      <c r="A239">
        <v>907</v>
      </c>
      <c r="B239" t="str">
        <f t="shared" si="93"/>
        <v>Курск</v>
      </c>
      <c r="C239">
        <v>970705</v>
      </c>
      <c r="D239" t="str">
        <f t="shared" si="102"/>
        <v>Опора</v>
      </c>
      <c r="E239" t="str">
        <f>"КУМИ 2"</f>
        <v>КУМИ 2</v>
      </c>
      <c r="F239" t="str">
        <f>""</f>
        <v/>
      </c>
      <c r="G239" t="str">
        <f t="shared" si="98"/>
        <v>_МС (CAB_MS)</v>
      </c>
      <c r="H239" t="str">
        <f t="shared" si="104"/>
        <v>МС 4.1</v>
      </c>
      <c r="I239" t="str">
        <f t="shared" si="105"/>
        <v>29.07.2022</v>
      </c>
      <c r="J239" t="str">
        <f>""</f>
        <v/>
      </c>
      <c r="K239" t="str">
        <f t="shared" si="103"/>
        <v>Отсутствует</v>
      </c>
      <c r="L239" t="str">
        <f t="shared" si="106"/>
        <v>Комитет по управлению муниципальным имуществом города Курска</v>
      </c>
      <c r="M239" t="str">
        <f t="shared" si="107"/>
        <v>Неизвестно</v>
      </c>
      <c r="N239" t="str">
        <f t="shared" si="108"/>
        <v>Нет</v>
      </c>
      <c r="O239" t="str">
        <f>"[46/4458] ОК4.1-1.1 Баранова Вера Анатольевна Курск, Станционная, 35  п. 1 - М 4.1.5, [46/2141] М 4.1.4 - М 4.1.5, [46/2652] М 4.1.5 - М 4.1.10"</f>
        <v>[46/4458] ОК4.1-1.1 Баранова Вера Анатольевна Курск, Станционная, 35  п. 1 - М 4.1.5, [46/2141] М 4.1.4 - М 4.1.5, [46/2652] М 4.1.5 - М 4.1.10</v>
      </c>
      <c r="P239">
        <v>36.234902699999999</v>
      </c>
      <c r="Q239">
        <v>51.7433701</v>
      </c>
      <c r="R239" t="str">
        <f>""</f>
        <v/>
      </c>
    </row>
    <row r="240" spans="1:18" x14ac:dyDescent="0.25">
      <c r="A240">
        <v>907</v>
      </c>
      <c r="B240" t="str">
        <f t="shared" si="93"/>
        <v>Курск</v>
      </c>
      <c r="C240">
        <v>970704</v>
      </c>
      <c r="D240" t="str">
        <f t="shared" si="102"/>
        <v>Опора</v>
      </c>
      <c r="E240" t="str">
        <f>"КУМИ 1"</f>
        <v>КУМИ 1</v>
      </c>
      <c r="F240" t="str">
        <f>""</f>
        <v/>
      </c>
      <c r="G240" t="str">
        <f t="shared" si="98"/>
        <v>_МС (CAB_MS)</v>
      </c>
      <c r="H240" t="str">
        <f t="shared" si="104"/>
        <v>МС 4.1</v>
      </c>
      <c r="I240" t="str">
        <f t="shared" si="105"/>
        <v>29.07.2022</v>
      </c>
      <c r="J240" t="str">
        <f>""</f>
        <v/>
      </c>
      <c r="K240" t="str">
        <f t="shared" si="103"/>
        <v>Отсутствует</v>
      </c>
      <c r="L240" t="str">
        <f t="shared" si="106"/>
        <v>Комитет по управлению муниципальным имуществом города Курска</v>
      </c>
      <c r="M240" t="str">
        <f t="shared" si="107"/>
        <v>Неизвестно</v>
      </c>
      <c r="N240" t="str">
        <f t="shared" si="108"/>
        <v>Нет</v>
      </c>
      <c r="O240" t="str">
        <f>"[46/4458] ОК4.1-1.1 Баранова Вера Анатольевна Курск, Станционная, 35  п. 1 - М 4.1.5, [46/2141] М 4.1.4 - М 4.1.5, [46/2652] М 4.1.5 - М 4.1.10"</f>
        <v>[46/4458] ОК4.1-1.1 Баранова Вера Анатольевна Курск, Станционная, 35  п. 1 - М 4.1.5, [46/2141] М 4.1.4 - М 4.1.5, [46/2652] М 4.1.5 - М 4.1.10</v>
      </c>
      <c r="P240">
        <v>36.234379670000003</v>
      </c>
      <c r="Q240">
        <v>51.743406640000003</v>
      </c>
      <c r="R240" t="str">
        <f>""</f>
        <v/>
      </c>
    </row>
    <row r="241" spans="1:18" x14ac:dyDescent="0.25">
      <c r="A241">
        <v>907</v>
      </c>
      <c r="B241" t="str">
        <f t="shared" si="93"/>
        <v>Курск</v>
      </c>
      <c r="C241">
        <v>970629</v>
      </c>
      <c r="D241" t="str">
        <f t="shared" si="102"/>
        <v>Опора</v>
      </c>
      <c r="E241" t="str">
        <f>"КУМИ 17"</f>
        <v>КУМИ 17</v>
      </c>
      <c r="F241" t="str">
        <f t="shared" ref="F241:F256" si="109">"Актуализирована 27.08.22"</f>
        <v>Актуализирована 27.08.22</v>
      </c>
      <c r="G241" t="str">
        <f t="shared" si="98"/>
        <v>_МС (CAB_MS)</v>
      </c>
      <c r="H241" t="str">
        <f t="shared" si="104"/>
        <v>МС 4.1</v>
      </c>
      <c r="I241" t="str">
        <f t="shared" si="105"/>
        <v>29.07.2022</v>
      </c>
      <c r="J241" t="str">
        <f>""</f>
        <v/>
      </c>
      <c r="K241" t="str">
        <f t="shared" si="103"/>
        <v>Отсутствует</v>
      </c>
      <c r="L241" t="str">
        <f t="shared" si="106"/>
        <v>Комитет по управлению муниципальным имуществом города Курска</v>
      </c>
      <c r="M241" t="str">
        <f t="shared" si="107"/>
        <v>Неизвестно</v>
      </c>
      <c r="N241" t="str">
        <f t="shared" si="108"/>
        <v>Нет</v>
      </c>
      <c r="O241" t="str">
        <f t="shared" ref="O241:O256" si="110">"[46/2653] М 4.1.8 - М 4.1.9"</f>
        <v>[46/2653] М 4.1.8 - М 4.1.9</v>
      </c>
      <c r="P241">
        <v>36.235688590000002</v>
      </c>
      <c r="Q241">
        <v>51.734935239999999</v>
      </c>
      <c r="R241" t="str">
        <f>""</f>
        <v/>
      </c>
    </row>
    <row r="242" spans="1:18" x14ac:dyDescent="0.25">
      <c r="A242">
        <v>907</v>
      </c>
      <c r="B242" t="str">
        <f t="shared" si="93"/>
        <v>Курск</v>
      </c>
      <c r="C242">
        <v>970628</v>
      </c>
      <c r="D242" t="str">
        <f t="shared" si="102"/>
        <v>Опора</v>
      </c>
      <c r="E242" t="str">
        <f>"КУМИ 16"</f>
        <v>КУМИ 16</v>
      </c>
      <c r="F242" t="str">
        <f t="shared" si="109"/>
        <v>Актуализирована 27.08.22</v>
      </c>
      <c r="G242" t="str">
        <f t="shared" si="98"/>
        <v>_МС (CAB_MS)</v>
      </c>
      <c r="H242" t="str">
        <f t="shared" si="104"/>
        <v>МС 4.1</v>
      </c>
      <c r="I242" t="str">
        <f t="shared" si="105"/>
        <v>29.07.2022</v>
      </c>
      <c r="J242" t="str">
        <f>""</f>
        <v/>
      </c>
      <c r="K242" t="str">
        <f t="shared" si="103"/>
        <v>Отсутствует</v>
      </c>
      <c r="L242" t="str">
        <f t="shared" si="106"/>
        <v>Комитет по управлению муниципальным имуществом города Курска</v>
      </c>
      <c r="M242" t="str">
        <f t="shared" si="107"/>
        <v>Неизвестно</v>
      </c>
      <c r="N242" t="str">
        <f t="shared" si="108"/>
        <v>Нет</v>
      </c>
      <c r="O242" t="str">
        <f t="shared" si="110"/>
        <v>[46/2653] М 4.1.8 - М 4.1.9</v>
      </c>
      <c r="P242">
        <v>36.23540964</v>
      </c>
      <c r="Q242">
        <v>51.735121280000001</v>
      </c>
      <c r="R242" t="str">
        <f>""</f>
        <v/>
      </c>
    </row>
    <row r="243" spans="1:18" x14ac:dyDescent="0.25">
      <c r="A243">
        <v>907</v>
      </c>
      <c r="B243" t="str">
        <f t="shared" si="93"/>
        <v>Курск</v>
      </c>
      <c r="C243">
        <v>970627</v>
      </c>
      <c r="D243" t="str">
        <f t="shared" si="102"/>
        <v>Опора</v>
      </c>
      <c r="E243" t="str">
        <f>"КУМИ 15"</f>
        <v>КУМИ 15</v>
      </c>
      <c r="F243" t="str">
        <f t="shared" si="109"/>
        <v>Актуализирована 27.08.22</v>
      </c>
      <c r="G243" t="str">
        <f t="shared" si="98"/>
        <v>_МС (CAB_MS)</v>
      </c>
      <c r="H243" t="str">
        <f t="shared" si="104"/>
        <v>МС 4.1</v>
      </c>
      <c r="I243" t="str">
        <f t="shared" si="105"/>
        <v>29.07.2022</v>
      </c>
      <c r="J243" t="str">
        <f>""</f>
        <v/>
      </c>
      <c r="K243" t="str">
        <f t="shared" si="103"/>
        <v>Отсутствует</v>
      </c>
      <c r="L243" t="str">
        <f t="shared" si="106"/>
        <v>Комитет по управлению муниципальным имуществом города Курска</v>
      </c>
      <c r="M243" t="str">
        <f t="shared" si="107"/>
        <v>Неизвестно</v>
      </c>
      <c r="N243" t="str">
        <f t="shared" si="108"/>
        <v>Нет</v>
      </c>
      <c r="O243" t="str">
        <f t="shared" si="110"/>
        <v>[46/2653] М 4.1.8 - М 4.1.9</v>
      </c>
      <c r="P243">
        <v>36.235093139999996</v>
      </c>
      <c r="Q243">
        <v>51.735310640000002</v>
      </c>
      <c r="R243" t="str">
        <f>""</f>
        <v/>
      </c>
    </row>
    <row r="244" spans="1:18" x14ac:dyDescent="0.25">
      <c r="A244">
        <v>907</v>
      </c>
      <c r="B244" t="str">
        <f t="shared" si="93"/>
        <v>Курск</v>
      </c>
      <c r="C244">
        <v>970626</v>
      </c>
      <c r="D244" t="str">
        <f t="shared" si="102"/>
        <v>Опора</v>
      </c>
      <c r="E244" t="str">
        <f>"КУМИ 14"</f>
        <v>КУМИ 14</v>
      </c>
      <c r="F244" t="str">
        <f t="shared" si="109"/>
        <v>Актуализирована 27.08.22</v>
      </c>
      <c r="G244" t="str">
        <f t="shared" si="98"/>
        <v>_МС (CAB_MS)</v>
      </c>
      <c r="H244" t="str">
        <f t="shared" si="104"/>
        <v>МС 4.1</v>
      </c>
      <c r="I244" t="str">
        <f t="shared" si="105"/>
        <v>29.07.2022</v>
      </c>
      <c r="J244" t="str">
        <f>""</f>
        <v/>
      </c>
      <c r="K244" t="str">
        <f t="shared" si="103"/>
        <v>Отсутствует</v>
      </c>
      <c r="L244" t="str">
        <f t="shared" si="106"/>
        <v>Комитет по управлению муниципальным имуществом города Курска</v>
      </c>
      <c r="M244" t="str">
        <f t="shared" si="107"/>
        <v>Неизвестно</v>
      </c>
      <c r="N244" t="str">
        <f t="shared" si="108"/>
        <v>Нет</v>
      </c>
      <c r="O244" t="str">
        <f t="shared" si="110"/>
        <v>[46/2653] М 4.1.8 - М 4.1.9</v>
      </c>
      <c r="P244">
        <v>36.234808819999998</v>
      </c>
      <c r="Q244">
        <v>51.73549336</v>
      </c>
      <c r="R244" t="str">
        <f>""</f>
        <v/>
      </c>
    </row>
    <row r="245" spans="1:18" x14ac:dyDescent="0.25">
      <c r="A245">
        <v>907</v>
      </c>
      <c r="B245" t="str">
        <f t="shared" si="93"/>
        <v>Курск</v>
      </c>
      <c r="C245">
        <v>970625</v>
      </c>
      <c r="D245" t="str">
        <f t="shared" si="102"/>
        <v>Опора</v>
      </c>
      <c r="E245" t="str">
        <f>"КУМИ 13"</f>
        <v>КУМИ 13</v>
      </c>
      <c r="F245" t="str">
        <f t="shared" si="109"/>
        <v>Актуализирована 27.08.22</v>
      </c>
      <c r="G245" t="str">
        <f t="shared" si="98"/>
        <v>_МС (CAB_MS)</v>
      </c>
      <c r="H245" t="str">
        <f t="shared" si="104"/>
        <v>МС 4.1</v>
      </c>
      <c r="I245" t="str">
        <f t="shared" si="105"/>
        <v>29.07.2022</v>
      </c>
      <c r="J245" t="str">
        <f>""</f>
        <v/>
      </c>
      <c r="K245" t="str">
        <f t="shared" si="103"/>
        <v>Отсутствует</v>
      </c>
      <c r="L245" t="str">
        <f t="shared" si="106"/>
        <v>Комитет по управлению муниципальным имуществом города Курска</v>
      </c>
      <c r="M245" t="str">
        <f t="shared" si="107"/>
        <v>Неизвестно</v>
      </c>
      <c r="N245" t="str">
        <f t="shared" si="108"/>
        <v>Нет</v>
      </c>
      <c r="O245" t="str">
        <f t="shared" si="110"/>
        <v>[46/2653] М 4.1.8 - М 4.1.9</v>
      </c>
      <c r="P245">
        <v>36.234497689999998</v>
      </c>
      <c r="Q245">
        <v>51.73569269</v>
      </c>
      <c r="R245" t="str">
        <f>""</f>
        <v/>
      </c>
    </row>
    <row r="246" spans="1:18" x14ac:dyDescent="0.25">
      <c r="A246">
        <v>907</v>
      </c>
      <c r="B246" t="str">
        <f t="shared" si="93"/>
        <v>Курск</v>
      </c>
      <c r="C246">
        <v>970624</v>
      </c>
      <c r="D246" t="str">
        <f t="shared" si="102"/>
        <v>Опора</v>
      </c>
      <c r="E246" t="str">
        <f>"КУМИ 12"</f>
        <v>КУМИ 12</v>
      </c>
      <c r="F246" t="str">
        <f t="shared" si="109"/>
        <v>Актуализирована 27.08.22</v>
      </c>
      <c r="G246" t="str">
        <f t="shared" si="98"/>
        <v>_МС (CAB_MS)</v>
      </c>
      <c r="H246" t="str">
        <f t="shared" si="104"/>
        <v>МС 4.1</v>
      </c>
      <c r="I246" t="str">
        <f t="shared" si="105"/>
        <v>29.07.2022</v>
      </c>
      <c r="J246" t="str">
        <f>""</f>
        <v/>
      </c>
      <c r="K246" t="str">
        <f t="shared" si="103"/>
        <v>Отсутствует</v>
      </c>
      <c r="L246" t="str">
        <f t="shared" si="106"/>
        <v>Комитет по управлению муниципальным имуществом города Курска</v>
      </c>
      <c r="M246" t="str">
        <f t="shared" si="107"/>
        <v>Неизвестно</v>
      </c>
      <c r="N246" t="str">
        <f t="shared" si="108"/>
        <v>Нет</v>
      </c>
      <c r="O246" t="str">
        <f t="shared" si="110"/>
        <v>[46/2653] М 4.1.8 - М 4.1.9</v>
      </c>
      <c r="P246">
        <v>36.234175819999997</v>
      </c>
      <c r="Q246">
        <v>51.735901980000001</v>
      </c>
      <c r="R246" t="str">
        <f>""</f>
        <v/>
      </c>
    </row>
    <row r="247" spans="1:18" x14ac:dyDescent="0.25">
      <c r="A247">
        <v>907</v>
      </c>
      <c r="B247" t="str">
        <f t="shared" si="93"/>
        <v>Курск</v>
      </c>
      <c r="C247">
        <v>970623</v>
      </c>
      <c r="D247" t="str">
        <f t="shared" si="102"/>
        <v>Опора</v>
      </c>
      <c r="E247" t="str">
        <f>"КУМИ 11"</f>
        <v>КУМИ 11</v>
      </c>
      <c r="F247" t="str">
        <f t="shared" si="109"/>
        <v>Актуализирована 27.08.22</v>
      </c>
      <c r="G247" t="str">
        <f t="shared" si="98"/>
        <v>_МС (CAB_MS)</v>
      </c>
      <c r="H247" t="str">
        <f t="shared" si="104"/>
        <v>МС 4.1</v>
      </c>
      <c r="I247" t="str">
        <f t="shared" si="105"/>
        <v>29.07.2022</v>
      </c>
      <c r="J247" t="str">
        <f>""</f>
        <v/>
      </c>
      <c r="K247" t="str">
        <f t="shared" si="103"/>
        <v>Отсутствует</v>
      </c>
      <c r="L247" t="str">
        <f t="shared" si="106"/>
        <v>Комитет по управлению муниципальным имуществом города Курска</v>
      </c>
      <c r="M247" t="str">
        <f t="shared" si="107"/>
        <v>Неизвестно</v>
      </c>
      <c r="N247" t="str">
        <f t="shared" si="108"/>
        <v>Нет</v>
      </c>
      <c r="O247" t="str">
        <f t="shared" si="110"/>
        <v>[46/2653] М 4.1.8 - М 4.1.9</v>
      </c>
      <c r="P247">
        <v>36.233875419999997</v>
      </c>
      <c r="Q247">
        <v>51.736107949999997</v>
      </c>
      <c r="R247" t="str">
        <f>""</f>
        <v/>
      </c>
    </row>
    <row r="248" spans="1:18" x14ac:dyDescent="0.25">
      <c r="A248">
        <v>907</v>
      </c>
      <c r="B248" t="str">
        <f t="shared" si="93"/>
        <v>Курск</v>
      </c>
      <c r="C248">
        <v>970622</v>
      </c>
      <c r="D248" t="str">
        <f t="shared" si="102"/>
        <v>Опора</v>
      </c>
      <c r="E248" t="str">
        <f>"КУМИ 10"</f>
        <v>КУМИ 10</v>
      </c>
      <c r="F248" t="str">
        <f t="shared" si="109"/>
        <v>Актуализирована 27.08.22</v>
      </c>
      <c r="G248" t="str">
        <f t="shared" si="98"/>
        <v>_МС (CAB_MS)</v>
      </c>
      <c r="H248" t="str">
        <f t="shared" si="104"/>
        <v>МС 4.1</v>
      </c>
      <c r="I248" t="str">
        <f t="shared" si="105"/>
        <v>29.07.2022</v>
      </c>
      <c r="J248" t="str">
        <f>""</f>
        <v/>
      </c>
      <c r="K248" t="str">
        <f t="shared" si="103"/>
        <v>Отсутствует</v>
      </c>
      <c r="L248" t="str">
        <f t="shared" si="106"/>
        <v>Комитет по управлению муниципальным имуществом города Курска</v>
      </c>
      <c r="M248" t="str">
        <f t="shared" si="107"/>
        <v>Неизвестно</v>
      </c>
      <c r="N248" t="str">
        <f t="shared" si="108"/>
        <v>Нет</v>
      </c>
      <c r="O248" t="str">
        <f t="shared" si="110"/>
        <v>[46/2653] М 4.1.8 - М 4.1.9</v>
      </c>
      <c r="P248">
        <v>36.233516000000002</v>
      </c>
      <c r="Q248">
        <v>51.736350469999998</v>
      </c>
      <c r="R248" t="str">
        <f>""</f>
        <v/>
      </c>
    </row>
    <row r="249" spans="1:18" x14ac:dyDescent="0.25">
      <c r="A249">
        <v>907</v>
      </c>
      <c r="B249" t="str">
        <f t="shared" si="93"/>
        <v>Курск</v>
      </c>
      <c r="C249">
        <v>970621</v>
      </c>
      <c r="D249" t="str">
        <f t="shared" si="102"/>
        <v>Опора</v>
      </c>
      <c r="E249" t="str">
        <f>"КУМИ 9"</f>
        <v>КУМИ 9</v>
      </c>
      <c r="F249" t="str">
        <f t="shared" si="109"/>
        <v>Актуализирована 27.08.22</v>
      </c>
      <c r="G249" t="str">
        <f t="shared" si="98"/>
        <v>_МС (CAB_MS)</v>
      </c>
      <c r="H249" t="str">
        <f t="shared" si="104"/>
        <v>МС 4.1</v>
      </c>
      <c r="I249" t="str">
        <f t="shared" si="105"/>
        <v>29.07.2022</v>
      </c>
      <c r="J249" t="str">
        <f>""</f>
        <v/>
      </c>
      <c r="K249" t="str">
        <f t="shared" si="103"/>
        <v>Отсутствует</v>
      </c>
      <c r="L249" t="str">
        <f t="shared" si="106"/>
        <v>Комитет по управлению муниципальным имуществом города Курска</v>
      </c>
      <c r="M249" t="str">
        <f t="shared" si="107"/>
        <v>Неизвестно</v>
      </c>
      <c r="N249" t="str">
        <f t="shared" si="108"/>
        <v>Нет</v>
      </c>
      <c r="O249" t="str">
        <f t="shared" si="110"/>
        <v>[46/2653] М 4.1.8 - М 4.1.9</v>
      </c>
      <c r="P249">
        <v>36.233178039999999</v>
      </c>
      <c r="Q249">
        <v>51.736543150000003</v>
      </c>
      <c r="R249" t="str">
        <f>""</f>
        <v/>
      </c>
    </row>
    <row r="250" spans="1:18" x14ac:dyDescent="0.25">
      <c r="A250">
        <v>907</v>
      </c>
      <c r="B250" t="str">
        <f t="shared" si="93"/>
        <v>Курск</v>
      </c>
      <c r="C250">
        <v>970620</v>
      </c>
      <c r="D250" t="str">
        <f t="shared" si="102"/>
        <v>Опора</v>
      </c>
      <c r="E250" t="str">
        <f>"КУМИ 8"</f>
        <v>КУМИ 8</v>
      </c>
      <c r="F250" t="str">
        <f t="shared" si="109"/>
        <v>Актуализирована 27.08.22</v>
      </c>
      <c r="G250" t="str">
        <f t="shared" si="98"/>
        <v>_МС (CAB_MS)</v>
      </c>
      <c r="H250" t="str">
        <f t="shared" si="104"/>
        <v>МС 4.1</v>
      </c>
      <c r="I250" t="str">
        <f t="shared" si="105"/>
        <v>29.07.2022</v>
      </c>
      <c r="J250" t="str">
        <f>""</f>
        <v/>
      </c>
      <c r="K250" t="str">
        <f t="shared" si="103"/>
        <v>Отсутствует</v>
      </c>
      <c r="L250" t="str">
        <f t="shared" si="106"/>
        <v>Комитет по управлению муниципальным имуществом города Курска</v>
      </c>
      <c r="M250" t="str">
        <f t="shared" si="107"/>
        <v>Неизвестно</v>
      </c>
      <c r="N250" t="str">
        <f t="shared" si="108"/>
        <v>Нет</v>
      </c>
      <c r="O250" t="str">
        <f t="shared" si="110"/>
        <v>[46/2653] М 4.1.8 - М 4.1.9</v>
      </c>
      <c r="P250">
        <v>36.232832039999998</v>
      </c>
      <c r="Q250">
        <v>51.736775690000002</v>
      </c>
      <c r="R250" t="str">
        <f>""</f>
        <v/>
      </c>
    </row>
    <row r="251" spans="1:18" x14ac:dyDescent="0.25">
      <c r="A251">
        <v>907</v>
      </c>
      <c r="B251" t="str">
        <f t="shared" si="93"/>
        <v>Курск</v>
      </c>
      <c r="C251">
        <v>970619</v>
      </c>
      <c r="D251" t="str">
        <f t="shared" si="102"/>
        <v>Опора</v>
      </c>
      <c r="E251" t="str">
        <f>"КУМИ 7"</f>
        <v>КУМИ 7</v>
      </c>
      <c r="F251" t="str">
        <f t="shared" si="109"/>
        <v>Актуализирована 27.08.22</v>
      </c>
      <c r="G251" t="str">
        <f t="shared" si="98"/>
        <v>_МС (CAB_MS)</v>
      </c>
      <c r="H251" t="str">
        <f t="shared" si="104"/>
        <v>МС 4.1</v>
      </c>
      <c r="I251" t="str">
        <f t="shared" si="105"/>
        <v>29.07.2022</v>
      </c>
      <c r="J251" t="str">
        <f>""</f>
        <v/>
      </c>
      <c r="K251" t="str">
        <f t="shared" si="103"/>
        <v>Отсутствует</v>
      </c>
      <c r="L251" t="str">
        <f t="shared" si="106"/>
        <v>Комитет по управлению муниципальным имуществом города Курска</v>
      </c>
      <c r="M251" t="str">
        <f t="shared" si="107"/>
        <v>Неизвестно</v>
      </c>
      <c r="N251" t="str">
        <f t="shared" si="108"/>
        <v>Нет</v>
      </c>
      <c r="O251" t="str">
        <f t="shared" si="110"/>
        <v>[46/2653] М 4.1.8 - М 4.1.9</v>
      </c>
      <c r="P251">
        <v>36.232534309999998</v>
      </c>
      <c r="Q251">
        <v>51.73697335</v>
      </c>
      <c r="R251" t="str">
        <f>""</f>
        <v/>
      </c>
    </row>
    <row r="252" spans="1:18" x14ac:dyDescent="0.25">
      <c r="A252">
        <v>907</v>
      </c>
      <c r="B252" t="str">
        <f t="shared" si="93"/>
        <v>Курск</v>
      </c>
      <c r="C252">
        <v>970618</v>
      </c>
      <c r="D252" t="str">
        <f t="shared" si="102"/>
        <v>Опора</v>
      </c>
      <c r="E252" t="str">
        <f>"КУМИ 6"</f>
        <v>КУМИ 6</v>
      </c>
      <c r="F252" t="str">
        <f t="shared" si="109"/>
        <v>Актуализирована 27.08.22</v>
      </c>
      <c r="G252" t="str">
        <f t="shared" si="98"/>
        <v>_МС (CAB_MS)</v>
      </c>
      <c r="H252" t="str">
        <f t="shared" si="104"/>
        <v>МС 4.1</v>
      </c>
      <c r="I252" t="str">
        <f t="shared" si="105"/>
        <v>29.07.2022</v>
      </c>
      <c r="J252" t="str">
        <f>""</f>
        <v/>
      </c>
      <c r="K252" t="str">
        <f t="shared" si="103"/>
        <v>Отсутствует</v>
      </c>
      <c r="L252" t="str">
        <f t="shared" si="106"/>
        <v>Комитет по управлению муниципальным имуществом города Курска</v>
      </c>
      <c r="M252" t="str">
        <f t="shared" si="107"/>
        <v>Неизвестно</v>
      </c>
      <c r="N252" t="str">
        <f t="shared" si="108"/>
        <v>Нет</v>
      </c>
      <c r="O252" t="str">
        <f t="shared" si="110"/>
        <v>[46/2653] М 4.1.8 - М 4.1.9</v>
      </c>
      <c r="P252">
        <v>36.232368010000002</v>
      </c>
      <c r="Q252">
        <v>51.737092949999997</v>
      </c>
      <c r="R252" t="str">
        <f>""</f>
        <v/>
      </c>
    </row>
    <row r="253" spans="1:18" x14ac:dyDescent="0.25">
      <c r="A253">
        <v>907</v>
      </c>
      <c r="B253" t="str">
        <f t="shared" si="93"/>
        <v>Курск</v>
      </c>
      <c r="C253">
        <v>970617</v>
      </c>
      <c r="D253" t="str">
        <f t="shared" si="102"/>
        <v>Опора</v>
      </c>
      <c r="E253" t="str">
        <f>"КУМИ 5"</f>
        <v>КУМИ 5</v>
      </c>
      <c r="F253" t="str">
        <f t="shared" si="109"/>
        <v>Актуализирована 27.08.22</v>
      </c>
      <c r="G253" t="str">
        <f t="shared" si="98"/>
        <v>_МС (CAB_MS)</v>
      </c>
      <c r="H253" t="str">
        <f t="shared" si="104"/>
        <v>МС 4.1</v>
      </c>
      <c r="I253" t="str">
        <f t="shared" si="105"/>
        <v>29.07.2022</v>
      </c>
      <c r="J253" t="str">
        <f>""</f>
        <v/>
      </c>
      <c r="K253" t="str">
        <f t="shared" si="103"/>
        <v>Отсутствует</v>
      </c>
      <c r="L253" t="str">
        <f t="shared" si="106"/>
        <v>Комитет по управлению муниципальным имуществом города Курска</v>
      </c>
      <c r="M253" t="str">
        <f t="shared" si="107"/>
        <v>Неизвестно</v>
      </c>
      <c r="N253" t="str">
        <f t="shared" si="108"/>
        <v>Нет</v>
      </c>
      <c r="O253" t="str">
        <f t="shared" si="110"/>
        <v>[46/2653] М 4.1.8 - М 4.1.9</v>
      </c>
      <c r="P253">
        <v>36.232072969999997</v>
      </c>
      <c r="Q253">
        <v>51.737285620000002</v>
      </c>
      <c r="R253" t="str">
        <f>""</f>
        <v/>
      </c>
    </row>
    <row r="254" spans="1:18" x14ac:dyDescent="0.25">
      <c r="A254">
        <v>907</v>
      </c>
      <c r="B254" t="str">
        <f t="shared" si="93"/>
        <v>Курск</v>
      </c>
      <c r="C254">
        <v>970616</v>
      </c>
      <c r="D254" t="str">
        <f t="shared" si="102"/>
        <v>Опора</v>
      </c>
      <c r="E254" t="str">
        <f>"КУМИ 4"</f>
        <v>КУМИ 4</v>
      </c>
      <c r="F254" t="str">
        <f t="shared" si="109"/>
        <v>Актуализирована 27.08.22</v>
      </c>
      <c r="G254" t="str">
        <f t="shared" si="98"/>
        <v>_МС (CAB_MS)</v>
      </c>
      <c r="H254" t="str">
        <f t="shared" si="104"/>
        <v>МС 4.1</v>
      </c>
      <c r="I254" t="str">
        <f t="shared" si="105"/>
        <v>29.07.2022</v>
      </c>
      <c r="J254" t="str">
        <f>""</f>
        <v/>
      </c>
      <c r="K254" t="str">
        <f t="shared" si="103"/>
        <v>Отсутствует</v>
      </c>
      <c r="L254" t="str">
        <f t="shared" si="106"/>
        <v>Комитет по управлению муниципальным имуществом города Курска</v>
      </c>
      <c r="M254" t="str">
        <f t="shared" si="107"/>
        <v>Неизвестно</v>
      </c>
      <c r="N254" t="str">
        <f t="shared" si="108"/>
        <v>Нет</v>
      </c>
      <c r="O254" t="str">
        <f t="shared" si="110"/>
        <v>[46/2653] М 4.1.8 - М 4.1.9</v>
      </c>
      <c r="P254">
        <v>36.231815480000002</v>
      </c>
      <c r="Q254">
        <v>51.737458369999999</v>
      </c>
      <c r="R254" t="str">
        <f>""</f>
        <v/>
      </c>
    </row>
    <row r="255" spans="1:18" x14ac:dyDescent="0.25">
      <c r="A255">
        <v>907</v>
      </c>
      <c r="B255" t="str">
        <f t="shared" si="93"/>
        <v>Курск</v>
      </c>
      <c r="C255">
        <v>970615</v>
      </c>
      <c r="D255" t="str">
        <f t="shared" si="102"/>
        <v>Опора</v>
      </c>
      <c r="E255" t="str">
        <f>"КУМИ 3"</f>
        <v>КУМИ 3</v>
      </c>
      <c r="F255" t="str">
        <f t="shared" si="109"/>
        <v>Актуализирована 27.08.22</v>
      </c>
      <c r="G255" t="str">
        <f t="shared" si="98"/>
        <v>_МС (CAB_MS)</v>
      </c>
      <c r="H255" t="str">
        <f t="shared" si="104"/>
        <v>МС 4.1</v>
      </c>
      <c r="I255" t="str">
        <f t="shared" si="105"/>
        <v>29.07.2022</v>
      </c>
      <c r="J255" t="str">
        <f>""</f>
        <v/>
      </c>
      <c r="K255" t="str">
        <f t="shared" si="103"/>
        <v>Отсутствует</v>
      </c>
      <c r="L255" t="str">
        <f t="shared" si="106"/>
        <v>Комитет по управлению муниципальным имуществом города Курска</v>
      </c>
      <c r="M255" t="str">
        <f t="shared" si="107"/>
        <v>Неизвестно</v>
      </c>
      <c r="N255" t="str">
        <f t="shared" si="108"/>
        <v>Нет</v>
      </c>
      <c r="O255" t="str">
        <f t="shared" si="110"/>
        <v>[46/2653] М 4.1.8 - М 4.1.9</v>
      </c>
      <c r="P255">
        <v>36.231509709999997</v>
      </c>
      <c r="Q255">
        <v>51.737661009999997</v>
      </c>
      <c r="R255" t="str">
        <f>""</f>
        <v/>
      </c>
    </row>
    <row r="256" spans="1:18" x14ac:dyDescent="0.25">
      <c r="A256">
        <v>907</v>
      </c>
      <c r="B256" t="str">
        <f t="shared" si="93"/>
        <v>Курск</v>
      </c>
      <c r="C256">
        <v>970614</v>
      </c>
      <c r="D256" t="str">
        <f t="shared" si="102"/>
        <v>Опора</v>
      </c>
      <c r="E256" t="str">
        <f>"КУМИ 2"</f>
        <v>КУМИ 2</v>
      </c>
      <c r="F256" t="str">
        <f t="shared" si="109"/>
        <v>Актуализирована 27.08.22</v>
      </c>
      <c r="G256" t="str">
        <f t="shared" si="98"/>
        <v>_МС (CAB_MS)</v>
      </c>
      <c r="H256" t="str">
        <f t="shared" si="104"/>
        <v>МС 4.1</v>
      </c>
      <c r="I256" t="str">
        <f t="shared" si="105"/>
        <v>29.07.2022</v>
      </c>
      <c r="J256" t="str">
        <f>""</f>
        <v/>
      </c>
      <c r="K256" t="str">
        <f t="shared" si="103"/>
        <v>Отсутствует</v>
      </c>
      <c r="L256" t="str">
        <f t="shared" si="106"/>
        <v>Комитет по управлению муниципальным имуществом города Курска</v>
      </c>
      <c r="M256" t="str">
        <f t="shared" si="107"/>
        <v>Неизвестно</v>
      </c>
      <c r="N256" t="str">
        <f t="shared" si="108"/>
        <v>Нет</v>
      </c>
      <c r="O256" t="str">
        <f t="shared" si="110"/>
        <v>[46/2653] М 4.1.8 - М 4.1.9</v>
      </c>
      <c r="P256">
        <v>36.231252220000002</v>
      </c>
      <c r="Q256">
        <v>51.73783375</v>
      </c>
      <c r="R256" t="str">
        <f>""</f>
        <v/>
      </c>
    </row>
    <row r="257" spans="1:18" x14ac:dyDescent="0.25">
      <c r="A257">
        <v>907</v>
      </c>
      <c r="B257" t="str">
        <f t="shared" si="93"/>
        <v>Курск</v>
      </c>
      <c r="C257">
        <v>970808</v>
      </c>
      <c r="D257" t="str">
        <f t="shared" ref="D257:D288" si="111">"Опора"</f>
        <v>Опора</v>
      </c>
      <c r="E257" t="str">
        <f>"КЭС"</f>
        <v>КЭС</v>
      </c>
      <c r="F257" t="str">
        <f>""</f>
        <v/>
      </c>
      <c r="G257" t="str">
        <f t="shared" si="98"/>
        <v>_МС (CAB_MS)</v>
      </c>
      <c r="H257" t="str">
        <f t="shared" si="104"/>
        <v>МС 4.1</v>
      </c>
      <c r="I257" t="str">
        <f t="shared" si="105"/>
        <v>29.07.2022</v>
      </c>
      <c r="J257" t="str">
        <f>""</f>
        <v/>
      </c>
      <c r="K257" t="str">
        <f t="shared" si="103"/>
        <v>Отсутствует</v>
      </c>
      <c r="L257" t="str">
        <f>"ОАО ""Курские электрические сети"""</f>
        <v>ОАО "Курские электрические сети"</v>
      </c>
      <c r="M257" t="str">
        <f t="shared" si="107"/>
        <v>Неизвестно</v>
      </c>
      <c r="N257" t="str">
        <f t="shared" si="108"/>
        <v>Нет</v>
      </c>
      <c r="O257" t="str">
        <f>"[46/2777] М 4.1.12 - М 4.1.8"</f>
        <v>[46/2777] М 4.1.12 - М 4.1.8</v>
      </c>
      <c r="P257">
        <v>36.231026569999997</v>
      </c>
      <c r="Q257">
        <v>51.739361209999998</v>
      </c>
      <c r="R257" t="str">
        <f>""</f>
        <v/>
      </c>
    </row>
    <row r="258" spans="1:18" x14ac:dyDescent="0.25">
      <c r="A258">
        <v>907</v>
      </c>
      <c r="B258" t="str">
        <f t="shared" ref="B258:B321" si="112">"Курск"</f>
        <v>Курск</v>
      </c>
      <c r="C258">
        <v>970807</v>
      </c>
      <c r="D258" t="str">
        <f t="shared" si="111"/>
        <v>Опора</v>
      </c>
      <c r="E258" t="str">
        <f>"КЭС"</f>
        <v>КЭС</v>
      </c>
      <c r="F258" t="str">
        <f>""</f>
        <v/>
      </c>
      <c r="G258" t="str">
        <f t="shared" si="98"/>
        <v>_МС (CAB_MS)</v>
      </c>
      <c r="H258" t="str">
        <f t="shared" si="104"/>
        <v>МС 4.1</v>
      </c>
      <c r="I258" t="str">
        <f t="shared" si="105"/>
        <v>29.07.2022</v>
      </c>
      <c r="J258" t="str">
        <f>""</f>
        <v/>
      </c>
      <c r="K258" t="str">
        <f t="shared" si="103"/>
        <v>Отсутствует</v>
      </c>
      <c r="L258" t="str">
        <f>"ОАО ""Курские электрические сети"""</f>
        <v>ОАО "Курские электрические сети"</v>
      </c>
      <c r="M258" t="str">
        <f t="shared" si="107"/>
        <v>Неизвестно</v>
      </c>
      <c r="N258" t="str">
        <f t="shared" si="108"/>
        <v>Нет</v>
      </c>
      <c r="O258" t="str">
        <f>"[46/2777] М 4.1.12 - М 4.1.8"</f>
        <v>[46/2777] М 4.1.12 - М 4.1.8</v>
      </c>
      <c r="P258">
        <v>36.231337709999998</v>
      </c>
      <c r="Q258">
        <v>51.739652700000001</v>
      </c>
      <c r="R258" t="str">
        <f>""</f>
        <v/>
      </c>
    </row>
    <row r="259" spans="1:18" x14ac:dyDescent="0.25">
      <c r="A259">
        <v>907</v>
      </c>
      <c r="B259" t="str">
        <f t="shared" si="112"/>
        <v>Курск</v>
      </c>
      <c r="C259">
        <v>970806</v>
      </c>
      <c r="D259" t="str">
        <f t="shared" si="111"/>
        <v>Опора</v>
      </c>
      <c r="E259" t="str">
        <f>"КЭС"</f>
        <v>КЭС</v>
      </c>
      <c r="F259" t="str">
        <f>""</f>
        <v/>
      </c>
      <c r="G259" t="str">
        <f t="shared" si="98"/>
        <v>_МС (CAB_MS)</v>
      </c>
      <c r="H259" t="str">
        <f t="shared" si="104"/>
        <v>МС 4.1</v>
      </c>
      <c r="I259" t="str">
        <f t="shared" si="105"/>
        <v>29.07.2022</v>
      </c>
      <c r="J259" t="str">
        <f>""</f>
        <v/>
      </c>
      <c r="K259" t="str">
        <f t="shared" si="103"/>
        <v>Отсутствует</v>
      </c>
      <c r="L259" t="str">
        <f>"ОАО ""Курские электрические сети"""</f>
        <v>ОАО "Курские электрические сети"</v>
      </c>
      <c r="M259" t="str">
        <f t="shared" si="107"/>
        <v>Неизвестно</v>
      </c>
      <c r="N259" t="str">
        <f t="shared" si="108"/>
        <v>Нет</v>
      </c>
      <c r="O259" t="str">
        <f>"[46/2777] М 4.1.12 - М 4.1.8"</f>
        <v>[46/2777] М 4.1.12 - М 4.1.8</v>
      </c>
      <c r="P259">
        <v>36.23159252</v>
      </c>
      <c r="Q259">
        <v>51.739893539999997</v>
      </c>
      <c r="R259" t="str">
        <f>""</f>
        <v/>
      </c>
    </row>
    <row r="260" spans="1:18" x14ac:dyDescent="0.25">
      <c r="A260">
        <v>907</v>
      </c>
      <c r="B260" t="str">
        <f t="shared" si="112"/>
        <v>Курск</v>
      </c>
      <c r="C260">
        <v>970700</v>
      </c>
      <c r="D260" t="str">
        <f t="shared" si="111"/>
        <v>Опора</v>
      </c>
      <c r="E260" t="str">
        <f>"КУМИ 13"</f>
        <v>КУМИ 13</v>
      </c>
      <c r="F260" t="str">
        <f>""</f>
        <v/>
      </c>
      <c r="G260" t="str">
        <f t="shared" si="98"/>
        <v>_МС (CAB_MS)</v>
      </c>
      <c r="H260" t="str">
        <f t="shared" si="104"/>
        <v>МС 4.1</v>
      </c>
      <c r="I260" t="str">
        <f t="shared" si="105"/>
        <v>29.07.2022</v>
      </c>
      <c r="J260" t="str">
        <f>""</f>
        <v/>
      </c>
      <c r="K260" t="str">
        <f t="shared" si="103"/>
        <v>Отсутствует</v>
      </c>
      <c r="L260" t="str">
        <f t="shared" ref="L260:L272" si="113">"Комитет по управлению муниципальным имуществом города Курска"</f>
        <v>Комитет по управлению муниципальным имуществом города Курска</v>
      </c>
      <c r="M260" t="str">
        <f t="shared" si="107"/>
        <v>Неизвестно</v>
      </c>
      <c r="N260" t="str">
        <f t="shared" si="108"/>
        <v>Нет</v>
      </c>
      <c r="O260" t="str">
        <f>"[46/2652] М 4.1.5 - М 4.1.10"</f>
        <v>[46/2652] М 4.1.5 - М 4.1.10</v>
      </c>
      <c r="P260">
        <v>36.234072560000001</v>
      </c>
      <c r="Q260">
        <v>51.74322686</v>
      </c>
      <c r="R260" t="str">
        <f>""</f>
        <v/>
      </c>
    </row>
    <row r="261" spans="1:18" x14ac:dyDescent="0.25">
      <c r="A261">
        <v>907</v>
      </c>
      <c r="B261" t="str">
        <f t="shared" si="112"/>
        <v>Курск</v>
      </c>
      <c r="C261">
        <v>970699</v>
      </c>
      <c r="D261" t="str">
        <f t="shared" si="111"/>
        <v>Опора</v>
      </c>
      <c r="E261" t="str">
        <f>"КУМИ 12"</f>
        <v>КУМИ 12</v>
      </c>
      <c r="F261" t="str">
        <f>""</f>
        <v/>
      </c>
      <c r="G261" t="str">
        <f t="shared" si="98"/>
        <v>_МС (CAB_MS)</v>
      </c>
      <c r="H261" t="str">
        <f t="shared" si="104"/>
        <v>МС 4.1</v>
      </c>
      <c r="I261" t="str">
        <f t="shared" si="105"/>
        <v>29.07.2022</v>
      </c>
      <c r="J261" t="str">
        <f>""</f>
        <v/>
      </c>
      <c r="K261" t="str">
        <f t="shared" si="103"/>
        <v>Отсутствует</v>
      </c>
      <c r="L261" t="str">
        <f t="shared" si="113"/>
        <v>Комитет по управлению муниципальным имуществом города Курска</v>
      </c>
      <c r="M261" t="str">
        <f t="shared" si="107"/>
        <v>Неизвестно</v>
      </c>
      <c r="N261" t="str">
        <f t="shared" si="108"/>
        <v>Нет</v>
      </c>
      <c r="O261" t="str">
        <f>"[46/2652] М 4.1.5 - М 4.1.10"</f>
        <v>[46/2652] М 4.1.5 - М 4.1.10</v>
      </c>
      <c r="P261">
        <v>36.233731919999997</v>
      </c>
      <c r="Q261">
        <v>51.742909650000001</v>
      </c>
      <c r="R261" t="str">
        <f>""</f>
        <v/>
      </c>
    </row>
    <row r="262" spans="1:18" x14ac:dyDescent="0.25">
      <c r="A262">
        <v>907</v>
      </c>
      <c r="B262" t="str">
        <f t="shared" si="112"/>
        <v>Курск</v>
      </c>
      <c r="C262">
        <v>970698</v>
      </c>
      <c r="D262" t="str">
        <f t="shared" si="111"/>
        <v>Опора</v>
      </c>
      <c r="E262" t="str">
        <f>"КУМИ 11"</f>
        <v>КУМИ 11</v>
      </c>
      <c r="F262" t="str">
        <f>""</f>
        <v/>
      </c>
      <c r="G262" t="str">
        <f t="shared" si="98"/>
        <v>_МС (CAB_MS)</v>
      </c>
      <c r="H262" t="str">
        <f t="shared" si="104"/>
        <v>МС 4.1</v>
      </c>
      <c r="I262" t="str">
        <f t="shared" si="105"/>
        <v>29.07.2022</v>
      </c>
      <c r="J262" t="str">
        <f>""</f>
        <v/>
      </c>
      <c r="K262" t="str">
        <f t="shared" si="103"/>
        <v>Отсутствует</v>
      </c>
      <c r="L262" t="str">
        <f t="shared" si="113"/>
        <v>Комитет по управлению муниципальным имуществом города Курска</v>
      </c>
      <c r="M262" t="str">
        <f t="shared" si="107"/>
        <v>Неизвестно</v>
      </c>
      <c r="N262" t="str">
        <f t="shared" si="108"/>
        <v>Нет</v>
      </c>
      <c r="O262" t="str">
        <f>"[46/2652] М 4.1.5 - М 4.1.10"</f>
        <v>[46/2652] М 4.1.5 - М 4.1.10</v>
      </c>
      <c r="P262">
        <v>36.23348515</v>
      </c>
      <c r="Q262">
        <v>51.742537630000001</v>
      </c>
      <c r="R262" t="str">
        <f>""</f>
        <v/>
      </c>
    </row>
    <row r="263" spans="1:18" x14ac:dyDescent="0.25">
      <c r="A263">
        <v>907</v>
      </c>
      <c r="B263" t="str">
        <f t="shared" si="112"/>
        <v>Курск</v>
      </c>
      <c r="C263">
        <v>970697</v>
      </c>
      <c r="D263" t="str">
        <f t="shared" si="111"/>
        <v>Опора</v>
      </c>
      <c r="E263" t="str">
        <f>"КУМИ 10"</f>
        <v>КУМИ 10</v>
      </c>
      <c r="F263" t="str">
        <f>""</f>
        <v/>
      </c>
      <c r="G263" t="str">
        <f t="shared" si="98"/>
        <v>_МС (CAB_MS)</v>
      </c>
      <c r="H263" t="str">
        <f t="shared" si="104"/>
        <v>МС 4.1</v>
      </c>
      <c r="I263" t="str">
        <f t="shared" si="105"/>
        <v>29.07.2022</v>
      </c>
      <c r="J263" t="str">
        <f>""</f>
        <v/>
      </c>
      <c r="K263" t="str">
        <f t="shared" si="103"/>
        <v>Отсутствует</v>
      </c>
      <c r="L263" t="str">
        <f t="shared" si="113"/>
        <v>Комитет по управлению муниципальным имуществом города Курска</v>
      </c>
      <c r="M263" t="str">
        <f t="shared" si="107"/>
        <v>Неизвестно</v>
      </c>
      <c r="N263" t="str">
        <f t="shared" si="108"/>
        <v>Нет</v>
      </c>
      <c r="O263" t="str">
        <f>"[46/2652] М 4.1.5 - М 4.1.10"</f>
        <v>[46/2652] М 4.1.5 - М 4.1.10</v>
      </c>
      <c r="P263">
        <v>36.233348360000001</v>
      </c>
      <c r="Q263">
        <v>51.742241999999997</v>
      </c>
      <c r="R263" t="str">
        <f>""</f>
        <v/>
      </c>
    </row>
    <row r="264" spans="1:18" x14ac:dyDescent="0.25">
      <c r="A264">
        <v>907</v>
      </c>
      <c r="B264" t="str">
        <f t="shared" si="112"/>
        <v>Курск</v>
      </c>
      <c r="C264">
        <v>970696</v>
      </c>
      <c r="D264" t="str">
        <f t="shared" si="111"/>
        <v>Опора</v>
      </c>
      <c r="E264" t="str">
        <f>"КУМИ 9"</f>
        <v>КУМИ 9</v>
      </c>
      <c r="F264" t="str">
        <f>""</f>
        <v/>
      </c>
      <c r="G264" t="str">
        <f t="shared" si="98"/>
        <v>_МС (CAB_MS)</v>
      </c>
      <c r="H264" t="str">
        <f t="shared" si="104"/>
        <v>МС 4.1</v>
      </c>
      <c r="I264" t="str">
        <f t="shared" si="105"/>
        <v>29.07.2022</v>
      </c>
      <c r="J264" t="str">
        <f>""</f>
        <v/>
      </c>
      <c r="K264" t="str">
        <f t="shared" si="103"/>
        <v>Отсутствует</v>
      </c>
      <c r="L264" t="str">
        <f t="shared" si="113"/>
        <v>Комитет по управлению муниципальным имуществом города Курска</v>
      </c>
      <c r="M264" t="str">
        <f t="shared" si="107"/>
        <v>Неизвестно</v>
      </c>
      <c r="N264" t="str">
        <f t="shared" si="108"/>
        <v>Нет</v>
      </c>
      <c r="O264" t="str">
        <f>"[46/2652] М 4.1.5 - М 4.1.10"</f>
        <v>[46/2652] М 4.1.5 - М 4.1.10</v>
      </c>
      <c r="P264">
        <v>36.233241069999998</v>
      </c>
      <c r="Q264">
        <v>51.741966300000001</v>
      </c>
      <c r="R264" t="str">
        <f>""</f>
        <v/>
      </c>
    </row>
    <row r="265" spans="1:18" x14ac:dyDescent="0.25">
      <c r="A265">
        <v>907</v>
      </c>
      <c r="B265" t="str">
        <f t="shared" si="112"/>
        <v>Курск</v>
      </c>
      <c r="C265">
        <v>970695</v>
      </c>
      <c r="D265" t="str">
        <f t="shared" si="111"/>
        <v>Опора</v>
      </c>
      <c r="E265" t="str">
        <f>"КУМИ 8"</f>
        <v>КУМИ 8</v>
      </c>
      <c r="F265" t="str">
        <f>""</f>
        <v/>
      </c>
      <c r="G265" t="str">
        <f t="shared" si="98"/>
        <v>_МС (CAB_MS)</v>
      </c>
      <c r="H265" t="str">
        <f t="shared" si="104"/>
        <v>МС 4.1</v>
      </c>
      <c r="I265" t="str">
        <f t="shared" si="105"/>
        <v>29.07.2022</v>
      </c>
      <c r="J265" t="str">
        <f>""</f>
        <v/>
      </c>
      <c r="K265" t="str">
        <f t="shared" ref="K265:K296" si="114">"Отсутствует"</f>
        <v>Отсутствует</v>
      </c>
      <c r="L265" t="str">
        <f t="shared" si="113"/>
        <v>Комитет по управлению муниципальным имуществом города Курска</v>
      </c>
      <c r="M265" t="str">
        <f t="shared" si="107"/>
        <v>Неизвестно</v>
      </c>
      <c r="N265" t="str">
        <f t="shared" si="108"/>
        <v>Нет</v>
      </c>
      <c r="O265" t="str">
        <f>"[46/2782] М 4.1.10 - М 4.1.13, [46/2652] М 4.1.5 - М 4.1.10"</f>
        <v>[46/2782] М 4.1.10 - М 4.1.13, [46/2652] М 4.1.5 - М 4.1.10</v>
      </c>
      <c r="P265">
        <v>36.233160609999999</v>
      </c>
      <c r="Q265">
        <v>51.7417886</v>
      </c>
      <c r="R265" t="str">
        <f>""</f>
        <v/>
      </c>
    </row>
    <row r="266" spans="1:18" x14ac:dyDescent="0.25">
      <c r="A266">
        <v>907</v>
      </c>
      <c r="B266" t="str">
        <f t="shared" si="112"/>
        <v>Курск</v>
      </c>
      <c r="C266">
        <v>970694</v>
      </c>
      <c r="D266" t="str">
        <f t="shared" si="111"/>
        <v>Опора</v>
      </c>
      <c r="E266" t="str">
        <f>"КУМИ 7"</f>
        <v>КУМИ 7</v>
      </c>
      <c r="F266" t="str">
        <f>""</f>
        <v/>
      </c>
      <c r="G266" t="str">
        <f t="shared" si="98"/>
        <v>_МС (CAB_MS)</v>
      </c>
      <c r="H266" t="str">
        <f t="shared" ref="H266:H298" si="115">"МС 4.1"</f>
        <v>МС 4.1</v>
      </c>
      <c r="I266" t="str">
        <f t="shared" ref="I266:I297" si="116">"29.07.2022"</f>
        <v>29.07.2022</v>
      </c>
      <c r="J266" t="str">
        <f>""</f>
        <v/>
      </c>
      <c r="K266" t="str">
        <f t="shared" si="114"/>
        <v>Отсутствует</v>
      </c>
      <c r="L266" t="str">
        <f t="shared" si="113"/>
        <v>Комитет по управлению муниципальным имуществом города Курска</v>
      </c>
      <c r="M266" t="str">
        <f t="shared" si="107"/>
        <v>Неизвестно</v>
      </c>
      <c r="N266" t="str">
        <f t="shared" si="108"/>
        <v>Нет</v>
      </c>
      <c r="O266" t="str">
        <f>"[46/2782] М 4.1.10 - М 4.1.13, [46/2652] М 4.1.5 - М 4.1.10"</f>
        <v>[46/2782] М 4.1.10 - М 4.1.13, [46/2652] М 4.1.5 - М 4.1.10</v>
      </c>
      <c r="P266">
        <v>36.233069409999999</v>
      </c>
      <c r="Q266">
        <v>51.741600920000003</v>
      </c>
      <c r="R266" t="str">
        <f>""</f>
        <v/>
      </c>
    </row>
    <row r="267" spans="1:18" x14ac:dyDescent="0.25">
      <c r="A267">
        <v>907</v>
      </c>
      <c r="B267" t="str">
        <f t="shared" si="112"/>
        <v>Курск</v>
      </c>
      <c r="C267">
        <v>970693</v>
      </c>
      <c r="D267" t="str">
        <f t="shared" si="111"/>
        <v>Опора</v>
      </c>
      <c r="E267" t="str">
        <f>"КУМИ 6"</f>
        <v>КУМИ 6</v>
      </c>
      <c r="F267" t="str">
        <f>""</f>
        <v/>
      </c>
      <c r="G267" t="str">
        <f t="shared" si="98"/>
        <v>_МС (CAB_MS)</v>
      </c>
      <c r="H267" t="str">
        <f t="shared" si="115"/>
        <v>МС 4.1</v>
      </c>
      <c r="I267" t="str">
        <f t="shared" si="116"/>
        <v>29.07.2022</v>
      </c>
      <c r="J267" t="str">
        <f>""</f>
        <v/>
      </c>
      <c r="K267" t="str">
        <f t="shared" si="114"/>
        <v>Отсутствует</v>
      </c>
      <c r="L267" t="str">
        <f t="shared" si="113"/>
        <v>Комитет по управлению муниципальным имуществом города Курска</v>
      </c>
      <c r="M267" t="str">
        <f t="shared" ref="M267:M298" si="117">"Неизвестно"</f>
        <v>Неизвестно</v>
      </c>
      <c r="N267" t="str">
        <f t="shared" ref="N267:N298" si="118">"Нет"</f>
        <v>Нет</v>
      </c>
      <c r="O267" t="str">
        <f>"[46/2782] М 4.1.10 - М 4.1.13, [46/2652] М 4.1.5 - М 4.1.10"</f>
        <v>[46/2782] М 4.1.10 - М 4.1.13, [46/2652] М 4.1.5 - М 4.1.10</v>
      </c>
      <c r="P267">
        <v>36.232972850000003</v>
      </c>
      <c r="Q267">
        <v>51.741411579999998</v>
      </c>
      <c r="R267" t="str">
        <f>""</f>
        <v/>
      </c>
    </row>
    <row r="268" spans="1:18" x14ac:dyDescent="0.25">
      <c r="A268">
        <v>907</v>
      </c>
      <c r="B268" t="str">
        <f t="shared" si="112"/>
        <v>Курск</v>
      </c>
      <c r="C268">
        <v>970692</v>
      </c>
      <c r="D268" t="str">
        <f t="shared" si="111"/>
        <v>Опора</v>
      </c>
      <c r="E268" t="str">
        <f>"КУМИ 5"</f>
        <v>КУМИ 5</v>
      </c>
      <c r="F268" t="str">
        <f>""</f>
        <v/>
      </c>
      <c r="G268" t="str">
        <f t="shared" si="98"/>
        <v>_МС (CAB_MS)</v>
      </c>
      <c r="H268" t="str">
        <f t="shared" si="115"/>
        <v>МС 4.1</v>
      </c>
      <c r="I268" t="str">
        <f t="shared" si="116"/>
        <v>29.07.2022</v>
      </c>
      <c r="J268" t="str">
        <f>""</f>
        <v/>
      </c>
      <c r="K268" t="str">
        <f t="shared" si="114"/>
        <v>Отсутствует</v>
      </c>
      <c r="L268" t="str">
        <f t="shared" si="113"/>
        <v>Комитет по управлению муниципальным имуществом города Курска</v>
      </c>
      <c r="M268" t="str">
        <f t="shared" si="117"/>
        <v>Неизвестно</v>
      </c>
      <c r="N268" t="str">
        <f t="shared" si="118"/>
        <v>Нет</v>
      </c>
      <c r="O268" t="str">
        <f>"[46/2782] М 4.1.10 - М 4.1.13, [46/2652] М 4.1.5 - М 4.1.10"</f>
        <v>[46/2782] М 4.1.10 - М 4.1.13, [46/2652] М 4.1.5 - М 4.1.10</v>
      </c>
      <c r="P268">
        <v>36.232801190000004</v>
      </c>
      <c r="Q268">
        <v>51.741152489999997</v>
      </c>
      <c r="R268" t="str">
        <f>""</f>
        <v/>
      </c>
    </row>
    <row r="269" spans="1:18" x14ac:dyDescent="0.25">
      <c r="A269">
        <v>907</v>
      </c>
      <c r="B269" t="str">
        <f t="shared" si="112"/>
        <v>Курск</v>
      </c>
      <c r="C269">
        <v>970691</v>
      </c>
      <c r="D269" t="str">
        <f t="shared" si="111"/>
        <v>Опора</v>
      </c>
      <c r="E269" t="str">
        <f>"КУМИ 4"</f>
        <v>КУМИ 4</v>
      </c>
      <c r="F269" t="str">
        <f>""</f>
        <v/>
      </c>
      <c r="G269" t="str">
        <f t="shared" si="98"/>
        <v>_МС (CAB_MS)</v>
      </c>
      <c r="H269" t="str">
        <f t="shared" si="115"/>
        <v>МС 4.1</v>
      </c>
      <c r="I269" t="str">
        <f t="shared" si="116"/>
        <v>29.07.2022</v>
      </c>
      <c r="J269" t="str">
        <f>""</f>
        <v/>
      </c>
      <c r="K269" t="str">
        <f t="shared" si="114"/>
        <v>Отсутствует</v>
      </c>
      <c r="L269" t="str">
        <f t="shared" si="113"/>
        <v>Комитет по управлению муниципальным имуществом города Курска</v>
      </c>
      <c r="M269" t="str">
        <f t="shared" si="117"/>
        <v>Неизвестно</v>
      </c>
      <c r="N269" t="str">
        <f t="shared" si="118"/>
        <v>Нет</v>
      </c>
      <c r="O269" t="str">
        <f>"[46/2782] М 4.1.10 - М 4.1.13, [46/2652] М 4.1.5 - М 4.1.10"</f>
        <v>[46/2782] М 4.1.10 - М 4.1.13, [46/2652] М 4.1.5 - М 4.1.10</v>
      </c>
      <c r="P269">
        <v>36.232578570000001</v>
      </c>
      <c r="Q269">
        <v>51.740857679999998</v>
      </c>
      <c r="R269" t="str">
        <f>""</f>
        <v/>
      </c>
    </row>
    <row r="270" spans="1:18" x14ac:dyDescent="0.25">
      <c r="A270">
        <v>907</v>
      </c>
      <c r="B270" t="str">
        <f t="shared" si="112"/>
        <v>Курск</v>
      </c>
      <c r="C270">
        <v>970690</v>
      </c>
      <c r="D270" t="str">
        <f t="shared" si="111"/>
        <v>Опора</v>
      </c>
      <c r="E270" t="str">
        <f>"КУМИ 3"</f>
        <v>КУМИ 3</v>
      </c>
      <c r="F270" t="str">
        <f>""</f>
        <v/>
      </c>
      <c r="G270" t="str">
        <f t="shared" si="98"/>
        <v>_МС (CAB_MS)</v>
      </c>
      <c r="H270" t="str">
        <f t="shared" si="115"/>
        <v>МС 4.1</v>
      </c>
      <c r="I270" t="str">
        <f t="shared" si="116"/>
        <v>29.07.2022</v>
      </c>
      <c r="J270" t="str">
        <f>""</f>
        <v/>
      </c>
      <c r="K270" t="str">
        <f t="shared" si="114"/>
        <v>Отсутствует</v>
      </c>
      <c r="L270" t="str">
        <f t="shared" si="113"/>
        <v>Комитет по управлению муниципальным имуществом города Курска</v>
      </c>
      <c r="M270" t="str">
        <f t="shared" si="117"/>
        <v>Неизвестно</v>
      </c>
      <c r="N270" t="str">
        <f t="shared" si="118"/>
        <v>Нет</v>
      </c>
      <c r="O270" t="str">
        <f>"[46/3744]  - АКС  п. , [46/2652] М 4.1.5 - М 4.1.10, [46/2778] М 4.1.10 - М 4.1.12, [46/2782] М 4.1.10 - М 4.1.13"</f>
        <v>[46/3744]  - АКС  п. , [46/2652] М 4.1.5 - М 4.1.10, [46/2778] М 4.1.10 - М 4.1.12, [46/2782] М 4.1.10 - М 4.1.13</v>
      </c>
      <c r="P270">
        <v>36.232389470000001</v>
      </c>
      <c r="Q270">
        <v>51.74064654</v>
      </c>
      <c r="R270" t="str">
        <f>""</f>
        <v/>
      </c>
    </row>
    <row r="271" spans="1:18" x14ac:dyDescent="0.25">
      <c r="A271">
        <v>907</v>
      </c>
      <c r="B271" t="str">
        <f t="shared" si="112"/>
        <v>Курск</v>
      </c>
      <c r="C271">
        <v>970689</v>
      </c>
      <c r="D271" t="str">
        <f t="shared" si="111"/>
        <v>Опора</v>
      </c>
      <c r="E271" t="str">
        <f>"КУМИ 2"</f>
        <v>КУМИ 2</v>
      </c>
      <c r="F271" t="str">
        <f>""</f>
        <v/>
      </c>
      <c r="G271" t="str">
        <f t="shared" si="98"/>
        <v>_МС (CAB_MS)</v>
      </c>
      <c r="H271" t="str">
        <f t="shared" si="115"/>
        <v>МС 4.1</v>
      </c>
      <c r="I271" t="str">
        <f t="shared" si="116"/>
        <v>29.07.2022</v>
      </c>
      <c r="J271" t="str">
        <f>""</f>
        <v/>
      </c>
      <c r="K271" t="str">
        <f t="shared" si="114"/>
        <v>Отсутствует</v>
      </c>
      <c r="L271" t="str">
        <f t="shared" si="113"/>
        <v>Комитет по управлению муниципальным имуществом города Курска</v>
      </c>
      <c r="M271" t="str">
        <f t="shared" si="117"/>
        <v>Неизвестно</v>
      </c>
      <c r="N271" t="str">
        <f t="shared" si="118"/>
        <v>Нет</v>
      </c>
      <c r="O271" t="str">
        <f>"[46/2778] М 4.1.10 - М 4.1.12"</f>
        <v>[46/2778] М 4.1.10 - М 4.1.12</v>
      </c>
      <c r="P271">
        <v>36.232115890000003</v>
      </c>
      <c r="Q271">
        <v>51.740389110000002</v>
      </c>
      <c r="R271" t="str">
        <f>""</f>
        <v/>
      </c>
    </row>
    <row r="272" spans="1:18" x14ac:dyDescent="0.25">
      <c r="A272">
        <v>907</v>
      </c>
      <c r="B272" t="str">
        <f t="shared" si="112"/>
        <v>Курск</v>
      </c>
      <c r="C272">
        <v>970688</v>
      </c>
      <c r="D272" t="str">
        <f t="shared" si="111"/>
        <v>Опора</v>
      </c>
      <c r="E272" t="str">
        <f>"КУМИ 1"</f>
        <v>КУМИ 1</v>
      </c>
      <c r="F272" t="str">
        <f>""</f>
        <v/>
      </c>
      <c r="G272" t="str">
        <f t="shared" ref="G272:G335" si="119">"_МС (CAB_MS)"</f>
        <v>_МС (CAB_MS)</v>
      </c>
      <c r="H272" t="str">
        <f t="shared" si="115"/>
        <v>МС 4.1</v>
      </c>
      <c r="I272" t="str">
        <f t="shared" si="116"/>
        <v>29.07.2022</v>
      </c>
      <c r="J272" t="str">
        <f>""</f>
        <v/>
      </c>
      <c r="K272" t="str">
        <f t="shared" si="114"/>
        <v>Отсутствует</v>
      </c>
      <c r="L272" t="str">
        <f t="shared" si="113"/>
        <v>Комитет по управлению муниципальным имуществом города Курска</v>
      </c>
      <c r="M272" t="str">
        <f t="shared" si="117"/>
        <v>Неизвестно</v>
      </c>
      <c r="N272" t="str">
        <f t="shared" si="118"/>
        <v>Нет</v>
      </c>
      <c r="O272" t="str">
        <f>"[46/2778] М 4.1.10 - М 4.1.12, [46/2777] М 4.1.12 - М 4.1.8"</f>
        <v>[46/2778] М 4.1.10 - М 4.1.12, [46/2777] М 4.1.12 - М 4.1.8</v>
      </c>
      <c r="P272">
        <v>36.231824869999997</v>
      </c>
      <c r="Q272">
        <v>51.740118379999998</v>
      </c>
      <c r="R272" t="str">
        <f>""</f>
        <v/>
      </c>
    </row>
    <row r="273" spans="1:18" x14ac:dyDescent="0.25">
      <c r="A273">
        <v>907</v>
      </c>
      <c r="B273" t="str">
        <f t="shared" si="112"/>
        <v>Курск</v>
      </c>
      <c r="C273">
        <v>970659</v>
      </c>
      <c r="D273" t="str">
        <f t="shared" si="111"/>
        <v>Опора</v>
      </c>
      <c r="E273" t="str">
        <f t="shared" ref="E273:E284" si="120">"КЭС"</f>
        <v>КЭС</v>
      </c>
      <c r="F273" t="str">
        <f>""</f>
        <v/>
      </c>
      <c r="G273" t="str">
        <f t="shared" si="119"/>
        <v>_МС (CAB_MS)</v>
      </c>
      <c r="H273" t="str">
        <f t="shared" si="115"/>
        <v>МС 4.1</v>
      </c>
      <c r="I273" t="str">
        <f t="shared" si="116"/>
        <v>29.07.2022</v>
      </c>
      <c r="J273" t="str">
        <f>""</f>
        <v/>
      </c>
      <c r="K273" t="str">
        <f t="shared" si="114"/>
        <v>Отсутствует</v>
      </c>
      <c r="L273" t="str">
        <f t="shared" ref="L273:L284" si="121">"ОАО ""Курские электрические сети"""</f>
        <v>ОАО "Курские электрические сети"</v>
      </c>
      <c r="M273" t="str">
        <f t="shared" si="117"/>
        <v>Неизвестно</v>
      </c>
      <c r="N273" t="str">
        <f t="shared" si="118"/>
        <v>Нет</v>
      </c>
      <c r="O273" t="str">
        <f>"[46/2777] М 4.1.12 - М 4.1.8"</f>
        <v>[46/2777] М 4.1.12 - М 4.1.8</v>
      </c>
      <c r="P273">
        <v>36.230774779999997</v>
      </c>
      <c r="Q273">
        <v>51.739109370000001</v>
      </c>
      <c r="R273" t="str">
        <f>""</f>
        <v/>
      </c>
    </row>
    <row r="274" spans="1:18" x14ac:dyDescent="0.25">
      <c r="A274">
        <v>907</v>
      </c>
      <c r="B274" t="str">
        <f t="shared" si="112"/>
        <v>Курск</v>
      </c>
      <c r="C274">
        <v>970658</v>
      </c>
      <c r="D274" t="str">
        <f t="shared" si="111"/>
        <v>Опора</v>
      </c>
      <c r="E274" t="str">
        <f t="shared" si="120"/>
        <v>КЭС</v>
      </c>
      <c r="F274" t="str">
        <f>""</f>
        <v/>
      </c>
      <c r="G274" t="str">
        <f t="shared" si="119"/>
        <v>_МС (CAB_MS)</v>
      </c>
      <c r="H274" t="str">
        <f t="shared" si="115"/>
        <v>МС 4.1</v>
      </c>
      <c r="I274" t="str">
        <f t="shared" si="116"/>
        <v>29.07.2022</v>
      </c>
      <c r="J274" t="str">
        <f>""</f>
        <v/>
      </c>
      <c r="K274" t="str">
        <f t="shared" si="114"/>
        <v>Отсутствует</v>
      </c>
      <c r="L274" t="str">
        <f t="shared" si="121"/>
        <v>ОАО "Курские электрические сети"</v>
      </c>
      <c r="M274" t="str">
        <f t="shared" si="117"/>
        <v>Неизвестно</v>
      </c>
      <c r="N274" t="str">
        <f t="shared" si="118"/>
        <v>Нет</v>
      </c>
      <c r="O274" t="str">
        <f>"[46/2777] М 4.1.12 - М 4.1.8, [46/2653] М 4.1.8 - М 4.1.9"</f>
        <v>[46/2777] М 4.1.12 - М 4.1.8, [46/2653] М 4.1.8 - М 4.1.9</v>
      </c>
      <c r="P274">
        <v>36.230549480000001</v>
      </c>
      <c r="Q274">
        <v>51.738901749999997</v>
      </c>
      <c r="R274" t="str">
        <f>""</f>
        <v/>
      </c>
    </row>
    <row r="275" spans="1:18" x14ac:dyDescent="0.25">
      <c r="A275">
        <v>907</v>
      </c>
      <c r="B275" t="str">
        <f t="shared" si="112"/>
        <v>Курск</v>
      </c>
      <c r="C275">
        <v>970812</v>
      </c>
      <c r="D275" t="str">
        <f t="shared" si="111"/>
        <v>Опора</v>
      </c>
      <c r="E275" t="str">
        <f t="shared" si="120"/>
        <v>КЭС</v>
      </c>
      <c r="F275" t="str">
        <f>""</f>
        <v/>
      </c>
      <c r="G275" t="str">
        <f t="shared" si="119"/>
        <v>_МС (CAB_MS)</v>
      </c>
      <c r="H275" t="str">
        <f t="shared" si="115"/>
        <v>МС 4.1</v>
      </c>
      <c r="I275" t="str">
        <f t="shared" si="116"/>
        <v>29.07.2022</v>
      </c>
      <c r="J275" t="str">
        <f>""</f>
        <v/>
      </c>
      <c r="K275" t="str">
        <f t="shared" si="114"/>
        <v>Отсутствует</v>
      </c>
      <c r="L275" t="str">
        <f t="shared" si="121"/>
        <v>ОАО "Курские электрические сети"</v>
      </c>
      <c r="M275" t="str">
        <f t="shared" si="117"/>
        <v>Неизвестно</v>
      </c>
      <c r="N275" t="str">
        <f t="shared" si="118"/>
        <v>Нет</v>
      </c>
      <c r="O275" t="str">
        <f>"[46/2667] М 4.1.9 - Р 4.1.1.1"</f>
        <v>[46/2667] М 4.1.9 - Р 4.1.1.1</v>
      </c>
      <c r="P275">
        <v>36.235999055206698</v>
      </c>
      <c r="Q275">
        <v>51.733109450882701</v>
      </c>
      <c r="R275" t="str">
        <f>""</f>
        <v/>
      </c>
    </row>
    <row r="276" spans="1:18" x14ac:dyDescent="0.25">
      <c r="A276">
        <v>907</v>
      </c>
      <c r="B276" t="str">
        <f t="shared" si="112"/>
        <v>Курск</v>
      </c>
      <c r="C276">
        <v>970811</v>
      </c>
      <c r="D276" t="str">
        <f t="shared" si="111"/>
        <v>Опора</v>
      </c>
      <c r="E276" t="str">
        <f t="shared" si="120"/>
        <v>КЭС</v>
      </c>
      <c r="F276" t="str">
        <f>""</f>
        <v/>
      </c>
      <c r="G276" t="str">
        <f t="shared" si="119"/>
        <v>_МС (CAB_MS)</v>
      </c>
      <c r="H276" t="str">
        <f t="shared" si="115"/>
        <v>МС 4.1</v>
      </c>
      <c r="I276" t="str">
        <f t="shared" si="116"/>
        <v>29.07.2022</v>
      </c>
      <c r="J276" t="str">
        <f>""</f>
        <v/>
      </c>
      <c r="K276" t="str">
        <f t="shared" si="114"/>
        <v>Отсутствует</v>
      </c>
      <c r="L276" t="str">
        <f t="shared" si="121"/>
        <v>ОАО "Курские электрические сети"</v>
      </c>
      <c r="M276" t="str">
        <f t="shared" si="117"/>
        <v>Неизвестно</v>
      </c>
      <c r="N276" t="str">
        <f t="shared" si="118"/>
        <v>Нет</v>
      </c>
      <c r="O276" t="str">
        <f>"[46/2667] М 4.1.9 - Р 4.1.1.1"</f>
        <v>[46/2667] М 4.1.9 - Р 4.1.1.1</v>
      </c>
      <c r="P276">
        <v>36.236358469999999</v>
      </c>
      <c r="Q276">
        <v>51.73315762</v>
      </c>
      <c r="R276" t="str">
        <f>""</f>
        <v/>
      </c>
    </row>
    <row r="277" spans="1:18" x14ac:dyDescent="0.25">
      <c r="A277">
        <v>907</v>
      </c>
      <c r="B277" t="str">
        <f t="shared" si="112"/>
        <v>Курск</v>
      </c>
      <c r="C277">
        <v>970810</v>
      </c>
      <c r="D277" t="str">
        <f t="shared" si="111"/>
        <v>Опора</v>
      </c>
      <c r="E277" t="str">
        <f t="shared" si="120"/>
        <v>КЭС</v>
      </c>
      <c r="F277" t="str">
        <f>""</f>
        <v/>
      </c>
      <c r="G277" t="str">
        <f t="shared" si="119"/>
        <v>_МС (CAB_MS)</v>
      </c>
      <c r="H277" t="str">
        <f t="shared" si="115"/>
        <v>МС 4.1</v>
      </c>
      <c r="I277" t="str">
        <f t="shared" si="116"/>
        <v>29.07.2022</v>
      </c>
      <c r="J277" t="str">
        <f>""</f>
        <v/>
      </c>
      <c r="K277" t="str">
        <f t="shared" si="114"/>
        <v>Отсутствует</v>
      </c>
      <c r="L277" t="str">
        <f t="shared" si="121"/>
        <v>ОАО "Курские электрические сети"</v>
      </c>
      <c r="M277" t="str">
        <f t="shared" si="117"/>
        <v>Неизвестно</v>
      </c>
      <c r="N277" t="str">
        <f t="shared" si="118"/>
        <v>Нет</v>
      </c>
      <c r="O277" t="str">
        <f>"[46/2667] М 4.1.9 - Р 4.1.1.1"</f>
        <v>[46/2667] М 4.1.9 - Р 4.1.1.1</v>
      </c>
      <c r="P277">
        <v>36.236811760000002</v>
      </c>
      <c r="Q277">
        <v>51.733197490000002</v>
      </c>
      <c r="R277" t="str">
        <f>""</f>
        <v/>
      </c>
    </row>
    <row r="278" spans="1:18" x14ac:dyDescent="0.25">
      <c r="A278">
        <v>907</v>
      </c>
      <c r="B278" t="str">
        <f t="shared" si="112"/>
        <v>Курск</v>
      </c>
      <c r="C278">
        <v>970809</v>
      </c>
      <c r="D278" t="str">
        <f t="shared" si="111"/>
        <v>Опора</v>
      </c>
      <c r="E278" t="str">
        <f t="shared" si="120"/>
        <v>КЭС</v>
      </c>
      <c r="F278" t="str">
        <f>""</f>
        <v/>
      </c>
      <c r="G278" t="str">
        <f t="shared" si="119"/>
        <v>_МС (CAB_MS)</v>
      </c>
      <c r="H278" t="str">
        <f t="shared" si="115"/>
        <v>МС 4.1</v>
      </c>
      <c r="I278" t="str">
        <f t="shared" si="116"/>
        <v>29.07.2022</v>
      </c>
      <c r="J278" t="str">
        <f>""</f>
        <v/>
      </c>
      <c r="K278" t="str">
        <f t="shared" si="114"/>
        <v>Отсутствует</v>
      </c>
      <c r="L278" t="str">
        <f t="shared" si="121"/>
        <v>ОАО "Курские электрические сети"</v>
      </c>
      <c r="M278" t="str">
        <f t="shared" si="117"/>
        <v>Неизвестно</v>
      </c>
      <c r="N278" t="str">
        <f t="shared" si="118"/>
        <v>Нет</v>
      </c>
      <c r="O278" t="str">
        <f>"[46/2667] М 4.1.9 - Р 4.1.1.1"</f>
        <v>[46/2667] М 4.1.9 - Р 4.1.1.1</v>
      </c>
      <c r="P278">
        <v>36.23746354</v>
      </c>
      <c r="Q278">
        <v>51.733656799999999</v>
      </c>
      <c r="R278" t="str">
        <f>""</f>
        <v/>
      </c>
    </row>
    <row r="279" spans="1:18" x14ac:dyDescent="0.25">
      <c r="A279">
        <v>907</v>
      </c>
      <c r="B279" t="str">
        <f t="shared" si="112"/>
        <v>Курск</v>
      </c>
      <c r="C279">
        <v>970657</v>
      </c>
      <c r="D279" t="str">
        <f t="shared" si="111"/>
        <v>Опора</v>
      </c>
      <c r="E279" t="str">
        <f t="shared" si="120"/>
        <v>КЭС</v>
      </c>
      <c r="F279" t="str">
        <f>""</f>
        <v/>
      </c>
      <c r="G279" t="str">
        <f t="shared" si="119"/>
        <v>_МС (CAB_MS)</v>
      </c>
      <c r="H279" t="str">
        <f t="shared" si="115"/>
        <v>МС 4.1</v>
      </c>
      <c r="I279" t="str">
        <f t="shared" si="116"/>
        <v>29.07.2022</v>
      </c>
      <c r="J279" t="str">
        <f>""</f>
        <v/>
      </c>
      <c r="K279" t="str">
        <f t="shared" si="114"/>
        <v>Отсутствует</v>
      </c>
      <c r="L279" t="str">
        <f t="shared" si="121"/>
        <v>ОАО "Курские электрические сети"</v>
      </c>
      <c r="M279" t="str">
        <f t="shared" si="117"/>
        <v>Неизвестно</v>
      </c>
      <c r="N279" t="str">
        <f t="shared" si="118"/>
        <v>Нет</v>
      </c>
      <c r="O279" t="str">
        <f>"[46/2653] М 4.1.8 - М 4.1.9"</f>
        <v>[46/2653] М 4.1.8 - М 4.1.9</v>
      </c>
      <c r="P279">
        <v>36.230528020000001</v>
      </c>
      <c r="Q279">
        <v>51.738606099999998</v>
      </c>
      <c r="R279" t="str">
        <f>""</f>
        <v/>
      </c>
    </row>
    <row r="280" spans="1:18" x14ac:dyDescent="0.25">
      <c r="A280">
        <v>907</v>
      </c>
      <c r="B280" t="str">
        <f t="shared" si="112"/>
        <v>Курск</v>
      </c>
      <c r="C280">
        <v>970656</v>
      </c>
      <c r="D280" t="str">
        <f t="shared" si="111"/>
        <v>Опора</v>
      </c>
      <c r="E280" t="str">
        <f t="shared" si="120"/>
        <v>КЭС</v>
      </c>
      <c r="F280" t="str">
        <f>""</f>
        <v/>
      </c>
      <c r="G280" t="str">
        <f t="shared" si="119"/>
        <v>_МС (CAB_MS)</v>
      </c>
      <c r="H280" t="str">
        <f t="shared" si="115"/>
        <v>МС 4.1</v>
      </c>
      <c r="I280" t="str">
        <f t="shared" si="116"/>
        <v>29.07.2022</v>
      </c>
      <c r="J280" t="str">
        <f>""</f>
        <v/>
      </c>
      <c r="K280" t="str">
        <f t="shared" si="114"/>
        <v>Отсутствует</v>
      </c>
      <c r="L280" t="str">
        <f t="shared" si="121"/>
        <v>ОАО "Курские электрические сети"</v>
      </c>
      <c r="M280" t="str">
        <f t="shared" si="117"/>
        <v>Неизвестно</v>
      </c>
      <c r="N280" t="str">
        <f t="shared" si="118"/>
        <v>Нет</v>
      </c>
      <c r="O280" t="str">
        <f>"[46/2653] М 4.1.8 - М 4.1.9"</f>
        <v>[46/2653] М 4.1.8 - М 4.1.9</v>
      </c>
      <c r="P280">
        <v>36.230731867253802</v>
      </c>
      <c r="Q280">
        <v>51.738509767841002</v>
      </c>
      <c r="R280" t="str">
        <f>""</f>
        <v/>
      </c>
    </row>
    <row r="281" spans="1:18" x14ac:dyDescent="0.25">
      <c r="A281">
        <v>907</v>
      </c>
      <c r="B281" t="str">
        <f t="shared" si="112"/>
        <v>Курск</v>
      </c>
      <c r="C281">
        <v>970655</v>
      </c>
      <c r="D281" t="str">
        <f t="shared" si="111"/>
        <v>Опора</v>
      </c>
      <c r="E281" t="str">
        <f t="shared" si="120"/>
        <v>КЭС</v>
      </c>
      <c r="F281" t="str">
        <f>""</f>
        <v/>
      </c>
      <c r="G281" t="str">
        <f t="shared" si="119"/>
        <v>_МС (CAB_MS)</v>
      </c>
      <c r="H281" t="str">
        <f t="shared" si="115"/>
        <v>МС 4.1</v>
      </c>
      <c r="I281" t="str">
        <f t="shared" si="116"/>
        <v>29.07.2022</v>
      </c>
      <c r="J281" t="str">
        <f>""</f>
        <v/>
      </c>
      <c r="K281" t="str">
        <f t="shared" si="114"/>
        <v>Отсутствует</v>
      </c>
      <c r="L281" t="str">
        <f t="shared" si="121"/>
        <v>ОАО "Курские электрические сети"</v>
      </c>
      <c r="M281" t="str">
        <f t="shared" si="117"/>
        <v>Неизвестно</v>
      </c>
      <c r="N281" t="str">
        <f t="shared" si="118"/>
        <v>Нет</v>
      </c>
      <c r="O281" t="str">
        <f>"[46/2653] М 4.1.8 - М 4.1.9"</f>
        <v>[46/2653] М 4.1.8 - М 4.1.9</v>
      </c>
      <c r="P281">
        <v>36.230892799999999</v>
      </c>
      <c r="Q281">
        <v>51.738396819999998</v>
      </c>
      <c r="R281" t="str">
        <f>""</f>
        <v/>
      </c>
    </row>
    <row r="282" spans="1:18" x14ac:dyDescent="0.25">
      <c r="A282">
        <v>907</v>
      </c>
      <c r="B282" t="str">
        <f t="shared" si="112"/>
        <v>Курск</v>
      </c>
      <c r="C282">
        <v>970654</v>
      </c>
      <c r="D282" t="str">
        <f t="shared" si="111"/>
        <v>Опора</v>
      </c>
      <c r="E282" t="str">
        <f t="shared" si="120"/>
        <v>КЭС</v>
      </c>
      <c r="F282" t="str">
        <f>""</f>
        <v/>
      </c>
      <c r="G282" t="str">
        <f t="shared" si="119"/>
        <v>_МС (CAB_MS)</v>
      </c>
      <c r="H282" t="str">
        <f t="shared" si="115"/>
        <v>МС 4.1</v>
      </c>
      <c r="I282" t="str">
        <f t="shared" si="116"/>
        <v>29.07.2022</v>
      </c>
      <c r="J282" t="str">
        <f>""</f>
        <v/>
      </c>
      <c r="K282" t="str">
        <f t="shared" si="114"/>
        <v>Отсутствует</v>
      </c>
      <c r="L282" t="str">
        <f t="shared" si="121"/>
        <v>ОАО "Курские электрические сети"</v>
      </c>
      <c r="M282" t="str">
        <f t="shared" si="117"/>
        <v>Неизвестно</v>
      </c>
      <c r="N282" t="str">
        <f t="shared" si="118"/>
        <v>Нет</v>
      </c>
      <c r="O282" t="str">
        <f>"[46/2653] М 4.1.8 - М 4.1.9"</f>
        <v>[46/2653] М 4.1.8 - М 4.1.9</v>
      </c>
      <c r="P282">
        <v>36.231116759999999</v>
      </c>
      <c r="Q282">
        <v>51.738251490000003</v>
      </c>
      <c r="R282" t="str">
        <f>""</f>
        <v/>
      </c>
    </row>
    <row r="283" spans="1:18" x14ac:dyDescent="0.25">
      <c r="A283">
        <v>907</v>
      </c>
      <c r="B283" t="str">
        <f t="shared" si="112"/>
        <v>Курск</v>
      </c>
      <c r="C283">
        <v>970653</v>
      </c>
      <c r="D283" t="str">
        <f t="shared" si="111"/>
        <v>Опора</v>
      </c>
      <c r="E283" t="str">
        <f t="shared" si="120"/>
        <v>КЭС</v>
      </c>
      <c r="F283" t="str">
        <f>""</f>
        <v/>
      </c>
      <c r="G283" t="str">
        <f t="shared" si="119"/>
        <v>_МС (CAB_MS)</v>
      </c>
      <c r="H283" t="str">
        <f t="shared" si="115"/>
        <v>МС 4.1</v>
      </c>
      <c r="I283" t="str">
        <f t="shared" si="116"/>
        <v>29.07.2022</v>
      </c>
      <c r="J283" t="str">
        <f>""</f>
        <v/>
      </c>
      <c r="K283" t="str">
        <f t="shared" si="114"/>
        <v>Отсутствует</v>
      </c>
      <c r="L283" t="str">
        <f t="shared" si="121"/>
        <v>ОАО "Курские электрические сети"</v>
      </c>
      <c r="M283" t="str">
        <f t="shared" si="117"/>
        <v>Неизвестно</v>
      </c>
      <c r="N283" t="str">
        <f t="shared" si="118"/>
        <v>Нет</v>
      </c>
      <c r="O283" t="str">
        <f>"[46/2653] М 4.1.8 - М 4.1.9"</f>
        <v>[46/2653] М 4.1.8 - М 4.1.9</v>
      </c>
      <c r="P283">
        <v>36.231340729999999</v>
      </c>
      <c r="Q283">
        <v>51.73810366</v>
      </c>
      <c r="R283" t="str">
        <f>""</f>
        <v/>
      </c>
    </row>
    <row r="284" spans="1:18" x14ac:dyDescent="0.25">
      <c r="A284">
        <v>907</v>
      </c>
      <c r="B284" t="str">
        <f t="shared" si="112"/>
        <v>Курск</v>
      </c>
      <c r="C284">
        <v>970649</v>
      </c>
      <c r="D284" t="str">
        <f t="shared" si="111"/>
        <v>Опора</v>
      </c>
      <c r="E284" t="str">
        <f t="shared" si="120"/>
        <v>КЭС</v>
      </c>
      <c r="F284" t="str">
        <f>""</f>
        <v/>
      </c>
      <c r="G284" t="str">
        <f t="shared" si="119"/>
        <v>_МС (CAB_MS)</v>
      </c>
      <c r="H284" t="str">
        <f t="shared" si="115"/>
        <v>МС 4.1</v>
      </c>
      <c r="I284" t="str">
        <f t="shared" si="116"/>
        <v>29.07.2022</v>
      </c>
      <c r="J284" t="str">
        <f>""</f>
        <v/>
      </c>
      <c r="K284" t="str">
        <f t="shared" si="114"/>
        <v>Отсутствует</v>
      </c>
      <c r="L284" t="str">
        <f t="shared" si="121"/>
        <v>ОАО "Курские электрические сети"</v>
      </c>
      <c r="M284" t="str">
        <f t="shared" si="117"/>
        <v>Неизвестно</v>
      </c>
      <c r="N284" t="str">
        <f t="shared" si="118"/>
        <v>Нет</v>
      </c>
      <c r="O284" t="str">
        <f>"[46/2796] М 4.1.9 - ОК 4.1.1-5.1 ППК 4.1.1 Чайковского 66 Курск, Чайковского, 66  п. 1"</f>
        <v>[46/2796] М 4.1.9 - ОК 4.1.1-5.1 ППК 4.1.1 Чайковского 66 Курск, Чайковского, 66  п. 1</v>
      </c>
      <c r="P284">
        <v>36.241264899999997</v>
      </c>
      <c r="Q284">
        <v>51.732172749999997</v>
      </c>
      <c r="R284" t="str">
        <f>""</f>
        <v/>
      </c>
    </row>
    <row r="285" spans="1:18" x14ac:dyDescent="0.25">
      <c r="A285">
        <v>907</v>
      </c>
      <c r="B285" t="str">
        <f t="shared" si="112"/>
        <v>Курск</v>
      </c>
      <c r="C285">
        <v>970643</v>
      </c>
      <c r="D285" t="str">
        <f t="shared" si="111"/>
        <v>Опора</v>
      </c>
      <c r="E285" t="str">
        <f>"КУМИ 31"</f>
        <v>КУМИ 31</v>
      </c>
      <c r="F285" t="str">
        <f t="shared" ref="F285:F298" si="122">"Актуализирована 27.08.22"</f>
        <v>Актуализирована 27.08.22</v>
      </c>
      <c r="G285" t="str">
        <f t="shared" si="119"/>
        <v>_МС (CAB_MS)</v>
      </c>
      <c r="H285" t="str">
        <f t="shared" si="115"/>
        <v>МС 4.1</v>
      </c>
      <c r="I285" t="str">
        <f t="shared" si="116"/>
        <v>29.07.2022</v>
      </c>
      <c r="J285" t="str">
        <f>""</f>
        <v/>
      </c>
      <c r="K285" t="str">
        <f t="shared" si="114"/>
        <v>Отсутствует</v>
      </c>
      <c r="L285" t="str">
        <f t="shared" ref="L285:L298" si="123">"Комитет по управлению муниципальным имуществом города Курска"</f>
        <v>Комитет по управлению муниципальным имуществом города Курска</v>
      </c>
      <c r="M285" t="str">
        <f t="shared" si="117"/>
        <v>Неизвестно</v>
      </c>
      <c r="N285" t="str">
        <f t="shared" si="118"/>
        <v>Нет</v>
      </c>
      <c r="O285" t="str">
        <f>"[46/2796] М 4.1.9 - ОК 4.1.1-5.1 ППК 4.1.1 Чайковского 66 Курск, Чайковского, 66  п. 1"</f>
        <v>[46/2796] М 4.1.9 - ОК 4.1.1-5.1 ППК 4.1.1 Чайковского 66 Курск, Чайковского, 66  п. 1</v>
      </c>
      <c r="P285">
        <v>36.240748580000002</v>
      </c>
      <c r="Q285">
        <v>51.73223505</v>
      </c>
      <c r="R285" t="str">
        <f>""</f>
        <v/>
      </c>
    </row>
    <row r="286" spans="1:18" x14ac:dyDescent="0.25">
      <c r="A286">
        <v>907</v>
      </c>
      <c r="B286" t="str">
        <f t="shared" si="112"/>
        <v>Курск</v>
      </c>
      <c r="C286">
        <v>970642</v>
      </c>
      <c r="D286" t="str">
        <f t="shared" si="111"/>
        <v>Опора</v>
      </c>
      <c r="E286" t="str">
        <f>"КУМИ 30"</f>
        <v>КУМИ 30</v>
      </c>
      <c r="F286" t="str">
        <f t="shared" si="122"/>
        <v>Актуализирована 27.08.22</v>
      </c>
      <c r="G286" t="str">
        <f t="shared" si="119"/>
        <v>_МС (CAB_MS)</v>
      </c>
      <c r="H286" t="str">
        <f t="shared" si="115"/>
        <v>МС 4.1</v>
      </c>
      <c r="I286" t="str">
        <f t="shared" si="116"/>
        <v>29.07.2022</v>
      </c>
      <c r="J286" t="str">
        <f>""</f>
        <v/>
      </c>
      <c r="K286" t="str">
        <f t="shared" si="114"/>
        <v>Отсутствует</v>
      </c>
      <c r="L286" t="str">
        <f t="shared" si="123"/>
        <v>Комитет по управлению муниципальным имуществом города Курска</v>
      </c>
      <c r="M286" t="str">
        <f t="shared" si="117"/>
        <v>Неизвестно</v>
      </c>
      <c r="N286" t="str">
        <f t="shared" si="118"/>
        <v>Нет</v>
      </c>
      <c r="O286" t="str">
        <f>"[46/2796] М 4.1.9 - ОК 4.1.1-5.1 ППК 4.1.1 Чайковского 66 Курск, Чайковского, 66  п. 1"</f>
        <v>[46/2796] М 4.1.9 - ОК 4.1.1-5.1 ППК 4.1.1 Чайковского 66 Курск, Чайковского, 66  п. 1</v>
      </c>
      <c r="P286">
        <v>36.240268460000003</v>
      </c>
      <c r="Q286">
        <v>51.732449340000002</v>
      </c>
      <c r="R286" t="str">
        <f>""</f>
        <v/>
      </c>
    </row>
    <row r="287" spans="1:18" x14ac:dyDescent="0.25">
      <c r="A287">
        <v>907</v>
      </c>
      <c r="B287" t="str">
        <f t="shared" si="112"/>
        <v>Курск</v>
      </c>
      <c r="C287">
        <v>970641</v>
      </c>
      <c r="D287" t="str">
        <f t="shared" si="111"/>
        <v>Опора</v>
      </c>
      <c r="E287" t="str">
        <f>"КУМИ 29"</f>
        <v>КУМИ 29</v>
      </c>
      <c r="F287" t="str">
        <f t="shared" si="122"/>
        <v>Актуализирована 27.08.22</v>
      </c>
      <c r="G287" t="str">
        <f t="shared" si="119"/>
        <v>_МС (CAB_MS)</v>
      </c>
      <c r="H287" t="str">
        <f t="shared" si="115"/>
        <v>МС 4.1</v>
      </c>
      <c r="I287" t="str">
        <f t="shared" si="116"/>
        <v>29.07.2022</v>
      </c>
      <c r="J287" t="str">
        <f>""</f>
        <v/>
      </c>
      <c r="K287" t="str">
        <f t="shared" si="114"/>
        <v>Отсутствует</v>
      </c>
      <c r="L287" t="str">
        <f t="shared" si="123"/>
        <v>Комитет по управлению муниципальным имуществом города Курска</v>
      </c>
      <c r="M287" t="str">
        <f t="shared" si="117"/>
        <v>Неизвестно</v>
      </c>
      <c r="N287" t="str">
        <f t="shared" si="118"/>
        <v>Нет</v>
      </c>
      <c r="O287" t="str">
        <f>"[46/2796] М 4.1.9 - ОК 4.1.1-5.1 ППК 4.1.1 Чайковского 66 Курск, Чайковского, 66  п. 1"</f>
        <v>[46/2796] М 4.1.9 - ОК 4.1.1-5.1 ППК 4.1.1 Чайковского 66 Курск, Чайковского, 66  п. 1</v>
      </c>
      <c r="P287">
        <v>36.23976287</v>
      </c>
      <c r="Q287">
        <v>51.73269603</v>
      </c>
      <c r="R287" t="str">
        <f>""</f>
        <v/>
      </c>
    </row>
    <row r="288" spans="1:18" x14ac:dyDescent="0.25">
      <c r="A288">
        <v>907</v>
      </c>
      <c r="B288" t="str">
        <f t="shared" si="112"/>
        <v>Курск</v>
      </c>
      <c r="C288">
        <v>970640</v>
      </c>
      <c r="D288" t="str">
        <f t="shared" si="111"/>
        <v>Опора</v>
      </c>
      <c r="E288" t="str">
        <f>"КУМИ 28"</f>
        <v>КУМИ 28</v>
      </c>
      <c r="F288" t="str">
        <f t="shared" si="122"/>
        <v>Актуализирована 27.08.22</v>
      </c>
      <c r="G288" t="str">
        <f t="shared" si="119"/>
        <v>_МС (CAB_MS)</v>
      </c>
      <c r="H288" t="str">
        <f t="shared" si="115"/>
        <v>МС 4.1</v>
      </c>
      <c r="I288" t="str">
        <f t="shared" si="116"/>
        <v>29.07.2022</v>
      </c>
      <c r="J288" t="str">
        <f>""</f>
        <v/>
      </c>
      <c r="K288" t="str">
        <f t="shared" si="114"/>
        <v>Отсутствует</v>
      </c>
      <c r="L288" t="str">
        <f t="shared" si="123"/>
        <v>Комитет по управлению муниципальным имуществом города Курска</v>
      </c>
      <c r="M288" t="str">
        <f t="shared" si="117"/>
        <v>Неизвестно</v>
      </c>
      <c r="N288" t="str">
        <f t="shared" si="118"/>
        <v>Нет</v>
      </c>
      <c r="O288" t="str">
        <f>"[46/2796] М 4.1.9 - ОК 4.1.1-5.1 ППК 4.1.1 Чайковского 66 Курск, Чайковского, 66  п. 1, [46/2668] М 4.1.9 - ОК 4.1.1-2 ППК 4.1.1 Курск, Чайковского, 60  п. 1"</f>
        <v>[46/2796] М 4.1.9 - ОК 4.1.1-5.1 ППК 4.1.1 Чайковского 66 Курск, Чайковского, 66  п. 1, [46/2668] М 4.1.9 - ОК 4.1.1-2 ППК 4.1.1 Курск, Чайковского, 60  п. 1</v>
      </c>
      <c r="P288">
        <v>36.239239830000002</v>
      </c>
      <c r="Q288">
        <v>51.732946859999998</v>
      </c>
      <c r="R288" t="str">
        <f>""</f>
        <v/>
      </c>
    </row>
    <row r="289" spans="1:18" x14ac:dyDescent="0.25">
      <c r="A289">
        <v>907</v>
      </c>
      <c r="B289" t="str">
        <f t="shared" si="112"/>
        <v>Курск</v>
      </c>
      <c r="C289">
        <v>970639</v>
      </c>
      <c r="D289" t="str">
        <f t="shared" ref="D289:D320" si="124">"Опора"</f>
        <v>Опора</v>
      </c>
      <c r="E289" t="str">
        <f>"КУМИ 27"</f>
        <v>КУМИ 27</v>
      </c>
      <c r="F289" t="str">
        <f t="shared" si="122"/>
        <v>Актуализирована 27.08.22</v>
      </c>
      <c r="G289" t="str">
        <f t="shared" si="119"/>
        <v>_МС (CAB_MS)</v>
      </c>
      <c r="H289" t="str">
        <f t="shared" si="115"/>
        <v>МС 4.1</v>
      </c>
      <c r="I289" t="str">
        <f t="shared" si="116"/>
        <v>29.07.2022</v>
      </c>
      <c r="J289" t="str">
        <f>""</f>
        <v/>
      </c>
      <c r="K289" t="str">
        <f t="shared" si="114"/>
        <v>Отсутствует</v>
      </c>
      <c r="L289" t="str">
        <f t="shared" si="123"/>
        <v>Комитет по управлению муниципальным имуществом города Курска</v>
      </c>
      <c r="M289" t="str">
        <f t="shared" si="117"/>
        <v>Неизвестно</v>
      </c>
      <c r="N289" t="str">
        <f t="shared" si="118"/>
        <v>Нет</v>
      </c>
      <c r="O289" t="str">
        <f>"[46/2796] М 4.1.9 - ОК 4.1.1-5.1 ППК 4.1.1 Чайковского 66 Курск, Чайковского, 66  п. 1, [46/2668] М 4.1.9 - ОК 4.1.1-2 ППК 4.1.1 Курск, Чайковского, 60  п. 1"</f>
        <v>[46/2796] М 4.1.9 - ОК 4.1.1-5.1 ППК 4.1.1 Чайковского 66 Курск, Чайковского, 66  п. 1, [46/2668] М 4.1.9 - ОК 4.1.1-2 ППК 4.1.1 Курск, Чайковского, 60  п. 1</v>
      </c>
      <c r="P289">
        <v>36.238708760000002</v>
      </c>
      <c r="Q289">
        <v>51.733202679999998</v>
      </c>
      <c r="R289" t="str">
        <f>""</f>
        <v/>
      </c>
    </row>
    <row r="290" spans="1:18" x14ac:dyDescent="0.25">
      <c r="A290">
        <v>907</v>
      </c>
      <c r="B290" t="str">
        <f t="shared" si="112"/>
        <v>Курск</v>
      </c>
      <c r="C290">
        <v>970638</v>
      </c>
      <c r="D290" t="str">
        <f t="shared" si="124"/>
        <v>Опора</v>
      </c>
      <c r="E290" t="str">
        <f>"КУМИ 26"</f>
        <v>КУМИ 26</v>
      </c>
      <c r="F290" t="str">
        <f t="shared" si="122"/>
        <v>Актуализирована 27.08.22</v>
      </c>
      <c r="G290" t="str">
        <f t="shared" si="119"/>
        <v>_МС (CAB_MS)</v>
      </c>
      <c r="H290" t="str">
        <f t="shared" si="115"/>
        <v>МС 4.1</v>
      </c>
      <c r="I290" t="str">
        <f t="shared" si="116"/>
        <v>29.07.2022</v>
      </c>
      <c r="J290" t="str">
        <f>""</f>
        <v/>
      </c>
      <c r="K290" t="str">
        <f t="shared" si="114"/>
        <v>Отсутствует</v>
      </c>
      <c r="L290" t="str">
        <f t="shared" si="123"/>
        <v>Комитет по управлению муниципальным имуществом города Курска</v>
      </c>
      <c r="M290" t="str">
        <f t="shared" si="117"/>
        <v>Неизвестно</v>
      </c>
      <c r="N290" t="str">
        <f t="shared" si="118"/>
        <v>Нет</v>
      </c>
      <c r="O290" t="str">
        <f>"[46/2796] М 4.1.9 - ОК 4.1.1-5.1 ППК 4.1.1 Чайковского 66 Курск, Чайковского, 66  п. 1, [46/2668] М 4.1.9 - ОК 4.1.1-2 ППК 4.1.1 Курск, Чайковского, 60  п. 1"</f>
        <v>[46/2796] М 4.1.9 - ОК 4.1.1-5.1 ППК 4.1.1 Чайковского 66 Курск, Чайковского, 66  п. 1, [46/2668] М 4.1.9 - ОК 4.1.1-2 ППК 4.1.1 Курск, Чайковского, 60  п. 1</v>
      </c>
      <c r="P290">
        <v>36.238360069999999</v>
      </c>
      <c r="Q290">
        <v>51.733375440000003</v>
      </c>
      <c r="R290" t="str">
        <f>""</f>
        <v/>
      </c>
    </row>
    <row r="291" spans="1:18" x14ac:dyDescent="0.25">
      <c r="A291">
        <v>907</v>
      </c>
      <c r="B291" t="str">
        <f t="shared" si="112"/>
        <v>Курск</v>
      </c>
      <c r="C291">
        <v>970637</v>
      </c>
      <c r="D291" t="str">
        <f t="shared" si="124"/>
        <v>Опора</v>
      </c>
      <c r="E291" t="str">
        <f>"КУМИ 25"</f>
        <v>КУМИ 25</v>
      </c>
      <c r="F291" t="str">
        <f t="shared" si="122"/>
        <v>Актуализирована 27.08.22</v>
      </c>
      <c r="G291" t="str">
        <f t="shared" si="119"/>
        <v>_МС (CAB_MS)</v>
      </c>
      <c r="H291" t="str">
        <f t="shared" si="115"/>
        <v>МС 4.1</v>
      </c>
      <c r="I291" t="str">
        <f t="shared" si="116"/>
        <v>29.07.2022</v>
      </c>
      <c r="J291" t="str">
        <f>""</f>
        <v/>
      </c>
      <c r="K291" t="str">
        <f t="shared" si="114"/>
        <v>Отсутствует</v>
      </c>
      <c r="L291" t="str">
        <f t="shared" si="123"/>
        <v>Комитет по управлению муниципальным имуществом города Курска</v>
      </c>
      <c r="M291" t="str">
        <f t="shared" si="117"/>
        <v>Неизвестно</v>
      </c>
      <c r="N291" t="str">
        <f t="shared" si="118"/>
        <v>Нет</v>
      </c>
      <c r="O291" t="str">
        <f>"[46/2796] М 4.1.9 - ОК 4.1.1-5.1 ППК 4.1.1 Чайковского 66 Курск, Чайковского, 66  п. 1, [46/2668] М 4.1.9 - ОК 4.1.1-2 ППК 4.1.1 Курск, Чайковского, 60  п. 1"</f>
        <v>[46/2796] М 4.1.9 - ОК 4.1.1-5.1 ППК 4.1.1 Чайковского 66 Курск, Чайковского, 66  п. 1, [46/2668] М 4.1.9 - ОК 4.1.1-2 ППК 4.1.1 Курск, Чайковского, 60  п. 1</v>
      </c>
      <c r="P291">
        <v>36.238105259999998</v>
      </c>
      <c r="Q291">
        <v>51.733503349999999</v>
      </c>
      <c r="R291" t="str">
        <f>""</f>
        <v/>
      </c>
    </row>
    <row r="292" spans="1:18" x14ac:dyDescent="0.25">
      <c r="A292">
        <v>907</v>
      </c>
      <c r="B292" t="str">
        <f t="shared" si="112"/>
        <v>Курск</v>
      </c>
      <c r="C292">
        <v>970636</v>
      </c>
      <c r="D292" t="str">
        <f t="shared" si="124"/>
        <v>Опора</v>
      </c>
      <c r="E292" t="str">
        <f>"КУМИ 24"</f>
        <v>КУМИ 24</v>
      </c>
      <c r="F292" t="str">
        <f t="shared" si="122"/>
        <v>Актуализирована 27.08.22</v>
      </c>
      <c r="G292" t="str">
        <f t="shared" si="119"/>
        <v>_МС (CAB_MS)</v>
      </c>
      <c r="H292" t="str">
        <f t="shared" si="115"/>
        <v>МС 4.1</v>
      </c>
      <c r="I292" t="str">
        <f t="shared" si="116"/>
        <v>29.07.2022</v>
      </c>
      <c r="J292" t="str">
        <f>""</f>
        <v/>
      </c>
      <c r="K292" t="str">
        <f t="shared" si="114"/>
        <v>Отсутствует</v>
      </c>
      <c r="L292" t="str">
        <f t="shared" si="123"/>
        <v>Комитет по управлению муниципальным имуществом города Курска</v>
      </c>
      <c r="M292" t="str">
        <f t="shared" si="117"/>
        <v>Неизвестно</v>
      </c>
      <c r="N292" t="str">
        <f t="shared" si="118"/>
        <v>Нет</v>
      </c>
      <c r="O292" t="str">
        <f>"[46/2796] М 4.1.9 - ОК 4.1.1-5.1 ППК 4.1.1 Чайковского 66 Курск, Чайковского, 66  п. 1, [46/2668] М 4.1.9 - ОК 4.1.1-2 ППК 4.1.1 Курск, Чайковского, 60  п. 1"</f>
        <v>[46/2796] М 4.1.9 - ОК 4.1.1-5.1 ППК 4.1.1 Чайковского 66 Курск, Чайковского, 66  п. 1, [46/2668] М 4.1.9 - ОК 4.1.1-2 ППК 4.1.1 Курск, Чайковского, 60  п. 1</v>
      </c>
      <c r="P292">
        <v>36.237769980000003</v>
      </c>
      <c r="Q292">
        <v>51.733666139999997</v>
      </c>
      <c r="R292" t="str">
        <f>""</f>
        <v/>
      </c>
    </row>
    <row r="293" spans="1:18" x14ac:dyDescent="0.25">
      <c r="A293">
        <v>907</v>
      </c>
      <c r="B293" t="str">
        <f t="shared" si="112"/>
        <v>Курск</v>
      </c>
      <c r="C293">
        <v>970635</v>
      </c>
      <c r="D293" t="str">
        <f t="shared" si="124"/>
        <v>Опора</v>
      </c>
      <c r="E293" t="str">
        <f>"КУМИ 23"</f>
        <v>КУМИ 23</v>
      </c>
      <c r="F293" t="str">
        <f t="shared" si="122"/>
        <v>Актуализирована 27.08.22</v>
      </c>
      <c r="G293" t="str">
        <f t="shared" si="119"/>
        <v>_МС (CAB_MS)</v>
      </c>
      <c r="H293" t="str">
        <f t="shared" si="115"/>
        <v>МС 4.1</v>
      </c>
      <c r="I293" t="str">
        <f t="shared" si="116"/>
        <v>29.07.2022</v>
      </c>
      <c r="J293" t="str">
        <f>""</f>
        <v/>
      </c>
      <c r="K293" t="str">
        <f t="shared" si="114"/>
        <v>Отсутствует</v>
      </c>
      <c r="L293" t="str">
        <f t="shared" si="123"/>
        <v>Комитет по управлению муниципальным имуществом города Курска</v>
      </c>
      <c r="M293" t="str">
        <f t="shared" si="117"/>
        <v>Неизвестно</v>
      </c>
      <c r="N293" t="str">
        <f t="shared" si="118"/>
        <v>Нет</v>
      </c>
      <c r="O293" t="str">
        <f>"[46/2796] М 4.1.9 - ОК 4.1.1-5.1 ППК 4.1.1 Чайковского 66 Курск, Чайковского, 66  п. 1, [46/2653] М 4.1.8 - М 4.1.9, [46/2667] М 4.1.9 - Р 4.1.1.1, [46/2668] М 4.1.9 - ОК 4.1.1-2 ППК 4.1.1 Курск, Чайковского, 60  п. 1"</f>
        <v>[46/2796] М 4.1.9 - ОК 4.1.1-5.1 ППК 4.1.1 Чайковского 66 Курск, Чайковского, 66  п. 1, [46/2653] М 4.1.8 - М 4.1.9, [46/2667] М 4.1.9 - Р 4.1.1.1, [46/2668] М 4.1.9 - ОК 4.1.1-2 ППК 4.1.1 Курск, Чайковского, 60  п. 1</v>
      </c>
      <c r="P293">
        <v>36.237432030000001</v>
      </c>
      <c r="Q293">
        <v>51.733835579999997</v>
      </c>
      <c r="R293" t="str">
        <f>""</f>
        <v/>
      </c>
    </row>
    <row r="294" spans="1:18" x14ac:dyDescent="0.25">
      <c r="A294">
        <v>907</v>
      </c>
      <c r="B294" t="str">
        <f t="shared" si="112"/>
        <v>Курск</v>
      </c>
      <c r="C294">
        <v>970634</v>
      </c>
      <c r="D294" t="str">
        <f t="shared" si="124"/>
        <v>Опора</v>
      </c>
      <c r="E294" t="str">
        <f>"КУМИ 22"</f>
        <v>КУМИ 22</v>
      </c>
      <c r="F294" t="str">
        <f t="shared" si="122"/>
        <v>Актуализирована 27.08.22</v>
      </c>
      <c r="G294" t="str">
        <f t="shared" si="119"/>
        <v>_МС (CAB_MS)</v>
      </c>
      <c r="H294" t="str">
        <f t="shared" si="115"/>
        <v>МС 4.1</v>
      </c>
      <c r="I294" t="str">
        <f t="shared" si="116"/>
        <v>29.07.2022</v>
      </c>
      <c r="J294" t="str">
        <f>""</f>
        <v/>
      </c>
      <c r="K294" t="str">
        <f t="shared" si="114"/>
        <v>Отсутствует</v>
      </c>
      <c r="L294" t="str">
        <f t="shared" si="123"/>
        <v>Комитет по управлению муниципальным имуществом города Курска</v>
      </c>
      <c r="M294" t="str">
        <f t="shared" si="117"/>
        <v>Неизвестно</v>
      </c>
      <c r="N294" t="str">
        <f t="shared" si="118"/>
        <v>Нет</v>
      </c>
      <c r="O294" t="str">
        <f>"[46/2653] М 4.1.8 - М 4.1.9"</f>
        <v>[46/2653] М 4.1.8 - М 4.1.9</v>
      </c>
      <c r="P294">
        <v>36.237118209999998</v>
      </c>
      <c r="Q294">
        <v>51.73401664</v>
      </c>
      <c r="R294" t="str">
        <f>""</f>
        <v/>
      </c>
    </row>
    <row r="295" spans="1:18" x14ac:dyDescent="0.25">
      <c r="A295">
        <v>907</v>
      </c>
      <c r="B295" t="str">
        <f t="shared" si="112"/>
        <v>Курск</v>
      </c>
      <c r="C295">
        <v>970633</v>
      </c>
      <c r="D295" t="str">
        <f t="shared" si="124"/>
        <v>Опора</v>
      </c>
      <c r="E295" t="str">
        <f>"КУМИ 21"</f>
        <v>КУМИ 21</v>
      </c>
      <c r="F295" t="str">
        <f t="shared" si="122"/>
        <v>Актуализирована 27.08.22</v>
      </c>
      <c r="G295" t="str">
        <f t="shared" si="119"/>
        <v>_МС (CAB_MS)</v>
      </c>
      <c r="H295" t="str">
        <f t="shared" si="115"/>
        <v>МС 4.1</v>
      </c>
      <c r="I295" t="str">
        <f t="shared" si="116"/>
        <v>29.07.2022</v>
      </c>
      <c r="J295" t="str">
        <f>""</f>
        <v/>
      </c>
      <c r="K295" t="str">
        <f t="shared" si="114"/>
        <v>Отсутствует</v>
      </c>
      <c r="L295" t="str">
        <f t="shared" si="123"/>
        <v>Комитет по управлению муниципальным имуществом города Курска</v>
      </c>
      <c r="M295" t="str">
        <f t="shared" si="117"/>
        <v>Неизвестно</v>
      </c>
      <c r="N295" t="str">
        <f t="shared" si="118"/>
        <v>Нет</v>
      </c>
      <c r="O295" t="str">
        <f>"[46/2653] М 4.1.8 - М 4.1.9"</f>
        <v>[46/2653] М 4.1.8 - М 4.1.9</v>
      </c>
      <c r="P295">
        <v>36.236836570000001</v>
      </c>
      <c r="Q295">
        <v>51.734191060000001</v>
      </c>
      <c r="R295" t="str">
        <f>""</f>
        <v/>
      </c>
    </row>
    <row r="296" spans="1:18" x14ac:dyDescent="0.25">
      <c r="A296">
        <v>907</v>
      </c>
      <c r="B296" t="str">
        <f t="shared" si="112"/>
        <v>Курск</v>
      </c>
      <c r="C296">
        <v>970632</v>
      </c>
      <c r="D296" t="str">
        <f t="shared" si="124"/>
        <v>Опора</v>
      </c>
      <c r="E296" t="str">
        <f>"КУМИ 20"</f>
        <v>КУМИ 20</v>
      </c>
      <c r="F296" t="str">
        <f t="shared" si="122"/>
        <v>Актуализирована 27.08.22</v>
      </c>
      <c r="G296" t="str">
        <f t="shared" si="119"/>
        <v>_МС (CAB_MS)</v>
      </c>
      <c r="H296" t="str">
        <f t="shared" si="115"/>
        <v>МС 4.1</v>
      </c>
      <c r="I296" t="str">
        <f t="shared" si="116"/>
        <v>29.07.2022</v>
      </c>
      <c r="J296" t="str">
        <f>""</f>
        <v/>
      </c>
      <c r="K296" t="str">
        <f t="shared" si="114"/>
        <v>Отсутствует</v>
      </c>
      <c r="L296" t="str">
        <f t="shared" si="123"/>
        <v>Комитет по управлению муниципальным имуществом города Курска</v>
      </c>
      <c r="M296" t="str">
        <f t="shared" si="117"/>
        <v>Неизвестно</v>
      </c>
      <c r="N296" t="str">
        <f t="shared" si="118"/>
        <v>Нет</v>
      </c>
      <c r="O296" t="str">
        <f>"[46/2653] М 4.1.8 - М 4.1.9"</f>
        <v>[46/2653] М 4.1.8 - М 4.1.9</v>
      </c>
      <c r="P296">
        <v>36.236562990000003</v>
      </c>
      <c r="Q296">
        <v>51.73436049</v>
      </c>
      <c r="R296" t="str">
        <f>""</f>
        <v/>
      </c>
    </row>
    <row r="297" spans="1:18" x14ac:dyDescent="0.25">
      <c r="A297">
        <v>907</v>
      </c>
      <c r="B297" t="str">
        <f t="shared" si="112"/>
        <v>Курск</v>
      </c>
      <c r="C297">
        <v>970631</v>
      </c>
      <c r="D297" t="str">
        <f t="shared" si="124"/>
        <v>Опора</v>
      </c>
      <c r="E297" t="str">
        <f>"КУМИ 19"</f>
        <v>КУМИ 19</v>
      </c>
      <c r="F297" t="str">
        <f t="shared" si="122"/>
        <v>Актуализирована 27.08.22</v>
      </c>
      <c r="G297" t="str">
        <f t="shared" si="119"/>
        <v>_МС (CAB_MS)</v>
      </c>
      <c r="H297" t="str">
        <f t="shared" si="115"/>
        <v>МС 4.1</v>
      </c>
      <c r="I297" t="str">
        <f t="shared" si="116"/>
        <v>29.07.2022</v>
      </c>
      <c r="J297" t="str">
        <f>""</f>
        <v/>
      </c>
      <c r="K297" t="str">
        <f t="shared" ref="K297:K328" si="125">"Отсутствует"</f>
        <v>Отсутствует</v>
      </c>
      <c r="L297" t="str">
        <f t="shared" si="123"/>
        <v>Комитет по управлению муниципальным имуществом города Курска</v>
      </c>
      <c r="M297" t="str">
        <f t="shared" si="117"/>
        <v>Неизвестно</v>
      </c>
      <c r="N297" t="str">
        <f t="shared" si="118"/>
        <v>Нет</v>
      </c>
      <c r="O297" t="str">
        <f>"[46/2653] М 4.1.8 - М 4.1.9"</f>
        <v>[46/2653] М 4.1.8 - М 4.1.9</v>
      </c>
      <c r="P297">
        <v>36.236251850000002</v>
      </c>
      <c r="Q297">
        <v>51.734559830000002</v>
      </c>
      <c r="R297" t="str">
        <f>""</f>
        <v/>
      </c>
    </row>
    <row r="298" spans="1:18" x14ac:dyDescent="0.25">
      <c r="A298">
        <v>907</v>
      </c>
      <c r="B298" t="str">
        <f t="shared" si="112"/>
        <v>Курск</v>
      </c>
      <c r="C298">
        <v>970630</v>
      </c>
      <c r="D298" t="str">
        <f t="shared" si="124"/>
        <v>Опора</v>
      </c>
      <c r="E298" t="str">
        <f>"КУМИ 18"</f>
        <v>КУМИ 18</v>
      </c>
      <c r="F298" t="str">
        <f t="shared" si="122"/>
        <v>Актуализирована 27.08.22</v>
      </c>
      <c r="G298" t="str">
        <f t="shared" si="119"/>
        <v>_МС (CAB_MS)</v>
      </c>
      <c r="H298" t="str">
        <f t="shared" si="115"/>
        <v>МС 4.1</v>
      </c>
      <c r="I298" t="str">
        <f t="shared" ref="I298:I327" si="126">"29.07.2022"</f>
        <v>29.07.2022</v>
      </c>
      <c r="J298" t="str">
        <f>""</f>
        <v/>
      </c>
      <c r="K298" t="str">
        <f t="shared" si="125"/>
        <v>Отсутствует</v>
      </c>
      <c r="L298" t="str">
        <f t="shared" si="123"/>
        <v>Комитет по управлению муниципальным имуществом города Курска</v>
      </c>
      <c r="M298" t="str">
        <f t="shared" si="117"/>
        <v>Неизвестно</v>
      </c>
      <c r="N298" t="str">
        <f t="shared" si="118"/>
        <v>Нет</v>
      </c>
      <c r="O298" t="str">
        <f>"[46/2653] М 4.1.8 - М 4.1.9"</f>
        <v>[46/2653] М 4.1.8 - М 4.1.9</v>
      </c>
      <c r="P298">
        <v>36.236005089999999</v>
      </c>
      <c r="Q298">
        <v>51.734732579999999</v>
      </c>
      <c r="R298" t="str">
        <f>""</f>
        <v/>
      </c>
    </row>
    <row r="299" spans="1:18" x14ac:dyDescent="0.25">
      <c r="A299">
        <v>907</v>
      </c>
      <c r="B299" t="str">
        <f t="shared" si="112"/>
        <v>Курск</v>
      </c>
      <c r="C299">
        <v>970818</v>
      </c>
      <c r="D299" t="str">
        <f t="shared" si="124"/>
        <v>Опора</v>
      </c>
      <c r="E299" t="str">
        <f t="shared" ref="E299:E312" si="127">"КЭС"</f>
        <v>КЭС</v>
      </c>
      <c r="F299" t="str">
        <f>""</f>
        <v/>
      </c>
      <c r="G299" t="str">
        <f t="shared" si="119"/>
        <v>_МС (CAB_MS)</v>
      </c>
      <c r="H299" t="str">
        <f t="shared" ref="H299:H327" si="128">"МС 4.2"</f>
        <v>МС 4.2</v>
      </c>
      <c r="I299" t="str">
        <f t="shared" si="126"/>
        <v>29.07.2022</v>
      </c>
      <c r="J299" t="str">
        <f>""</f>
        <v/>
      </c>
      <c r="K299" t="str">
        <f t="shared" si="125"/>
        <v>Отсутствует</v>
      </c>
      <c r="L299" t="str">
        <f t="shared" ref="L299:L312" si="129">"ОАО ""Курские электрические сети"""</f>
        <v>ОАО "Курские электрические сети"</v>
      </c>
      <c r="M299" t="str">
        <f t="shared" ref="M299:M330" si="130">"Неизвестно"</f>
        <v>Неизвестно</v>
      </c>
      <c r="N299" t="str">
        <f t="shared" ref="N299:N322" si="131">"Нет"</f>
        <v>Нет</v>
      </c>
      <c r="O299" t="str">
        <f t="shared" ref="O299:O311" si="132">"[46/3189] М 4.2.12 - ГОК4.2.11.1 Курск, Агрегатная 1-Я, 38 б п. 2"</f>
        <v>[46/3189] М 4.2.12 - ГОК4.2.11.1 Курск, Агрегатная 1-Я, 38 б п. 2</v>
      </c>
      <c r="P299">
        <v>36.273968410000002</v>
      </c>
      <c r="Q299">
        <v>51.738354260000001</v>
      </c>
      <c r="R299" t="str">
        <f>""</f>
        <v/>
      </c>
    </row>
    <row r="300" spans="1:18" x14ac:dyDescent="0.25">
      <c r="A300">
        <v>907</v>
      </c>
      <c r="B300" t="str">
        <f t="shared" si="112"/>
        <v>Курск</v>
      </c>
      <c r="C300">
        <v>970817</v>
      </c>
      <c r="D300" t="str">
        <f t="shared" si="124"/>
        <v>Опора</v>
      </c>
      <c r="E300" t="str">
        <f t="shared" si="127"/>
        <v>КЭС</v>
      </c>
      <c r="F300" t="str">
        <f>""</f>
        <v/>
      </c>
      <c r="G300" t="str">
        <f t="shared" si="119"/>
        <v>_МС (CAB_MS)</v>
      </c>
      <c r="H300" t="str">
        <f t="shared" si="128"/>
        <v>МС 4.2</v>
      </c>
      <c r="I300" t="str">
        <f t="shared" si="126"/>
        <v>29.07.2022</v>
      </c>
      <c r="J300" t="str">
        <f>""</f>
        <v/>
      </c>
      <c r="K300" t="str">
        <f t="shared" si="125"/>
        <v>Отсутствует</v>
      </c>
      <c r="L300" t="str">
        <f t="shared" si="129"/>
        <v>ОАО "Курские электрические сети"</v>
      </c>
      <c r="M300" t="str">
        <f t="shared" si="130"/>
        <v>Неизвестно</v>
      </c>
      <c r="N300" t="str">
        <f t="shared" si="131"/>
        <v>Нет</v>
      </c>
      <c r="O300" t="str">
        <f t="shared" si="132"/>
        <v>[46/3189] М 4.2.12 - ГОК4.2.11.1 Курск, Агрегатная 1-Я, 38 б п. 2</v>
      </c>
      <c r="P300">
        <v>36.273595579999999</v>
      </c>
      <c r="Q300">
        <v>51.738443949999997</v>
      </c>
      <c r="R300" t="str">
        <f>""</f>
        <v/>
      </c>
    </row>
    <row r="301" spans="1:18" x14ac:dyDescent="0.25">
      <c r="A301">
        <v>907</v>
      </c>
      <c r="B301" t="str">
        <f t="shared" si="112"/>
        <v>Курск</v>
      </c>
      <c r="C301">
        <v>970816</v>
      </c>
      <c r="D301" t="str">
        <f t="shared" si="124"/>
        <v>Опора</v>
      </c>
      <c r="E301" t="str">
        <f t="shared" si="127"/>
        <v>КЭС</v>
      </c>
      <c r="F301" t="str">
        <f>""</f>
        <v/>
      </c>
      <c r="G301" t="str">
        <f t="shared" si="119"/>
        <v>_МС (CAB_MS)</v>
      </c>
      <c r="H301" t="str">
        <f t="shared" si="128"/>
        <v>МС 4.2</v>
      </c>
      <c r="I301" t="str">
        <f t="shared" si="126"/>
        <v>29.07.2022</v>
      </c>
      <c r="J301" t="str">
        <f>""</f>
        <v/>
      </c>
      <c r="K301" t="str">
        <f t="shared" si="125"/>
        <v>Отсутствует</v>
      </c>
      <c r="L301" t="str">
        <f t="shared" si="129"/>
        <v>ОАО "Курские электрические сети"</v>
      </c>
      <c r="M301" t="str">
        <f t="shared" si="130"/>
        <v>Неизвестно</v>
      </c>
      <c r="N301" t="str">
        <f t="shared" si="131"/>
        <v>Нет</v>
      </c>
      <c r="O301" t="str">
        <f t="shared" si="132"/>
        <v>[46/3189] М 4.2.12 - ГОК4.2.11.1 Курск, Агрегатная 1-Я, 38 б п. 2</v>
      </c>
      <c r="P301">
        <v>36.273225434124399</v>
      </c>
      <c r="Q301">
        <v>51.738536966081497</v>
      </c>
      <c r="R301" t="str">
        <f>""</f>
        <v/>
      </c>
    </row>
    <row r="302" spans="1:18" x14ac:dyDescent="0.25">
      <c r="A302">
        <v>907</v>
      </c>
      <c r="B302" t="str">
        <f t="shared" si="112"/>
        <v>Курск</v>
      </c>
      <c r="C302">
        <v>970784</v>
      </c>
      <c r="D302" t="str">
        <f t="shared" si="124"/>
        <v>Опора</v>
      </c>
      <c r="E302" t="str">
        <f t="shared" si="127"/>
        <v>КЭС</v>
      </c>
      <c r="F302" t="str">
        <f>""</f>
        <v/>
      </c>
      <c r="G302" t="str">
        <f t="shared" si="119"/>
        <v>_МС (CAB_MS)</v>
      </c>
      <c r="H302" t="str">
        <f t="shared" si="128"/>
        <v>МС 4.2</v>
      </c>
      <c r="I302" t="str">
        <f t="shared" si="126"/>
        <v>29.07.2022</v>
      </c>
      <c r="J302" t="str">
        <f>""</f>
        <v/>
      </c>
      <c r="K302" t="str">
        <f t="shared" si="125"/>
        <v>Отсутствует</v>
      </c>
      <c r="L302" t="str">
        <f t="shared" si="129"/>
        <v>ОАО "Курские электрические сети"</v>
      </c>
      <c r="M302" t="str">
        <f t="shared" si="130"/>
        <v>Неизвестно</v>
      </c>
      <c r="N302" t="str">
        <f t="shared" si="131"/>
        <v>Нет</v>
      </c>
      <c r="O302" t="str">
        <f t="shared" si="132"/>
        <v>[46/3189] М 4.2.12 - ГОК4.2.11.1 Курск, Агрегатная 1-Я, 38 б п. 2</v>
      </c>
      <c r="P302">
        <v>36.276004870000001</v>
      </c>
      <c r="Q302">
        <v>51.7374212</v>
      </c>
      <c r="R302" t="str">
        <f>""</f>
        <v/>
      </c>
    </row>
    <row r="303" spans="1:18" x14ac:dyDescent="0.25">
      <c r="A303">
        <v>907</v>
      </c>
      <c r="B303" t="str">
        <f t="shared" si="112"/>
        <v>Курск</v>
      </c>
      <c r="C303">
        <v>970783</v>
      </c>
      <c r="D303" t="str">
        <f t="shared" si="124"/>
        <v>Опора</v>
      </c>
      <c r="E303" t="str">
        <f t="shared" si="127"/>
        <v>КЭС</v>
      </c>
      <c r="F303" t="str">
        <f>""</f>
        <v/>
      </c>
      <c r="G303" t="str">
        <f t="shared" si="119"/>
        <v>_МС (CAB_MS)</v>
      </c>
      <c r="H303" t="str">
        <f t="shared" si="128"/>
        <v>МС 4.2</v>
      </c>
      <c r="I303" t="str">
        <f t="shared" si="126"/>
        <v>29.07.2022</v>
      </c>
      <c r="J303" t="str">
        <f>""</f>
        <v/>
      </c>
      <c r="K303" t="str">
        <f t="shared" si="125"/>
        <v>Отсутствует</v>
      </c>
      <c r="L303" t="str">
        <f t="shared" si="129"/>
        <v>ОАО "Курские электрические сети"</v>
      </c>
      <c r="M303" t="str">
        <f t="shared" si="130"/>
        <v>Неизвестно</v>
      </c>
      <c r="N303" t="str">
        <f t="shared" si="131"/>
        <v>Нет</v>
      </c>
      <c r="O303" t="str">
        <f t="shared" si="132"/>
        <v>[46/3189] М 4.2.12 - ГОК4.2.11.1 Курск, Агрегатная 1-Я, 38 б п. 2</v>
      </c>
      <c r="P303">
        <v>36.2748998</v>
      </c>
      <c r="Q303">
        <v>51.737686959999998</v>
      </c>
      <c r="R303" t="str">
        <f>""</f>
        <v/>
      </c>
    </row>
    <row r="304" spans="1:18" x14ac:dyDescent="0.25">
      <c r="A304">
        <v>907</v>
      </c>
      <c r="B304" t="str">
        <f t="shared" si="112"/>
        <v>Курск</v>
      </c>
      <c r="C304">
        <v>970782</v>
      </c>
      <c r="D304" t="str">
        <f t="shared" si="124"/>
        <v>Опора</v>
      </c>
      <c r="E304" t="str">
        <f t="shared" si="127"/>
        <v>КЭС</v>
      </c>
      <c r="F304" t="str">
        <f>""</f>
        <v/>
      </c>
      <c r="G304" t="str">
        <f t="shared" si="119"/>
        <v>_МС (CAB_MS)</v>
      </c>
      <c r="H304" t="str">
        <f t="shared" si="128"/>
        <v>МС 4.2</v>
      </c>
      <c r="I304" t="str">
        <f t="shared" si="126"/>
        <v>29.07.2022</v>
      </c>
      <c r="J304" t="str">
        <f>""</f>
        <v/>
      </c>
      <c r="K304" t="str">
        <f t="shared" si="125"/>
        <v>Отсутствует</v>
      </c>
      <c r="L304" t="str">
        <f t="shared" si="129"/>
        <v>ОАО "Курские электрические сети"</v>
      </c>
      <c r="M304" t="str">
        <f t="shared" si="130"/>
        <v>Неизвестно</v>
      </c>
      <c r="N304" t="str">
        <f t="shared" si="131"/>
        <v>Нет</v>
      </c>
      <c r="O304" t="str">
        <f t="shared" si="132"/>
        <v>[46/3189] М 4.2.12 - ГОК4.2.11.1 Курск, Агрегатная 1-Я, 38 б п. 2</v>
      </c>
      <c r="P304">
        <v>36.274274849999998</v>
      </c>
      <c r="Q304">
        <v>51.738279929999997</v>
      </c>
      <c r="R304" t="str">
        <f>""</f>
        <v/>
      </c>
    </row>
    <row r="305" spans="1:18" x14ac:dyDescent="0.25">
      <c r="A305">
        <v>907</v>
      </c>
      <c r="B305" t="str">
        <f t="shared" si="112"/>
        <v>Курск</v>
      </c>
      <c r="C305">
        <v>970781</v>
      </c>
      <c r="D305" t="str">
        <f t="shared" si="124"/>
        <v>Опора</v>
      </c>
      <c r="E305" t="str">
        <f t="shared" si="127"/>
        <v>КЭС</v>
      </c>
      <c r="F305" t="str">
        <f>""</f>
        <v/>
      </c>
      <c r="G305" t="str">
        <f t="shared" si="119"/>
        <v>_МС (CAB_MS)</v>
      </c>
      <c r="H305" t="str">
        <f t="shared" si="128"/>
        <v>МС 4.2</v>
      </c>
      <c r="I305" t="str">
        <f t="shared" si="126"/>
        <v>29.07.2022</v>
      </c>
      <c r="J305" t="str">
        <f>""</f>
        <v/>
      </c>
      <c r="K305" t="str">
        <f t="shared" si="125"/>
        <v>Отсутствует</v>
      </c>
      <c r="L305" t="str">
        <f t="shared" si="129"/>
        <v>ОАО "Курские электрические сети"</v>
      </c>
      <c r="M305" t="str">
        <f t="shared" si="130"/>
        <v>Неизвестно</v>
      </c>
      <c r="N305" t="str">
        <f t="shared" si="131"/>
        <v>Нет</v>
      </c>
      <c r="O305" t="str">
        <f t="shared" si="132"/>
        <v>[46/3189] М 4.2.12 - ГОК4.2.11.1 Курск, Агрегатная 1-Я, 38 б п. 2</v>
      </c>
      <c r="P305">
        <v>36.274379449999998</v>
      </c>
      <c r="Q305">
        <v>51.737803229999997</v>
      </c>
      <c r="R305" t="str">
        <f>""</f>
        <v/>
      </c>
    </row>
    <row r="306" spans="1:18" x14ac:dyDescent="0.25">
      <c r="A306">
        <v>907</v>
      </c>
      <c r="B306" t="str">
        <f t="shared" si="112"/>
        <v>Курск</v>
      </c>
      <c r="C306">
        <v>970780</v>
      </c>
      <c r="D306" t="str">
        <f t="shared" si="124"/>
        <v>Опора</v>
      </c>
      <c r="E306" t="str">
        <f t="shared" si="127"/>
        <v>КЭС</v>
      </c>
      <c r="F306" t="str">
        <f>""</f>
        <v/>
      </c>
      <c r="G306" t="str">
        <f t="shared" si="119"/>
        <v>_МС (CAB_MS)</v>
      </c>
      <c r="H306" t="str">
        <f t="shared" si="128"/>
        <v>МС 4.2</v>
      </c>
      <c r="I306" t="str">
        <f t="shared" si="126"/>
        <v>29.07.2022</v>
      </c>
      <c r="J306" t="str">
        <f>""</f>
        <v/>
      </c>
      <c r="K306" t="str">
        <f t="shared" si="125"/>
        <v>Отсутствует</v>
      </c>
      <c r="L306" t="str">
        <f t="shared" si="129"/>
        <v>ОАО "Курские электрические сети"</v>
      </c>
      <c r="M306" t="str">
        <f t="shared" si="130"/>
        <v>Неизвестно</v>
      </c>
      <c r="N306" t="str">
        <f t="shared" si="131"/>
        <v>Нет</v>
      </c>
      <c r="O306" t="str">
        <f t="shared" si="132"/>
        <v>[46/3189] М 4.2.12 - ГОК4.2.11.1 Курск, Агрегатная 1-Я, 38 б п. 2</v>
      </c>
      <c r="P306">
        <v>36.272855960000001</v>
      </c>
      <c r="Q306">
        <v>51.738630399999998</v>
      </c>
      <c r="R306" t="str">
        <f>""</f>
        <v/>
      </c>
    </row>
    <row r="307" spans="1:18" x14ac:dyDescent="0.25">
      <c r="A307">
        <v>907</v>
      </c>
      <c r="B307" t="str">
        <f t="shared" si="112"/>
        <v>Курск</v>
      </c>
      <c r="C307">
        <v>970779</v>
      </c>
      <c r="D307" t="str">
        <f t="shared" si="124"/>
        <v>Опора</v>
      </c>
      <c r="E307" t="str">
        <f t="shared" si="127"/>
        <v>КЭС</v>
      </c>
      <c r="F307" t="str">
        <f>""</f>
        <v/>
      </c>
      <c r="G307" t="str">
        <f t="shared" si="119"/>
        <v>_МС (CAB_MS)</v>
      </c>
      <c r="H307" t="str">
        <f t="shared" si="128"/>
        <v>МС 4.2</v>
      </c>
      <c r="I307" t="str">
        <f t="shared" si="126"/>
        <v>29.07.2022</v>
      </c>
      <c r="J307" t="str">
        <f>""</f>
        <v/>
      </c>
      <c r="K307" t="str">
        <f t="shared" si="125"/>
        <v>Отсутствует</v>
      </c>
      <c r="L307" t="str">
        <f t="shared" si="129"/>
        <v>ОАО "Курские электрические сети"</v>
      </c>
      <c r="M307" t="str">
        <f t="shared" si="130"/>
        <v>Неизвестно</v>
      </c>
      <c r="N307" t="str">
        <f t="shared" si="131"/>
        <v>Нет</v>
      </c>
      <c r="O307" t="str">
        <f t="shared" si="132"/>
        <v>[46/3189] М 4.2.12 - ГОК4.2.11.1 Курск, Агрегатная 1-Я, 38 б п. 2</v>
      </c>
      <c r="P307">
        <v>36.27254482</v>
      </c>
      <c r="Q307">
        <v>51.738278270000002</v>
      </c>
      <c r="R307" t="str">
        <f>""</f>
        <v/>
      </c>
    </row>
    <row r="308" spans="1:18" x14ac:dyDescent="0.25">
      <c r="A308">
        <v>907</v>
      </c>
      <c r="B308" t="str">
        <f t="shared" si="112"/>
        <v>Курск</v>
      </c>
      <c r="C308">
        <v>970778</v>
      </c>
      <c r="D308" t="str">
        <f t="shared" si="124"/>
        <v>Опора</v>
      </c>
      <c r="E308" t="str">
        <f t="shared" si="127"/>
        <v>КЭС</v>
      </c>
      <c r="F308" t="str">
        <f>""</f>
        <v/>
      </c>
      <c r="G308" t="str">
        <f t="shared" si="119"/>
        <v>_МС (CAB_MS)</v>
      </c>
      <c r="H308" t="str">
        <f t="shared" si="128"/>
        <v>МС 4.2</v>
      </c>
      <c r="I308" t="str">
        <f t="shared" si="126"/>
        <v>29.07.2022</v>
      </c>
      <c r="J308" t="str">
        <f>""</f>
        <v/>
      </c>
      <c r="K308" t="str">
        <f t="shared" si="125"/>
        <v>Отсутствует</v>
      </c>
      <c r="L308" t="str">
        <f t="shared" si="129"/>
        <v>ОАО "Курские электрические сети"</v>
      </c>
      <c r="M308" t="str">
        <f t="shared" si="130"/>
        <v>Неизвестно</v>
      </c>
      <c r="N308" t="str">
        <f t="shared" si="131"/>
        <v>Нет</v>
      </c>
      <c r="O308" t="str">
        <f t="shared" si="132"/>
        <v>[46/3189] М 4.2.12 - ГОК4.2.11.1 Курск, Агрегатная 1-Я, 38 б п. 2</v>
      </c>
      <c r="P308">
        <v>36.271166170000001</v>
      </c>
      <c r="Q308">
        <v>51.738630399999998</v>
      </c>
      <c r="R308" t="str">
        <f>""</f>
        <v/>
      </c>
    </row>
    <row r="309" spans="1:18" x14ac:dyDescent="0.25">
      <c r="A309">
        <v>907</v>
      </c>
      <c r="B309" t="str">
        <f t="shared" si="112"/>
        <v>Курск</v>
      </c>
      <c r="C309">
        <v>970777</v>
      </c>
      <c r="D309" t="str">
        <f t="shared" si="124"/>
        <v>Опора</v>
      </c>
      <c r="E309" t="str">
        <f t="shared" si="127"/>
        <v>КЭС</v>
      </c>
      <c r="F309" t="str">
        <f>""</f>
        <v/>
      </c>
      <c r="G309" t="str">
        <f t="shared" si="119"/>
        <v>_МС (CAB_MS)</v>
      </c>
      <c r="H309" t="str">
        <f t="shared" si="128"/>
        <v>МС 4.2</v>
      </c>
      <c r="I309" t="str">
        <f t="shared" si="126"/>
        <v>29.07.2022</v>
      </c>
      <c r="J309" t="str">
        <f>""</f>
        <v/>
      </c>
      <c r="K309" t="str">
        <f t="shared" si="125"/>
        <v>Отсутствует</v>
      </c>
      <c r="L309" t="str">
        <f t="shared" si="129"/>
        <v>ОАО "Курские электрические сети"</v>
      </c>
      <c r="M309" t="str">
        <f t="shared" si="130"/>
        <v>Неизвестно</v>
      </c>
      <c r="N309" t="str">
        <f t="shared" si="131"/>
        <v>Нет</v>
      </c>
      <c r="O309" t="str">
        <f t="shared" si="132"/>
        <v>[46/3189] М 4.2.12 - ГОК4.2.11.1 Курск, Агрегатная 1-Я, 38 б п. 2</v>
      </c>
      <c r="P309">
        <v>36.271002549999999</v>
      </c>
      <c r="Q309">
        <v>51.738507480000003</v>
      </c>
      <c r="R309" t="str">
        <f>""</f>
        <v/>
      </c>
    </row>
    <row r="310" spans="1:18" x14ac:dyDescent="0.25">
      <c r="A310">
        <v>907</v>
      </c>
      <c r="B310" t="str">
        <f t="shared" si="112"/>
        <v>Курск</v>
      </c>
      <c r="C310">
        <v>970776</v>
      </c>
      <c r="D310" t="str">
        <f t="shared" si="124"/>
        <v>Опора</v>
      </c>
      <c r="E310" t="str">
        <f t="shared" si="127"/>
        <v>КЭС</v>
      </c>
      <c r="F310" t="str">
        <f>""</f>
        <v/>
      </c>
      <c r="G310" t="str">
        <f t="shared" si="119"/>
        <v>_МС (CAB_MS)</v>
      </c>
      <c r="H310" t="str">
        <f t="shared" si="128"/>
        <v>МС 4.2</v>
      </c>
      <c r="I310" t="str">
        <f t="shared" si="126"/>
        <v>29.07.2022</v>
      </c>
      <c r="J310" t="str">
        <f>""</f>
        <v/>
      </c>
      <c r="K310" t="str">
        <f t="shared" si="125"/>
        <v>Отсутствует</v>
      </c>
      <c r="L310" t="str">
        <f t="shared" si="129"/>
        <v>ОАО "Курские электрические сети"</v>
      </c>
      <c r="M310" t="str">
        <f t="shared" si="130"/>
        <v>Неизвестно</v>
      </c>
      <c r="N310" t="str">
        <f t="shared" si="131"/>
        <v>Нет</v>
      </c>
      <c r="O310" t="str">
        <f t="shared" si="132"/>
        <v>[46/3189] М 4.2.12 - ГОК4.2.11.1 Курск, Агрегатная 1-Я, 38 б п. 2</v>
      </c>
      <c r="P310">
        <v>36.270278359999999</v>
      </c>
      <c r="Q310">
        <v>51.7387151</v>
      </c>
      <c r="R310" t="str">
        <f>""</f>
        <v/>
      </c>
    </row>
    <row r="311" spans="1:18" x14ac:dyDescent="0.25">
      <c r="A311">
        <v>907</v>
      </c>
      <c r="B311" t="str">
        <f t="shared" si="112"/>
        <v>Курск</v>
      </c>
      <c r="C311">
        <v>970775</v>
      </c>
      <c r="D311" t="str">
        <f t="shared" si="124"/>
        <v>Опора</v>
      </c>
      <c r="E311" t="str">
        <f t="shared" si="127"/>
        <v>КЭС</v>
      </c>
      <c r="F311" t="str">
        <f>""</f>
        <v/>
      </c>
      <c r="G311" t="str">
        <f t="shared" si="119"/>
        <v>_МС (CAB_MS)</v>
      </c>
      <c r="H311" t="str">
        <f t="shared" si="128"/>
        <v>МС 4.2</v>
      </c>
      <c r="I311" t="str">
        <f t="shared" si="126"/>
        <v>29.07.2022</v>
      </c>
      <c r="J311" t="str">
        <f>""</f>
        <v/>
      </c>
      <c r="K311" t="str">
        <f t="shared" si="125"/>
        <v>Отсутствует</v>
      </c>
      <c r="L311" t="str">
        <f t="shared" si="129"/>
        <v>ОАО "Курские электрические сети"</v>
      </c>
      <c r="M311" t="str">
        <f t="shared" si="130"/>
        <v>Неизвестно</v>
      </c>
      <c r="N311" t="str">
        <f t="shared" si="131"/>
        <v>Нет</v>
      </c>
      <c r="O311" t="str">
        <f t="shared" si="132"/>
        <v>[46/3189] М 4.2.12 - ГОК4.2.11.1 Курск, Агрегатная 1-Я, 38 б п. 2</v>
      </c>
      <c r="P311">
        <v>36.269725819999998</v>
      </c>
      <c r="Q311">
        <v>51.73883635</v>
      </c>
      <c r="R311" t="str">
        <f>""</f>
        <v/>
      </c>
    </row>
    <row r="312" spans="1:18" x14ac:dyDescent="0.25">
      <c r="A312">
        <v>907</v>
      </c>
      <c r="B312" t="str">
        <f t="shared" si="112"/>
        <v>Курск</v>
      </c>
      <c r="C312">
        <v>970774</v>
      </c>
      <c r="D312" t="str">
        <f t="shared" si="124"/>
        <v>Опора</v>
      </c>
      <c r="E312" t="str">
        <f t="shared" si="127"/>
        <v>КЭС</v>
      </c>
      <c r="F312" t="str">
        <f>""</f>
        <v/>
      </c>
      <c r="G312" t="str">
        <f t="shared" si="119"/>
        <v>_МС (CAB_MS)</v>
      </c>
      <c r="H312" t="str">
        <f t="shared" si="128"/>
        <v>МС 4.2</v>
      </c>
      <c r="I312" t="str">
        <f t="shared" si="126"/>
        <v>29.07.2022</v>
      </c>
      <c r="J312" t="str">
        <f>""</f>
        <v/>
      </c>
      <c r="K312" t="str">
        <f t="shared" si="125"/>
        <v>Отсутствует</v>
      </c>
      <c r="L312" t="str">
        <f t="shared" si="129"/>
        <v>ОАО "Курские электрические сети"</v>
      </c>
      <c r="M312" t="str">
        <f t="shared" si="130"/>
        <v>Неизвестно</v>
      </c>
      <c r="N312" t="str">
        <f t="shared" si="131"/>
        <v>Нет</v>
      </c>
      <c r="O312" t="str">
        <f>"[46/4361] М 4.2.11 - М 4.2.12, [46/3189] М 4.2.12 - ГОК4.2.11.1 Курск, Агрегатная 1-Я, 38 б п. 2, [46/3190] М 4.2.12 - ГОК4.2.10.1 Курск, Весенний 2-Й Проезд, 22  п. 1"</f>
        <v>[46/4361] М 4.2.11 - М 4.2.12, [46/3189] М 4.2.12 - ГОК4.2.11.1 Курск, Агрегатная 1-Я, 38 б п. 2, [46/3190] М 4.2.12 - ГОК4.2.10.1 Курск, Весенний 2-Й Проезд, 22  п. 1</v>
      </c>
      <c r="P312">
        <v>36.269572940000003</v>
      </c>
      <c r="Q312">
        <v>51.738879539999999</v>
      </c>
      <c r="R312" t="str">
        <f>""</f>
        <v/>
      </c>
    </row>
    <row r="313" spans="1:18" x14ac:dyDescent="0.25">
      <c r="A313">
        <v>907</v>
      </c>
      <c r="B313" t="str">
        <f t="shared" si="112"/>
        <v>Курск</v>
      </c>
      <c r="C313">
        <v>970736</v>
      </c>
      <c r="D313" t="str">
        <f t="shared" si="124"/>
        <v>Опора</v>
      </c>
      <c r="E313" t="str">
        <f>"КУМИ 58"</f>
        <v>КУМИ 58</v>
      </c>
      <c r="F313" t="str">
        <f t="shared" ref="F313:F322" si="133">"Актуализированно 25.05.22. Комиссия КУМИ."</f>
        <v>Актуализированно 25.05.22. Комиссия КУМИ.</v>
      </c>
      <c r="G313" t="str">
        <f t="shared" si="119"/>
        <v>_МС (CAB_MS)</v>
      </c>
      <c r="H313" t="str">
        <f t="shared" si="128"/>
        <v>МС 4.2</v>
      </c>
      <c r="I313" t="str">
        <f t="shared" si="126"/>
        <v>29.07.2022</v>
      </c>
      <c r="J313" t="str">
        <f>""</f>
        <v/>
      </c>
      <c r="K313" t="str">
        <f t="shared" si="125"/>
        <v>Отсутствует</v>
      </c>
      <c r="L313" t="str">
        <f t="shared" ref="L313:L325" si="134">"Комитет по управлению муниципальным имуществом города Курска"</f>
        <v>Комитет по управлению муниципальным имуществом города Курска</v>
      </c>
      <c r="M313" t="str">
        <f t="shared" si="130"/>
        <v>Неизвестно</v>
      </c>
      <c r="N313" t="str">
        <f t="shared" si="131"/>
        <v>Нет</v>
      </c>
      <c r="O313" t="str">
        <f t="shared" ref="O313:O322" si="135">"[46/3188] М 4.2.5 - М 4.2.10"</f>
        <v>[46/3188] М 4.2.5 - М 4.2.10</v>
      </c>
      <c r="P313">
        <v>36.263273769999998</v>
      </c>
      <c r="Q313">
        <v>51.740591109999997</v>
      </c>
      <c r="R313" t="str">
        <f>""</f>
        <v/>
      </c>
    </row>
    <row r="314" spans="1:18" x14ac:dyDescent="0.25">
      <c r="A314">
        <v>907</v>
      </c>
      <c r="B314" t="str">
        <f t="shared" si="112"/>
        <v>Курск</v>
      </c>
      <c r="C314">
        <v>970735</v>
      </c>
      <c r="D314" t="str">
        <f t="shared" si="124"/>
        <v>Опора</v>
      </c>
      <c r="E314" t="str">
        <f>"КУМИ 57"</f>
        <v>КУМИ 57</v>
      </c>
      <c r="F314" t="str">
        <f t="shared" si="133"/>
        <v>Актуализированно 25.05.22. Комиссия КУМИ.</v>
      </c>
      <c r="G314" t="str">
        <f t="shared" si="119"/>
        <v>_МС (CAB_MS)</v>
      </c>
      <c r="H314" t="str">
        <f t="shared" si="128"/>
        <v>МС 4.2</v>
      </c>
      <c r="I314" t="str">
        <f t="shared" si="126"/>
        <v>29.07.2022</v>
      </c>
      <c r="J314" t="str">
        <f>""</f>
        <v/>
      </c>
      <c r="K314" t="str">
        <f t="shared" si="125"/>
        <v>Отсутствует</v>
      </c>
      <c r="L314" t="str">
        <f t="shared" si="134"/>
        <v>Комитет по управлению муниципальным имуществом города Курска</v>
      </c>
      <c r="M314" t="str">
        <f t="shared" si="130"/>
        <v>Неизвестно</v>
      </c>
      <c r="N314" t="str">
        <f t="shared" si="131"/>
        <v>Нет</v>
      </c>
      <c r="O314" t="str">
        <f t="shared" si="135"/>
        <v>[46/3188] М 4.2.5 - М 4.2.10</v>
      </c>
      <c r="P314">
        <v>36.262780239999998</v>
      </c>
      <c r="Q314">
        <v>51.740654229999997</v>
      </c>
      <c r="R314" t="str">
        <f>""</f>
        <v/>
      </c>
    </row>
    <row r="315" spans="1:18" x14ac:dyDescent="0.25">
      <c r="A315">
        <v>907</v>
      </c>
      <c r="B315" t="str">
        <f t="shared" si="112"/>
        <v>Курск</v>
      </c>
      <c r="C315">
        <v>970734</v>
      </c>
      <c r="D315" t="str">
        <f t="shared" si="124"/>
        <v>Опора</v>
      </c>
      <c r="E315" t="str">
        <f>"КУМИ 56"</f>
        <v>КУМИ 56</v>
      </c>
      <c r="F315" t="str">
        <f t="shared" si="133"/>
        <v>Актуализированно 25.05.22. Комиссия КУМИ.</v>
      </c>
      <c r="G315" t="str">
        <f t="shared" si="119"/>
        <v>_МС (CAB_MS)</v>
      </c>
      <c r="H315" t="str">
        <f t="shared" si="128"/>
        <v>МС 4.2</v>
      </c>
      <c r="I315" t="str">
        <f t="shared" si="126"/>
        <v>29.07.2022</v>
      </c>
      <c r="J315" t="str">
        <f>""</f>
        <v/>
      </c>
      <c r="K315" t="str">
        <f t="shared" si="125"/>
        <v>Отсутствует</v>
      </c>
      <c r="L315" t="str">
        <f t="shared" si="134"/>
        <v>Комитет по управлению муниципальным имуществом города Курска</v>
      </c>
      <c r="M315" t="str">
        <f t="shared" si="130"/>
        <v>Неизвестно</v>
      </c>
      <c r="N315" t="str">
        <f t="shared" si="131"/>
        <v>Нет</v>
      </c>
      <c r="O315" t="str">
        <f t="shared" si="135"/>
        <v>[46/3188] М 4.2.5 - М 4.2.10</v>
      </c>
      <c r="P315">
        <v>36.262297439999998</v>
      </c>
      <c r="Q315">
        <v>51.740725640000001</v>
      </c>
      <c r="R315" t="str">
        <f>""</f>
        <v/>
      </c>
    </row>
    <row r="316" spans="1:18" x14ac:dyDescent="0.25">
      <c r="A316">
        <v>907</v>
      </c>
      <c r="B316" t="str">
        <f t="shared" si="112"/>
        <v>Курск</v>
      </c>
      <c r="C316">
        <v>970733</v>
      </c>
      <c r="D316" t="str">
        <f t="shared" si="124"/>
        <v>Опора</v>
      </c>
      <c r="E316" t="str">
        <f>"КУМИ 55"</f>
        <v>КУМИ 55</v>
      </c>
      <c r="F316" t="str">
        <f t="shared" si="133"/>
        <v>Актуализированно 25.05.22. Комиссия КУМИ.</v>
      </c>
      <c r="G316" t="str">
        <f t="shared" si="119"/>
        <v>_МС (CAB_MS)</v>
      </c>
      <c r="H316" t="str">
        <f t="shared" si="128"/>
        <v>МС 4.2</v>
      </c>
      <c r="I316" t="str">
        <f t="shared" si="126"/>
        <v>29.07.2022</v>
      </c>
      <c r="J316" t="str">
        <f>""</f>
        <v/>
      </c>
      <c r="K316" t="str">
        <f t="shared" si="125"/>
        <v>Отсутствует</v>
      </c>
      <c r="L316" t="str">
        <f t="shared" si="134"/>
        <v>Комитет по управлению муниципальным имуществом города Курска</v>
      </c>
      <c r="M316" t="str">
        <f t="shared" si="130"/>
        <v>Неизвестно</v>
      </c>
      <c r="N316" t="str">
        <f t="shared" si="131"/>
        <v>Нет</v>
      </c>
      <c r="O316" t="str">
        <f t="shared" si="135"/>
        <v>[46/3188] М 4.2.5 - М 4.2.10</v>
      </c>
      <c r="P316">
        <v>36.261793189999999</v>
      </c>
      <c r="Q316">
        <v>51.740798720000001</v>
      </c>
      <c r="R316" t="str">
        <f>""</f>
        <v/>
      </c>
    </row>
    <row r="317" spans="1:18" x14ac:dyDescent="0.25">
      <c r="A317">
        <v>907</v>
      </c>
      <c r="B317" t="str">
        <f t="shared" si="112"/>
        <v>Курск</v>
      </c>
      <c r="C317">
        <v>970732</v>
      </c>
      <c r="D317" t="str">
        <f t="shared" si="124"/>
        <v>Опора</v>
      </c>
      <c r="E317" t="str">
        <f>"КУМИ 54"</f>
        <v>КУМИ 54</v>
      </c>
      <c r="F317" t="str">
        <f t="shared" si="133"/>
        <v>Актуализированно 25.05.22. Комиссия КУМИ.</v>
      </c>
      <c r="G317" t="str">
        <f t="shared" si="119"/>
        <v>_МС (CAB_MS)</v>
      </c>
      <c r="H317" t="str">
        <f t="shared" si="128"/>
        <v>МС 4.2</v>
      </c>
      <c r="I317" t="str">
        <f t="shared" si="126"/>
        <v>29.07.2022</v>
      </c>
      <c r="J317" t="str">
        <f>""</f>
        <v/>
      </c>
      <c r="K317" t="str">
        <f t="shared" si="125"/>
        <v>Отсутствует</v>
      </c>
      <c r="L317" t="str">
        <f t="shared" si="134"/>
        <v>Комитет по управлению муниципальным имуществом города Курска</v>
      </c>
      <c r="M317" t="str">
        <f t="shared" si="130"/>
        <v>Неизвестно</v>
      </c>
      <c r="N317" t="str">
        <f t="shared" si="131"/>
        <v>Нет</v>
      </c>
      <c r="O317" t="str">
        <f t="shared" si="135"/>
        <v>[46/3188] М 4.2.5 - М 4.2.10</v>
      </c>
      <c r="P317">
        <v>36.261345259999999</v>
      </c>
      <c r="Q317">
        <v>51.740858510000002</v>
      </c>
      <c r="R317" t="str">
        <f>""</f>
        <v/>
      </c>
    </row>
    <row r="318" spans="1:18" x14ac:dyDescent="0.25">
      <c r="A318">
        <v>907</v>
      </c>
      <c r="B318" t="str">
        <f t="shared" si="112"/>
        <v>Курск</v>
      </c>
      <c r="C318">
        <v>970731</v>
      </c>
      <c r="D318" t="str">
        <f t="shared" si="124"/>
        <v>Опора</v>
      </c>
      <c r="E318" t="str">
        <f>"КУМИ 53"</f>
        <v>КУМИ 53</v>
      </c>
      <c r="F318" t="str">
        <f t="shared" si="133"/>
        <v>Актуализированно 25.05.22. Комиссия КУМИ.</v>
      </c>
      <c r="G318" t="str">
        <f t="shared" si="119"/>
        <v>_МС (CAB_MS)</v>
      </c>
      <c r="H318" t="str">
        <f t="shared" si="128"/>
        <v>МС 4.2</v>
      </c>
      <c r="I318" t="str">
        <f t="shared" si="126"/>
        <v>29.07.2022</v>
      </c>
      <c r="J318" t="str">
        <f>""</f>
        <v/>
      </c>
      <c r="K318" t="str">
        <f t="shared" si="125"/>
        <v>Отсутствует</v>
      </c>
      <c r="L318" t="str">
        <f t="shared" si="134"/>
        <v>Комитет по управлению муниципальным имуществом города Курска</v>
      </c>
      <c r="M318" t="str">
        <f t="shared" si="130"/>
        <v>Неизвестно</v>
      </c>
      <c r="N318" t="str">
        <f t="shared" si="131"/>
        <v>Нет</v>
      </c>
      <c r="O318" t="str">
        <f t="shared" si="135"/>
        <v>[46/3188] М 4.2.5 - М 4.2.10</v>
      </c>
      <c r="P318">
        <v>36.260849049999997</v>
      </c>
      <c r="Q318">
        <v>51.740923289999998</v>
      </c>
      <c r="R318" t="str">
        <f>""</f>
        <v/>
      </c>
    </row>
    <row r="319" spans="1:18" x14ac:dyDescent="0.25">
      <c r="A319">
        <v>907</v>
      </c>
      <c r="B319" t="str">
        <f t="shared" si="112"/>
        <v>Курск</v>
      </c>
      <c r="C319">
        <v>970730</v>
      </c>
      <c r="D319" t="str">
        <f t="shared" si="124"/>
        <v>Опора</v>
      </c>
      <c r="E319" t="str">
        <f>"КУМИ 52"</f>
        <v>КУМИ 52</v>
      </c>
      <c r="F319" t="str">
        <f t="shared" si="133"/>
        <v>Актуализированно 25.05.22. Комиссия КУМИ.</v>
      </c>
      <c r="G319" t="str">
        <f t="shared" si="119"/>
        <v>_МС (CAB_MS)</v>
      </c>
      <c r="H319" t="str">
        <f t="shared" si="128"/>
        <v>МС 4.2</v>
      </c>
      <c r="I319" t="str">
        <f t="shared" si="126"/>
        <v>29.07.2022</v>
      </c>
      <c r="J319" t="str">
        <f>""</f>
        <v/>
      </c>
      <c r="K319" t="str">
        <f t="shared" si="125"/>
        <v>Отсутствует</v>
      </c>
      <c r="L319" t="str">
        <f t="shared" si="134"/>
        <v>Комитет по управлению муниципальным имуществом города Курска</v>
      </c>
      <c r="M319" t="str">
        <f t="shared" si="130"/>
        <v>Неизвестно</v>
      </c>
      <c r="N319" t="str">
        <f t="shared" si="131"/>
        <v>Нет</v>
      </c>
      <c r="O319" t="str">
        <f t="shared" si="135"/>
        <v>[46/3188] М 4.2.5 - М 4.2.10</v>
      </c>
      <c r="P319">
        <v>36.260433310000003</v>
      </c>
      <c r="Q319">
        <v>51.740981419999997</v>
      </c>
      <c r="R319" t="str">
        <f>""</f>
        <v/>
      </c>
    </row>
    <row r="320" spans="1:18" x14ac:dyDescent="0.25">
      <c r="A320">
        <v>907</v>
      </c>
      <c r="B320" t="str">
        <f t="shared" si="112"/>
        <v>Курск</v>
      </c>
      <c r="C320">
        <v>970729</v>
      </c>
      <c r="D320" t="str">
        <f t="shared" si="124"/>
        <v>Опора</v>
      </c>
      <c r="E320" t="str">
        <f>"КУМИ 51"</f>
        <v>КУМИ 51</v>
      </c>
      <c r="F320" t="str">
        <f t="shared" si="133"/>
        <v>Актуализированно 25.05.22. Комиссия КУМИ.</v>
      </c>
      <c r="G320" t="str">
        <f t="shared" si="119"/>
        <v>_МС (CAB_MS)</v>
      </c>
      <c r="H320" t="str">
        <f t="shared" si="128"/>
        <v>МС 4.2</v>
      </c>
      <c r="I320" t="str">
        <f t="shared" si="126"/>
        <v>29.07.2022</v>
      </c>
      <c r="J320" t="str">
        <f>""</f>
        <v/>
      </c>
      <c r="K320" t="str">
        <f t="shared" si="125"/>
        <v>Отсутствует</v>
      </c>
      <c r="L320" t="str">
        <f t="shared" si="134"/>
        <v>Комитет по управлению муниципальным имуществом города Курска</v>
      </c>
      <c r="M320" t="str">
        <f t="shared" si="130"/>
        <v>Неизвестно</v>
      </c>
      <c r="N320" t="str">
        <f t="shared" si="131"/>
        <v>Нет</v>
      </c>
      <c r="O320" t="str">
        <f t="shared" si="135"/>
        <v>[46/3188] М 4.2.5 - М 4.2.10</v>
      </c>
      <c r="P320">
        <v>36.259851269999999</v>
      </c>
      <c r="Q320">
        <v>51.741056159999999</v>
      </c>
      <c r="R320" t="str">
        <f>""</f>
        <v/>
      </c>
    </row>
    <row r="321" spans="1:18" x14ac:dyDescent="0.25">
      <c r="A321">
        <v>907</v>
      </c>
      <c r="B321" t="str">
        <f t="shared" si="112"/>
        <v>Курск</v>
      </c>
      <c r="C321">
        <v>970728</v>
      </c>
      <c r="D321" t="str">
        <f t="shared" ref="D321:D351" si="136">"Опора"</f>
        <v>Опора</v>
      </c>
      <c r="E321" t="str">
        <f>"КУМИ 50"</f>
        <v>КУМИ 50</v>
      </c>
      <c r="F321" t="str">
        <f t="shared" si="133"/>
        <v>Актуализированно 25.05.22. Комиссия КУМИ.</v>
      </c>
      <c r="G321" t="str">
        <f t="shared" si="119"/>
        <v>_МС (CAB_MS)</v>
      </c>
      <c r="H321" t="str">
        <f t="shared" si="128"/>
        <v>МС 4.2</v>
      </c>
      <c r="I321" t="str">
        <f t="shared" si="126"/>
        <v>29.07.2022</v>
      </c>
      <c r="J321" t="str">
        <f>""</f>
        <v/>
      </c>
      <c r="K321" t="str">
        <f t="shared" si="125"/>
        <v>Отсутствует</v>
      </c>
      <c r="L321" t="str">
        <f t="shared" si="134"/>
        <v>Комитет по управлению муниципальным имуществом города Курска</v>
      </c>
      <c r="M321" t="str">
        <f t="shared" si="130"/>
        <v>Неизвестно</v>
      </c>
      <c r="N321" t="str">
        <f t="shared" si="131"/>
        <v>Нет</v>
      </c>
      <c r="O321" t="str">
        <f t="shared" si="135"/>
        <v>[46/3188] М 4.2.5 - М 4.2.10</v>
      </c>
      <c r="P321">
        <v>36.259269230000001</v>
      </c>
      <c r="Q321">
        <v>51.741124249999999</v>
      </c>
      <c r="R321" t="str">
        <f>""</f>
        <v/>
      </c>
    </row>
    <row r="322" spans="1:18" x14ac:dyDescent="0.25">
      <c r="A322">
        <v>907</v>
      </c>
      <c r="B322" t="str">
        <f t="shared" ref="B322:B385" si="137">"Курск"</f>
        <v>Курск</v>
      </c>
      <c r="C322">
        <v>970727</v>
      </c>
      <c r="D322" t="str">
        <f t="shared" si="136"/>
        <v>Опора</v>
      </c>
      <c r="E322" t="str">
        <f>"КУМИ 49"</f>
        <v>КУМИ 49</v>
      </c>
      <c r="F322" t="str">
        <f t="shared" si="133"/>
        <v>Актуализированно 25.05.22. Комиссия КУМИ.</v>
      </c>
      <c r="G322" t="str">
        <f t="shared" si="119"/>
        <v>_МС (CAB_MS)</v>
      </c>
      <c r="H322" t="str">
        <f t="shared" si="128"/>
        <v>МС 4.2</v>
      </c>
      <c r="I322" t="str">
        <f t="shared" si="126"/>
        <v>29.07.2022</v>
      </c>
      <c r="J322" t="str">
        <f>""</f>
        <v/>
      </c>
      <c r="K322" t="str">
        <f t="shared" si="125"/>
        <v>Отсутствует</v>
      </c>
      <c r="L322" t="str">
        <f t="shared" si="134"/>
        <v>Комитет по управлению муниципальным имуществом города Курска</v>
      </c>
      <c r="M322" t="str">
        <f t="shared" si="130"/>
        <v>Неизвестно</v>
      </c>
      <c r="N322" t="str">
        <f t="shared" si="131"/>
        <v>Нет</v>
      </c>
      <c r="O322" t="str">
        <f t="shared" si="135"/>
        <v>[46/3188] М 4.2.5 - М 4.2.10</v>
      </c>
      <c r="P322">
        <v>36.258775700000001</v>
      </c>
      <c r="Q322">
        <v>51.741177399999998</v>
      </c>
      <c r="R322" t="str">
        <f>""</f>
        <v/>
      </c>
    </row>
    <row r="323" spans="1:18" x14ac:dyDescent="0.25">
      <c r="A323">
        <v>907</v>
      </c>
      <c r="B323" t="str">
        <f t="shared" si="137"/>
        <v>Курск</v>
      </c>
      <c r="C323">
        <v>970802</v>
      </c>
      <c r="D323" t="str">
        <f t="shared" si="136"/>
        <v>Опора</v>
      </c>
      <c r="E323" t="str">
        <f>"КУМИ 11"</f>
        <v>КУМИ 11</v>
      </c>
      <c r="F323" t="str">
        <f>""</f>
        <v/>
      </c>
      <c r="G323" t="str">
        <f t="shared" si="119"/>
        <v>_МС (CAB_MS)</v>
      </c>
      <c r="H323" t="str">
        <f t="shared" si="128"/>
        <v>МС 4.2</v>
      </c>
      <c r="I323" t="str">
        <f t="shared" si="126"/>
        <v>29.07.2022</v>
      </c>
      <c r="J323" t="str">
        <f>""</f>
        <v/>
      </c>
      <c r="K323" t="str">
        <f t="shared" si="125"/>
        <v>Отсутствует</v>
      </c>
      <c r="L323" t="str">
        <f t="shared" si="134"/>
        <v>Комитет по управлению муниципальным имуществом города Курска</v>
      </c>
      <c r="M323" t="str">
        <f t="shared" si="130"/>
        <v>Неизвестно</v>
      </c>
      <c r="N323" t="str">
        <f>"Да"</f>
        <v>Да</v>
      </c>
      <c r="O323" t="str">
        <f>"[46/3188] М 4.2.5 - М 4.2.10, [46/2081] М 4.2.5 - М 4.2.6"</f>
        <v>[46/3188] М 4.2.5 - М 4.2.10, [46/2081] М 4.2.5 - М 4.2.6</v>
      </c>
      <c r="P323">
        <v>36.258530950000001</v>
      </c>
      <c r="Q323">
        <v>51.741910249999997</v>
      </c>
      <c r="R323" t="str">
        <f>""</f>
        <v/>
      </c>
    </row>
    <row r="324" spans="1:18" x14ac:dyDescent="0.25">
      <c r="A324">
        <v>907</v>
      </c>
      <c r="B324" t="str">
        <f t="shared" si="137"/>
        <v>Курск</v>
      </c>
      <c r="C324">
        <v>970786</v>
      </c>
      <c r="D324" t="str">
        <f t="shared" si="136"/>
        <v>Опора</v>
      </c>
      <c r="E324" t="str">
        <f>"КУМИ 11"</f>
        <v>КУМИ 11</v>
      </c>
      <c r="F324" t="str">
        <f>""</f>
        <v/>
      </c>
      <c r="G324" t="str">
        <f t="shared" si="119"/>
        <v>_МС (CAB_MS)</v>
      </c>
      <c r="H324" t="str">
        <f t="shared" si="128"/>
        <v>МС 4.2</v>
      </c>
      <c r="I324" t="str">
        <f t="shared" si="126"/>
        <v>29.07.2022</v>
      </c>
      <c r="J324" t="str">
        <f>""</f>
        <v/>
      </c>
      <c r="K324" t="str">
        <f t="shared" si="125"/>
        <v>Отсутствует</v>
      </c>
      <c r="L324" t="str">
        <f t="shared" si="134"/>
        <v>Комитет по управлению муниципальным имуществом города Курска</v>
      </c>
      <c r="M324" t="str">
        <f t="shared" si="130"/>
        <v>Неизвестно</v>
      </c>
      <c r="N324" t="str">
        <f>"Да"</f>
        <v>Да</v>
      </c>
      <c r="O324" t="str">
        <f>"[46/2088] М 4.2.4 - ГОК4.2.5.1 Курск, Союзная, 71  п. 1"</f>
        <v>[46/2088] М 4.2.4 - ГОК4.2.5.1 Курск, Союзная, 71  п. 1</v>
      </c>
      <c r="P324">
        <v>36.261952780000001</v>
      </c>
      <c r="Q324">
        <v>51.742843630000003</v>
      </c>
      <c r="R324" t="str">
        <f>""</f>
        <v/>
      </c>
    </row>
    <row r="325" spans="1:18" x14ac:dyDescent="0.25">
      <c r="A325">
        <v>907</v>
      </c>
      <c r="B325" t="str">
        <f t="shared" si="137"/>
        <v>Курск</v>
      </c>
      <c r="C325">
        <v>970785</v>
      </c>
      <c r="D325" t="str">
        <f t="shared" si="136"/>
        <v>Опора</v>
      </c>
      <c r="E325" t="str">
        <f>"КУМИ 10"</f>
        <v>КУМИ 10</v>
      </c>
      <c r="F325" t="str">
        <f>""</f>
        <v/>
      </c>
      <c r="G325" t="str">
        <f t="shared" si="119"/>
        <v>_МС (CAB_MS)</v>
      </c>
      <c r="H325" t="str">
        <f t="shared" si="128"/>
        <v>МС 4.2</v>
      </c>
      <c r="I325" t="str">
        <f t="shared" si="126"/>
        <v>29.07.2022</v>
      </c>
      <c r="J325" t="str">
        <f>""</f>
        <v/>
      </c>
      <c r="K325" t="str">
        <f t="shared" si="125"/>
        <v>Отсутствует</v>
      </c>
      <c r="L325" t="str">
        <f t="shared" si="134"/>
        <v>Комитет по управлению муниципальным имуществом города Курска</v>
      </c>
      <c r="M325" t="str">
        <f t="shared" si="130"/>
        <v>Неизвестно</v>
      </c>
      <c r="N325" t="str">
        <f>"Да"</f>
        <v>Да</v>
      </c>
      <c r="O325" t="str">
        <f>"[46/2088] М 4.2.4 - ГОК4.2.5.1 Курск, Союзная, 71  п. 1"</f>
        <v>[46/2088] М 4.2.4 - ГОК4.2.5.1 Курск, Союзная, 71  п. 1</v>
      </c>
      <c r="P325">
        <v>36.261958139999997</v>
      </c>
      <c r="Q325">
        <v>51.743044589999997</v>
      </c>
      <c r="R325" t="str">
        <f>""</f>
        <v/>
      </c>
    </row>
    <row r="326" spans="1:18" x14ac:dyDescent="0.25">
      <c r="A326">
        <v>907</v>
      </c>
      <c r="B326" t="str">
        <f t="shared" si="137"/>
        <v>Курск</v>
      </c>
      <c r="C326">
        <v>970680</v>
      </c>
      <c r="D326" t="str">
        <f t="shared" si="136"/>
        <v>Опора</v>
      </c>
      <c r="E326" t="str">
        <f>"КЭС"</f>
        <v>КЭС</v>
      </c>
      <c r="F326" t="str">
        <f>""</f>
        <v/>
      </c>
      <c r="G326" t="str">
        <f t="shared" si="119"/>
        <v>_МС (CAB_MS)</v>
      </c>
      <c r="H326" t="str">
        <f t="shared" si="128"/>
        <v>МС 4.2</v>
      </c>
      <c r="I326" t="str">
        <f t="shared" si="126"/>
        <v>29.07.2022</v>
      </c>
      <c r="J326" t="str">
        <f>""</f>
        <v/>
      </c>
      <c r="K326" t="str">
        <f t="shared" si="125"/>
        <v>Отсутствует</v>
      </c>
      <c r="L326" t="str">
        <f>"ОАО ""Курские электрические сети"""</f>
        <v>ОАО "Курские электрические сети"</v>
      </c>
      <c r="M326" t="str">
        <f t="shared" si="130"/>
        <v>Неизвестно</v>
      </c>
      <c r="N326" t="str">
        <f>"Нет"</f>
        <v>Нет</v>
      </c>
      <c r="O326" t="str">
        <f>"[46/2088] М 4.2.4 - ГОК4.2.5.1 Курск, Союзная, 71  п. 1"</f>
        <v>[46/2088] М 4.2.4 - ГОК4.2.5.1 Курск, Союзная, 71  п. 1</v>
      </c>
      <c r="P326">
        <v>36.259719840000002</v>
      </c>
      <c r="Q326">
        <v>51.74428477</v>
      </c>
      <c r="R326" t="str">
        <f>""</f>
        <v/>
      </c>
    </row>
    <row r="327" spans="1:18" x14ac:dyDescent="0.25">
      <c r="A327">
        <v>907</v>
      </c>
      <c r="B327" t="str">
        <f t="shared" si="137"/>
        <v>Курск</v>
      </c>
      <c r="C327">
        <v>970679</v>
      </c>
      <c r="D327" t="str">
        <f t="shared" si="136"/>
        <v>Опора</v>
      </c>
      <c r="E327" t="str">
        <f>"КЭС"</f>
        <v>КЭС</v>
      </c>
      <c r="F327" t="str">
        <f>""</f>
        <v/>
      </c>
      <c r="G327" t="str">
        <f t="shared" si="119"/>
        <v>_МС (CAB_MS)</v>
      </c>
      <c r="H327" t="str">
        <f t="shared" si="128"/>
        <v>МС 4.2</v>
      </c>
      <c r="I327" t="str">
        <f t="shared" si="126"/>
        <v>29.07.2022</v>
      </c>
      <c r="J327" t="str">
        <f>""</f>
        <v/>
      </c>
      <c r="K327" t="str">
        <f t="shared" si="125"/>
        <v>Отсутствует</v>
      </c>
      <c r="L327" t="str">
        <f>"ОАО ""Курские электрические сети"""</f>
        <v>ОАО "Курские электрические сети"</v>
      </c>
      <c r="M327" t="str">
        <f t="shared" si="130"/>
        <v>Неизвестно</v>
      </c>
      <c r="N327" t="str">
        <f>"Нет"</f>
        <v>Нет</v>
      </c>
      <c r="O327" t="str">
        <f>"[46/2089] М 4.2.4 - ГОК4.2.6.1 Курск, Республиканская, 52 в п. 1, [46/2079] М 4.2.3 - М 4.2.4, [46/2080] М 4.2.4 - М 4.2.5, [46/2087] М 4.2.4 - ГОК4.2.4.1 Курск, Союзная, 71 а п. 1, [46/2088] М 4.2.4 - ГОК4.2.5.1 Курск, Союзная, 71  п. 1"</f>
        <v>[46/2089] М 4.2.4 - ГОК4.2.6.1 Курск, Республиканская, 52 в п. 1, [46/2079] М 4.2.3 - М 4.2.4, [46/2080] М 4.2.4 - М 4.2.5, [46/2087] М 4.2.4 - ГОК4.2.4.1 Курск, Союзная, 71 а п. 1, [46/2088] М 4.2.4 - ГОК4.2.5.1 Курск, Союзная, 71  п. 1</v>
      </c>
      <c r="P327">
        <v>36.25960182</v>
      </c>
      <c r="Q327">
        <v>51.743847160000001</v>
      </c>
      <c r="R327" t="str">
        <f>""</f>
        <v/>
      </c>
    </row>
    <row r="328" spans="1:18" x14ac:dyDescent="0.25">
      <c r="A328">
        <v>907</v>
      </c>
      <c r="B328" t="str">
        <f t="shared" si="137"/>
        <v>Курск</v>
      </c>
      <c r="C328">
        <v>996938</v>
      </c>
      <c r="D328" t="str">
        <f t="shared" si="136"/>
        <v>Опора</v>
      </c>
      <c r="E328" t="str">
        <f>"5"</f>
        <v>5</v>
      </c>
      <c r="F328" t="str">
        <f>""</f>
        <v/>
      </c>
      <c r="G328" t="str">
        <f t="shared" si="119"/>
        <v>_МС (CAB_MS)</v>
      </c>
      <c r="H328" t="str">
        <f>"МС 5.1"</f>
        <v>МС 5.1</v>
      </c>
      <c r="I328" t="str">
        <f>"10.07.2023"</f>
        <v>10.07.2023</v>
      </c>
      <c r="J328" t="str">
        <f>""</f>
        <v/>
      </c>
      <c r="K328" t="str">
        <f t="shared" si="125"/>
        <v>Отсутствует</v>
      </c>
      <c r="L328" t="str">
        <f>"Не указан"</f>
        <v>Не указан</v>
      </c>
      <c r="M328" t="str">
        <f t="shared" si="130"/>
        <v>Неизвестно</v>
      </c>
      <c r="N328" t="str">
        <f>"Неизвестно"</f>
        <v>Неизвестно</v>
      </c>
      <c r="O328" t="str">
        <f>"[46/2676] Т 4.8 - ОК 5.1.1-10.2 ППК 5.1.1  Курск, Энгельса, 154  п. 1"</f>
        <v>[46/2676] Т 4.8 - ОК 5.1.1-10.2 ППК 5.1.1  Курск, Энгельса, 154  п. 1</v>
      </c>
      <c r="P328">
        <v>36.15490947</v>
      </c>
      <c r="Q328">
        <v>51.689773549999998</v>
      </c>
      <c r="R328" t="str">
        <f>""</f>
        <v/>
      </c>
    </row>
    <row r="329" spans="1:18" x14ac:dyDescent="0.25">
      <c r="A329">
        <v>907</v>
      </c>
      <c r="B329" t="str">
        <f t="shared" si="137"/>
        <v>Курск</v>
      </c>
      <c r="C329">
        <v>996936</v>
      </c>
      <c r="D329" t="str">
        <f t="shared" si="136"/>
        <v>Опора</v>
      </c>
      <c r="E329" t="str">
        <f>"7"</f>
        <v>7</v>
      </c>
      <c r="F329" t="str">
        <f>""</f>
        <v/>
      </c>
      <c r="G329" t="str">
        <f t="shared" si="119"/>
        <v>_МС (CAB_MS)</v>
      </c>
      <c r="H329" t="str">
        <f>"МС 5.1"</f>
        <v>МС 5.1</v>
      </c>
      <c r="I329" t="str">
        <f>"10.07.2023"</f>
        <v>10.07.2023</v>
      </c>
      <c r="J329" t="str">
        <f>""</f>
        <v/>
      </c>
      <c r="K329" t="str">
        <f t="shared" ref="K329:K338" si="138">"Отсутствует"</f>
        <v>Отсутствует</v>
      </c>
      <c r="L329" t="str">
        <f>"Не указан"</f>
        <v>Не указан</v>
      </c>
      <c r="M329" t="str">
        <f t="shared" si="130"/>
        <v>Неизвестно</v>
      </c>
      <c r="N329" t="str">
        <f>"Неизвестно"</f>
        <v>Неизвестно</v>
      </c>
      <c r="O329" t="str">
        <f>"[46/2676] Т 4.8 - ОК 5.1.1-10.2 ППК 5.1.1  Курск, Энгельса, 154  п. 1"</f>
        <v>[46/2676] Т 4.8 - ОК 5.1.1-10.2 ППК 5.1.1  Курск, Энгельса, 154  п. 1</v>
      </c>
      <c r="P329">
        <v>36.15515087</v>
      </c>
      <c r="Q329">
        <v>51.690132470000002</v>
      </c>
      <c r="R329" t="str">
        <f>""</f>
        <v/>
      </c>
    </row>
    <row r="330" spans="1:18" x14ac:dyDescent="0.25">
      <c r="A330">
        <v>907</v>
      </c>
      <c r="B330" t="str">
        <f t="shared" si="137"/>
        <v>Курск</v>
      </c>
      <c r="C330">
        <v>919880</v>
      </c>
      <c r="D330" t="str">
        <f t="shared" si="136"/>
        <v>Опора</v>
      </c>
      <c r="E330" t="str">
        <f>"КИ 111 (06)"</f>
        <v>КИ 111 (06)</v>
      </c>
      <c r="F330" t="str">
        <f>""</f>
        <v/>
      </c>
      <c r="G330" t="str">
        <f t="shared" si="119"/>
        <v>_МС (CAB_MS)</v>
      </c>
      <c r="H330" t="str">
        <f t="shared" ref="H330:H350" si="139">"МС 5.2"</f>
        <v>МС 5.2</v>
      </c>
      <c r="I330" t="str">
        <f t="shared" ref="I330:I338" si="140">"17.12.2020"</f>
        <v>17.12.2020</v>
      </c>
      <c r="J330" t="str">
        <f>""</f>
        <v/>
      </c>
      <c r="K330" t="str">
        <f t="shared" si="138"/>
        <v>Отсутствует</v>
      </c>
      <c r="L330" t="str">
        <f t="shared" ref="L330:L351" si="141">"Комитет по управлению муниципальным имуществом города Курска"</f>
        <v>Комитет по управлению муниципальным имуществом города Курска</v>
      </c>
      <c r="M330" t="str">
        <f t="shared" si="130"/>
        <v>Неизвестно</v>
      </c>
      <c r="N330" t="str">
        <f t="shared" ref="N330:N393" si="142">"Да"</f>
        <v>Да</v>
      </c>
      <c r="O330" t="str">
        <f t="shared" ref="O330:O338" si="143">"[46/2938] М 5.2.4 - ОК4а ППК 5.2.1 Курск, Обоянская, 14 а п. 1"</f>
        <v>[46/2938] М 5.2.4 - ОК4а ППК 5.2.1 Курск, Обоянская, 14 а п. 1</v>
      </c>
      <c r="P330">
        <v>36.151353749999998</v>
      </c>
      <c r="Q330">
        <v>51.671579360000003</v>
      </c>
      <c r="R330" t="str">
        <f>"20000004579751"</f>
        <v>20000004579751</v>
      </c>
    </row>
    <row r="331" spans="1:18" x14ac:dyDescent="0.25">
      <c r="A331">
        <v>907</v>
      </c>
      <c r="B331" t="str">
        <f t="shared" si="137"/>
        <v>Курск</v>
      </c>
      <c r="C331">
        <v>919879</v>
      </c>
      <c r="D331" t="str">
        <f t="shared" si="136"/>
        <v>Опора</v>
      </c>
      <c r="E331" t="str">
        <f>"КИ 111 (05)"</f>
        <v>КИ 111 (05)</v>
      </c>
      <c r="F331" t="str">
        <f>""</f>
        <v/>
      </c>
      <c r="G331" t="str">
        <f t="shared" si="119"/>
        <v>_МС (CAB_MS)</v>
      </c>
      <c r="H331" t="str">
        <f t="shared" si="139"/>
        <v>МС 5.2</v>
      </c>
      <c r="I331" t="str">
        <f t="shared" si="140"/>
        <v>17.12.2020</v>
      </c>
      <c r="J331" t="str">
        <f>""</f>
        <v/>
      </c>
      <c r="K331" t="str">
        <f t="shared" si="138"/>
        <v>Отсутствует</v>
      </c>
      <c r="L331" t="str">
        <f t="shared" si="141"/>
        <v>Комитет по управлению муниципальным имуществом города Курска</v>
      </c>
      <c r="M331" t="str">
        <f t="shared" ref="M331:M351" si="144">"Неизвестно"</f>
        <v>Неизвестно</v>
      </c>
      <c r="N331" t="str">
        <f t="shared" si="142"/>
        <v>Да</v>
      </c>
      <c r="O331" t="str">
        <f t="shared" si="143"/>
        <v>[46/2938] М 5.2.4 - ОК4а ППК 5.2.1 Курск, Обоянская, 14 а п. 1</v>
      </c>
      <c r="P331">
        <v>36.151522730000003</v>
      </c>
      <c r="Q331">
        <v>51.67182554</v>
      </c>
      <c r="R331" t="str">
        <f>"20000004579750"</f>
        <v>20000004579750</v>
      </c>
    </row>
    <row r="332" spans="1:18" x14ac:dyDescent="0.25">
      <c r="A332">
        <v>907</v>
      </c>
      <c r="B332" t="str">
        <f t="shared" si="137"/>
        <v>Курск</v>
      </c>
      <c r="C332">
        <v>919878</v>
      </c>
      <c r="D332" t="str">
        <f t="shared" si="136"/>
        <v>Опора</v>
      </c>
      <c r="E332" t="str">
        <f>"КИ 111 (07)"</f>
        <v>КИ 111 (07)</v>
      </c>
      <c r="F332" t="str">
        <f>""</f>
        <v/>
      </c>
      <c r="G332" t="str">
        <f t="shared" si="119"/>
        <v>_МС (CAB_MS)</v>
      </c>
      <c r="H332" t="str">
        <f t="shared" si="139"/>
        <v>МС 5.2</v>
      </c>
      <c r="I332" t="str">
        <f t="shared" si="140"/>
        <v>17.12.2020</v>
      </c>
      <c r="J332" t="str">
        <f>""</f>
        <v/>
      </c>
      <c r="K332" t="str">
        <f t="shared" si="138"/>
        <v>Отсутствует</v>
      </c>
      <c r="L332" t="str">
        <f t="shared" si="141"/>
        <v>Комитет по управлению муниципальным имуществом города Курска</v>
      </c>
      <c r="M332" t="str">
        <f t="shared" si="144"/>
        <v>Неизвестно</v>
      </c>
      <c r="N332" t="str">
        <f t="shared" si="142"/>
        <v>Да</v>
      </c>
      <c r="O332" t="str">
        <f t="shared" si="143"/>
        <v>[46/2938] М 5.2.4 - ОК4а ППК 5.2.1 Курск, Обоянская, 14 а п. 1</v>
      </c>
      <c r="P332">
        <v>36.151187460000003</v>
      </c>
      <c r="Q332">
        <v>51.671346479999997</v>
      </c>
      <c r="R332" t="str">
        <f>"20000004579749"</f>
        <v>20000004579749</v>
      </c>
    </row>
    <row r="333" spans="1:18" x14ac:dyDescent="0.25">
      <c r="A333">
        <v>907</v>
      </c>
      <c r="B333" t="str">
        <f t="shared" si="137"/>
        <v>Курск</v>
      </c>
      <c r="C333">
        <v>919877</v>
      </c>
      <c r="D333" t="str">
        <f t="shared" si="136"/>
        <v>Опора</v>
      </c>
      <c r="E333" t="str">
        <f>"КИ 111 (08)"</f>
        <v>КИ 111 (08)</v>
      </c>
      <c r="F333" t="str">
        <f>""</f>
        <v/>
      </c>
      <c r="G333" t="str">
        <f t="shared" si="119"/>
        <v>_МС (CAB_MS)</v>
      </c>
      <c r="H333" t="str">
        <f t="shared" si="139"/>
        <v>МС 5.2</v>
      </c>
      <c r="I333" t="str">
        <f t="shared" si="140"/>
        <v>17.12.2020</v>
      </c>
      <c r="J333" t="str">
        <f>""</f>
        <v/>
      </c>
      <c r="K333" t="str">
        <f t="shared" si="138"/>
        <v>Отсутствует</v>
      </c>
      <c r="L333" t="str">
        <f t="shared" si="141"/>
        <v>Комитет по управлению муниципальным имуществом города Курска</v>
      </c>
      <c r="M333" t="str">
        <f t="shared" si="144"/>
        <v>Неизвестно</v>
      </c>
      <c r="N333" t="str">
        <f t="shared" si="142"/>
        <v>Да</v>
      </c>
      <c r="O333" t="str">
        <f t="shared" si="143"/>
        <v>[46/2938] М 5.2.4 - ОК4а ППК 5.2.1 Курск, Обоянская, 14 а п. 1</v>
      </c>
      <c r="P333">
        <v>36.151039930000003</v>
      </c>
      <c r="Q333">
        <v>51.671116920000003</v>
      </c>
      <c r="R333" t="str">
        <f>"20000004579748"</f>
        <v>20000004579748</v>
      </c>
    </row>
    <row r="334" spans="1:18" x14ac:dyDescent="0.25">
      <c r="A334">
        <v>907</v>
      </c>
      <c r="B334" t="str">
        <f t="shared" si="137"/>
        <v>Курск</v>
      </c>
      <c r="C334">
        <v>919876</v>
      </c>
      <c r="D334" t="str">
        <f t="shared" si="136"/>
        <v>Опора</v>
      </c>
      <c r="E334" t="str">
        <f>"КИ 111 (09)"</f>
        <v>КИ 111 (09)</v>
      </c>
      <c r="F334" t="str">
        <f>""</f>
        <v/>
      </c>
      <c r="G334" t="str">
        <f t="shared" si="119"/>
        <v>_МС (CAB_MS)</v>
      </c>
      <c r="H334" t="str">
        <f t="shared" si="139"/>
        <v>МС 5.2</v>
      </c>
      <c r="I334" t="str">
        <f t="shared" si="140"/>
        <v>17.12.2020</v>
      </c>
      <c r="J334" t="str">
        <f>""</f>
        <v/>
      </c>
      <c r="K334" t="str">
        <f t="shared" si="138"/>
        <v>Отсутствует</v>
      </c>
      <c r="L334" t="str">
        <f t="shared" si="141"/>
        <v>Комитет по управлению муниципальным имуществом города Курска</v>
      </c>
      <c r="M334" t="str">
        <f t="shared" si="144"/>
        <v>Неизвестно</v>
      </c>
      <c r="N334" t="str">
        <f t="shared" si="142"/>
        <v>Да</v>
      </c>
      <c r="O334" t="str">
        <f t="shared" si="143"/>
        <v>[46/2938] М 5.2.4 - ОК4а ППК 5.2.1 Курск, Обоянская, 14 а п. 1</v>
      </c>
      <c r="P334">
        <v>36.15088437</v>
      </c>
      <c r="Q334">
        <v>51.670855760000002</v>
      </c>
      <c r="R334" t="str">
        <f>"20000004579747"</f>
        <v>20000004579747</v>
      </c>
    </row>
    <row r="335" spans="1:18" x14ac:dyDescent="0.25">
      <c r="A335">
        <v>907</v>
      </c>
      <c r="B335" t="str">
        <f t="shared" si="137"/>
        <v>Курск</v>
      </c>
      <c r="C335">
        <v>919875</v>
      </c>
      <c r="D335" t="str">
        <f t="shared" si="136"/>
        <v>Опора</v>
      </c>
      <c r="E335" t="str">
        <f>"КИ 111 (010)"</f>
        <v>КИ 111 (010)</v>
      </c>
      <c r="F335" t="str">
        <f>""</f>
        <v/>
      </c>
      <c r="G335" t="str">
        <f t="shared" si="119"/>
        <v>_МС (CAB_MS)</v>
      </c>
      <c r="H335" t="str">
        <f t="shared" si="139"/>
        <v>МС 5.2</v>
      </c>
      <c r="I335" t="str">
        <f t="shared" si="140"/>
        <v>17.12.2020</v>
      </c>
      <c r="J335" t="str">
        <f>""</f>
        <v/>
      </c>
      <c r="K335" t="str">
        <f t="shared" si="138"/>
        <v>Отсутствует</v>
      </c>
      <c r="L335" t="str">
        <f t="shared" si="141"/>
        <v>Комитет по управлению муниципальным имуществом города Курска</v>
      </c>
      <c r="M335" t="str">
        <f t="shared" si="144"/>
        <v>Неизвестно</v>
      </c>
      <c r="N335" t="str">
        <f t="shared" si="142"/>
        <v>Да</v>
      </c>
      <c r="O335" t="str">
        <f t="shared" si="143"/>
        <v>[46/2938] М 5.2.4 - ОК4а ППК 5.2.1 Курск, Обоянская, 14 а п. 1</v>
      </c>
      <c r="P335">
        <v>36.150720749999998</v>
      </c>
      <c r="Q335">
        <v>51.670596260000003</v>
      </c>
      <c r="R335" t="str">
        <f>"20000004579746"</f>
        <v>20000004579746</v>
      </c>
    </row>
    <row r="336" spans="1:18" x14ac:dyDescent="0.25">
      <c r="A336">
        <v>907</v>
      </c>
      <c r="B336" t="str">
        <f t="shared" si="137"/>
        <v>Курск</v>
      </c>
      <c r="C336">
        <v>919874</v>
      </c>
      <c r="D336" t="str">
        <f t="shared" si="136"/>
        <v>Опора</v>
      </c>
      <c r="E336" t="str">
        <f>"КИ 111 (011)"</f>
        <v>КИ 111 (011)</v>
      </c>
      <c r="F336" t="str">
        <f>""</f>
        <v/>
      </c>
      <c r="G336" t="str">
        <f t="shared" ref="G336:G399" si="145">"_МС (CAB_MS)"</f>
        <v>_МС (CAB_MS)</v>
      </c>
      <c r="H336" t="str">
        <f t="shared" si="139"/>
        <v>МС 5.2</v>
      </c>
      <c r="I336" t="str">
        <f t="shared" si="140"/>
        <v>17.12.2020</v>
      </c>
      <c r="J336" t="str">
        <f>""</f>
        <v/>
      </c>
      <c r="K336" t="str">
        <f t="shared" si="138"/>
        <v>Отсутствует</v>
      </c>
      <c r="L336" t="str">
        <f t="shared" si="141"/>
        <v>Комитет по управлению муниципальным имуществом города Курска</v>
      </c>
      <c r="M336" t="str">
        <f t="shared" si="144"/>
        <v>Неизвестно</v>
      </c>
      <c r="N336" t="str">
        <f t="shared" si="142"/>
        <v>Да</v>
      </c>
      <c r="O336" t="str">
        <f t="shared" si="143"/>
        <v>[46/2938] М 5.2.4 - ОК4а ППК 5.2.1 Курск, Обоянская, 14 а п. 1</v>
      </c>
      <c r="P336">
        <v>36.15058664</v>
      </c>
      <c r="Q336">
        <v>51.67036504</v>
      </c>
      <c r="R336" t="str">
        <f>"20000004579745"</f>
        <v>20000004579745</v>
      </c>
    </row>
    <row r="337" spans="1:18" x14ac:dyDescent="0.25">
      <c r="A337">
        <v>907</v>
      </c>
      <c r="B337" t="str">
        <f t="shared" si="137"/>
        <v>Курск</v>
      </c>
      <c r="C337">
        <v>919873</v>
      </c>
      <c r="D337" t="str">
        <f t="shared" si="136"/>
        <v>Опора</v>
      </c>
      <c r="E337" t="str">
        <f>"КИ 111 (012)"</f>
        <v>КИ 111 (012)</v>
      </c>
      <c r="F337" t="str">
        <f>""</f>
        <v/>
      </c>
      <c r="G337" t="str">
        <f t="shared" si="145"/>
        <v>_МС (CAB_MS)</v>
      </c>
      <c r="H337" t="str">
        <f t="shared" si="139"/>
        <v>МС 5.2</v>
      </c>
      <c r="I337" t="str">
        <f t="shared" si="140"/>
        <v>17.12.2020</v>
      </c>
      <c r="J337" t="str">
        <f>""</f>
        <v/>
      </c>
      <c r="K337" t="str">
        <f t="shared" si="138"/>
        <v>Отсутствует</v>
      </c>
      <c r="L337" t="str">
        <f t="shared" si="141"/>
        <v>Комитет по управлению муниципальным имуществом города Курска</v>
      </c>
      <c r="M337" t="str">
        <f t="shared" si="144"/>
        <v>Неизвестно</v>
      </c>
      <c r="N337" t="str">
        <f t="shared" si="142"/>
        <v>Да</v>
      </c>
      <c r="O337" t="str">
        <f t="shared" si="143"/>
        <v>[46/2938] М 5.2.4 - ОК4а ППК 5.2.1 Курск, Обоянская, 14 а п. 1</v>
      </c>
      <c r="P337">
        <v>36.15044717</v>
      </c>
      <c r="Q337">
        <v>51.670127170000001</v>
      </c>
      <c r="R337" t="str">
        <f>"20000004579744"</f>
        <v>20000004579744</v>
      </c>
    </row>
    <row r="338" spans="1:18" x14ac:dyDescent="0.25">
      <c r="A338">
        <v>907</v>
      </c>
      <c r="B338" t="str">
        <f t="shared" si="137"/>
        <v>Курск</v>
      </c>
      <c r="C338">
        <v>919872</v>
      </c>
      <c r="D338" t="str">
        <f t="shared" si="136"/>
        <v>Опора</v>
      </c>
      <c r="E338" t="str">
        <f>"КИ 111 (013)"</f>
        <v>КИ 111 (013)</v>
      </c>
      <c r="F338" t="str">
        <f>""</f>
        <v/>
      </c>
      <c r="G338" t="str">
        <f t="shared" si="145"/>
        <v>_МС (CAB_MS)</v>
      </c>
      <c r="H338" t="str">
        <f t="shared" si="139"/>
        <v>МС 5.2</v>
      </c>
      <c r="I338" t="str">
        <f t="shared" si="140"/>
        <v>17.12.2020</v>
      </c>
      <c r="J338" t="str">
        <f>""</f>
        <v/>
      </c>
      <c r="K338" t="str">
        <f t="shared" si="138"/>
        <v>Отсутствует</v>
      </c>
      <c r="L338" t="str">
        <f t="shared" si="141"/>
        <v>Комитет по управлению муниципальным имуществом города Курска</v>
      </c>
      <c r="M338" t="str">
        <f t="shared" si="144"/>
        <v>Неизвестно</v>
      </c>
      <c r="N338" t="str">
        <f t="shared" si="142"/>
        <v>Да</v>
      </c>
      <c r="O338" t="str">
        <f t="shared" si="143"/>
        <v>[46/2938] М 5.2.4 - ОК4а ППК 5.2.1 Курск, Обоянская, 14 а п. 1</v>
      </c>
      <c r="P338">
        <v>36.150302330000002</v>
      </c>
      <c r="Q338">
        <v>51.669900929999997</v>
      </c>
      <c r="R338" t="str">
        <f>"20000004579743"</f>
        <v>20000004579743</v>
      </c>
    </row>
    <row r="339" spans="1:18" x14ac:dyDescent="0.25">
      <c r="A339">
        <v>907</v>
      </c>
      <c r="B339" t="str">
        <f t="shared" si="137"/>
        <v>Курск</v>
      </c>
      <c r="C339">
        <v>920343</v>
      </c>
      <c r="D339" t="str">
        <f t="shared" si="136"/>
        <v>Опора</v>
      </c>
      <c r="E339" t="str">
        <f>"КИ 111 (0148)"</f>
        <v>КИ 111 (0148)</v>
      </c>
      <c r="F339" t="str">
        <f>""</f>
        <v/>
      </c>
      <c r="G339" t="str">
        <f t="shared" si="145"/>
        <v>_МС (CAB_MS)</v>
      </c>
      <c r="H339" t="str">
        <f t="shared" si="139"/>
        <v>МС 5.2</v>
      </c>
      <c r="I339" t="str">
        <f t="shared" ref="I339:I350" si="146">"22.12.2020"</f>
        <v>22.12.2020</v>
      </c>
      <c r="J339" t="str">
        <f>""</f>
        <v/>
      </c>
      <c r="K339" t="str">
        <f t="shared" ref="K339:K350" si="147">"АКТ №4654"</f>
        <v>АКТ №4654</v>
      </c>
      <c r="L339" t="str">
        <f t="shared" si="141"/>
        <v>Комитет по управлению муниципальным имуществом города Курска</v>
      </c>
      <c r="M339" t="str">
        <f t="shared" si="144"/>
        <v>Неизвестно</v>
      </c>
      <c r="N339" t="str">
        <f t="shared" si="142"/>
        <v>Да</v>
      </c>
      <c r="O339" t="str">
        <f t="shared" ref="O339:O350" si="148">"[46/1504] МОК5.2.1 Курск, Гагарина, 26 а п. 1 - М 5.2.1"</f>
        <v>[46/1504] МОК5.2.1 Курск, Гагарина, 26 а п. 1 - М 5.2.1</v>
      </c>
      <c r="P339">
        <v>36.139786059999999</v>
      </c>
      <c r="Q339">
        <v>51.667785559999999</v>
      </c>
      <c r="R339" t="str">
        <f>"20000006263060"</f>
        <v>20000006263060</v>
      </c>
    </row>
    <row r="340" spans="1:18" x14ac:dyDescent="0.25">
      <c r="A340">
        <v>907</v>
      </c>
      <c r="B340" t="str">
        <f t="shared" si="137"/>
        <v>Курск</v>
      </c>
      <c r="C340">
        <v>920342</v>
      </c>
      <c r="D340" t="str">
        <f t="shared" si="136"/>
        <v>Опора</v>
      </c>
      <c r="E340" t="str">
        <f>"КИ 111 (0147)"</f>
        <v>КИ 111 (0147)</v>
      </c>
      <c r="F340" t="str">
        <f>""</f>
        <v/>
      </c>
      <c r="G340" t="str">
        <f t="shared" si="145"/>
        <v>_МС (CAB_MS)</v>
      </c>
      <c r="H340" t="str">
        <f t="shared" si="139"/>
        <v>МС 5.2</v>
      </c>
      <c r="I340" t="str">
        <f t="shared" si="146"/>
        <v>22.12.2020</v>
      </c>
      <c r="J340" t="str">
        <f>""</f>
        <v/>
      </c>
      <c r="K340" t="str">
        <f t="shared" si="147"/>
        <v>АКТ №4654</v>
      </c>
      <c r="L340" t="str">
        <f t="shared" si="141"/>
        <v>Комитет по управлению муниципальным имуществом города Курска</v>
      </c>
      <c r="M340" t="str">
        <f t="shared" si="144"/>
        <v>Неизвестно</v>
      </c>
      <c r="N340" t="str">
        <f t="shared" si="142"/>
        <v>Да</v>
      </c>
      <c r="O340" t="str">
        <f t="shared" si="148"/>
        <v>[46/1504] МОК5.2.1 Курск, Гагарина, 26 а п. 1 - М 5.2.1</v>
      </c>
      <c r="P340">
        <v>36.139048449999997</v>
      </c>
      <c r="Q340">
        <v>51.667965219999999</v>
      </c>
      <c r="R340" t="str">
        <f>"20000006263059"</f>
        <v>20000006263059</v>
      </c>
    </row>
    <row r="341" spans="1:18" x14ac:dyDescent="0.25">
      <c r="A341">
        <v>907</v>
      </c>
      <c r="B341" t="str">
        <f t="shared" si="137"/>
        <v>Курск</v>
      </c>
      <c r="C341">
        <v>920341</v>
      </c>
      <c r="D341" t="str">
        <f t="shared" si="136"/>
        <v>Опора</v>
      </c>
      <c r="E341" t="str">
        <f>"КИ 111 (0146)"</f>
        <v>КИ 111 (0146)</v>
      </c>
      <c r="F341" t="str">
        <f>""</f>
        <v/>
      </c>
      <c r="G341" t="str">
        <f t="shared" si="145"/>
        <v>_МС (CAB_MS)</v>
      </c>
      <c r="H341" t="str">
        <f t="shared" si="139"/>
        <v>МС 5.2</v>
      </c>
      <c r="I341" t="str">
        <f t="shared" si="146"/>
        <v>22.12.2020</v>
      </c>
      <c r="J341" t="str">
        <f>""</f>
        <v/>
      </c>
      <c r="K341" t="str">
        <f t="shared" si="147"/>
        <v>АКТ №4654</v>
      </c>
      <c r="L341" t="str">
        <f t="shared" si="141"/>
        <v>Комитет по управлению муниципальным имуществом города Курска</v>
      </c>
      <c r="M341" t="str">
        <f t="shared" si="144"/>
        <v>Неизвестно</v>
      </c>
      <c r="N341" t="str">
        <f t="shared" si="142"/>
        <v>Да</v>
      </c>
      <c r="O341" t="str">
        <f t="shared" si="148"/>
        <v>[46/1504] МОК5.2.1 Курск, Гагарина, 26 а п. 1 - М 5.2.1</v>
      </c>
      <c r="P341">
        <v>36.138544189999998</v>
      </c>
      <c r="Q341">
        <v>51.667802190000003</v>
      </c>
      <c r="R341" t="str">
        <f>"20000006263058"</f>
        <v>20000006263058</v>
      </c>
    </row>
    <row r="342" spans="1:18" x14ac:dyDescent="0.25">
      <c r="A342">
        <v>907</v>
      </c>
      <c r="B342" t="str">
        <f t="shared" si="137"/>
        <v>Курск</v>
      </c>
      <c r="C342">
        <v>920340</v>
      </c>
      <c r="D342" t="str">
        <f t="shared" si="136"/>
        <v>Опора</v>
      </c>
      <c r="E342" t="str">
        <f>"КИ 111 (0145)"</f>
        <v>КИ 111 (0145)</v>
      </c>
      <c r="F342" t="str">
        <f>""</f>
        <v/>
      </c>
      <c r="G342" t="str">
        <f t="shared" si="145"/>
        <v>_МС (CAB_MS)</v>
      </c>
      <c r="H342" t="str">
        <f t="shared" si="139"/>
        <v>МС 5.2</v>
      </c>
      <c r="I342" t="str">
        <f t="shared" si="146"/>
        <v>22.12.2020</v>
      </c>
      <c r="J342" t="str">
        <f>""</f>
        <v/>
      </c>
      <c r="K342" t="str">
        <f t="shared" si="147"/>
        <v>АКТ №4654</v>
      </c>
      <c r="L342" t="str">
        <f t="shared" si="141"/>
        <v>Комитет по управлению муниципальным имуществом города Курска</v>
      </c>
      <c r="M342" t="str">
        <f t="shared" si="144"/>
        <v>Неизвестно</v>
      </c>
      <c r="N342" t="str">
        <f t="shared" si="142"/>
        <v>Да</v>
      </c>
      <c r="O342" t="str">
        <f t="shared" si="148"/>
        <v>[46/1504] МОК5.2.1 Курск, Гагарина, 26 а п. 1 - М 5.2.1</v>
      </c>
      <c r="P342">
        <v>36.138029209999999</v>
      </c>
      <c r="Q342">
        <v>51.667689070000002</v>
      </c>
      <c r="R342" t="str">
        <f>"20000006263057"</f>
        <v>20000006263057</v>
      </c>
    </row>
    <row r="343" spans="1:18" x14ac:dyDescent="0.25">
      <c r="A343">
        <v>907</v>
      </c>
      <c r="B343" t="str">
        <f t="shared" si="137"/>
        <v>Курск</v>
      </c>
      <c r="C343">
        <v>920339</v>
      </c>
      <c r="D343" t="str">
        <f t="shared" si="136"/>
        <v>Опора</v>
      </c>
      <c r="E343" t="str">
        <f>"КИ 111 (0144)"</f>
        <v>КИ 111 (0144)</v>
      </c>
      <c r="F343" t="str">
        <f>""</f>
        <v/>
      </c>
      <c r="G343" t="str">
        <f t="shared" si="145"/>
        <v>_МС (CAB_MS)</v>
      </c>
      <c r="H343" t="str">
        <f t="shared" si="139"/>
        <v>МС 5.2</v>
      </c>
      <c r="I343" t="str">
        <f t="shared" si="146"/>
        <v>22.12.2020</v>
      </c>
      <c r="J343" t="str">
        <f>""</f>
        <v/>
      </c>
      <c r="K343" t="str">
        <f t="shared" si="147"/>
        <v>АКТ №4654</v>
      </c>
      <c r="L343" t="str">
        <f t="shared" si="141"/>
        <v>Комитет по управлению муниципальным имуществом города Курска</v>
      </c>
      <c r="M343" t="str">
        <f t="shared" si="144"/>
        <v>Неизвестно</v>
      </c>
      <c r="N343" t="str">
        <f t="shared" si="142"/>
        <v>Да</v>
      </c>
      <c r="O343" t="str">
        <f t="shared" si="148"/>
        <v>[46/1504] МОК5.2.1 Курск, Гагарина, 26 а п. 1 - М 5.2.1</v>
      </c>
      <c r="P343">
        <v>36.135961229999999</v>
      </c>
      <c r="Q343">
        <v>51.668271320000002</v>
      </c>
      <c r="R343" t="str">
        <f>"20000006263056"</f>
        <v>20000006263056</v>
      </c>
    </row>
    <row r="344" spans="1:18" x14ac:dyDescent="0.25">
      <c r="A344">
        <v>907</v>
      </c>
      <c r="B344" t="str">
        <f t="shared" si="137"/>
        <v>Курск</v>
      </c>
      <c r="C344">
        <v>920338</v>
      </c>
      <c r="D344" t="str">
        <f t="shared" si="136"/>
        <v>Опора</v>
      </c>
      <c r="E344" t="str">
        <f>"КИ 111 (0143)"</f>
        <v>КИ 111 (0143)</v>
      </c>
      <c r="F344" t="str">
        <f>""</f>
        <v/>
      </c>
      <c r="G344" t="str">
        <f t="shared" si="145"/>
        <v>_МС (CAB_MS)</v>
      </c>
      <c r="H344" t="str">
        <f t="shared" si="139"/>
        <v>МС 5.2</v>
      </c>
      <c r="I344" t="str">
        <f t="shared" si="146"/>
        <v>22.12.2020</v>
      </c>
      <c r="J344" t="str">
        <f>""</f>
        <v/>
      </c>
      <c r="K344" t="str">
        <f t="shared" si="147"/>
        <v>АКТ №4654</v>
      </c>
      <c r="L344" t="str">
        <f t="shared" si="141"/>
        <v>Комитет по управлению муниципальным имуществом города Курска</v>
      </c>
      <c r="M344" t="str">
        <f t="shared" si="144"/>
        <v>Неизвестно</v>
      </c>
      <c r="N344" t="str">
        <f t="shared" si="142"/>
        <v>Да</v>
      </c>
      <c r="O344" t="str">
        <f t="shared" si="148"/>
        <v>[46/1504] МОК5.2.1 Курск, Гагарина, 26 а п. 1 - М 5.2.1</v>
      </c>
      <c r="P344">
        <v>36.13757055</v>
      </c>
      <c r="Q344">
        <v>51.667865409999997</v>
      </c>
      <c r="R344" t="str">
        <f>"20000006263055"</f>
        <v>20000006263055</v>
      </c>
    </row>
    <row r="345" spans="1:18" x14ac:dyDescent="0.25">
      <c r="A345">
        <v>907</v>
      </c>
      <c r="B345" t="str">
        <f t="shared" si="137"/>
        <v>Курск</v>
      </c>
      <c r="C345">
        <v>920337</v>
      </c>
      <c r="D345" t="str">
        <f t="shared" si="136"/>
        <v>Опора</v>
      </c>
      <c r="E345" t="str">
        <f>"КИ 111 (0142)"</f>
        <v>КИ 111 (0142)</v>
      </c>
      <c r="F345" t="str">
        <f>""</f>
        <v/>
      </c>
      <c r="G345" t="str">
        <f t="shared" si="145"/>
        <v>_МС (CAB_MS)</v>
      </c>
      <c r="H345" t="str">
        <f t="shared" si="139"/>
        <v>МС 5.2</v>
      </c>
      <c r="I345" t="str">
        <f t="shared" si="146"/>
        <v>22.12.2020</v>
      </c>
      <c r="J345" t="str">
        <f>""</f>
        <v/>
      </c>
      <c r="K345" t="str">
        <f t="shared" si="147"/>
        <v>АКТ №4654</v>
      </c>
      <c r="L345" t="str">
        <f t="shared" si="141"/>
        <v>Комитет по управлению муниципальным имуществом города Курска</v>
      </c>
      <c r="M345" t="str">
        <f t="shared" si="144"/>
        <v>Неизвестно</v>
      </c>
      <c r="N345" t="str">
        <f t="shared" si="142"/>
        <v>Да</v>
      </c>
      <c r="O345" t="str">
        <f t="shared" si="148"/>
        <v>[46/1504] МОК5.2.1 Курск, Гагарина, 26 а п. 1 - М 5.2.1</v>
      </c>
      <c r="P345">
        <v>36.137125300000001</v>
      </c>
      <c r="Q345">
        <v>51.668048400000004</v>
      </c>
      <c r="R345" t="str">
        <f>"20000006263054"</f>
        <v>20000006263054</v>
      </c>
    </row>
    <row r="346" spans="1:18" x14ac:dyDescent="0.25">
      <c r="A346">
        <v>907</v>
      </c>
      <c r="B346" t="str">
        <f t="shared" si="137"/>
        <v>Курск</v>
      </c>
      <c r="C346">
        <v>920336</v>
      </c>
      <c r="D346" t="str">
        <f t="shared" si="136"/>
        <v>Опора</v>
      </c>
      <c r="E346" t="str">
        <f>"КИ 111 (0141)"</f>
        <v>КИ 111 (0141)</v>
      </c>
      <c r="F346" t="str">
        <f>""</f>
        <v/>
      </c>
      <c r="G346" t="str">
        <f t="shared" si="145"/>
        <v>_МС (CAB_MS)</v>
      </c>
      <c r="H346" t="str">
        <f t="shared" si="139"/>
        <v>МС 5.2</v>
      </c>
      <c r="I346" t="str">
        <f t="shared" si="146"/>
        <v>22.12.2020</v>
      </c>
      <c r="J346" t="str">
        <f>""</f>
        <v/>
      </c>
      <c r="K346" t="str">
        <f t="shared" si="147"/>
        <v>АКТ №4654</v>
      </c>
      <c r="L346" t="str">
        <f t="shared" si="141"/>
        <v>Комитет по управлению муниципальным имуществом города Курска</v>
      </c>
      <c r="M346" t="str">
        <f t="shared" si="144"/>
        <v>Неизвестно</v>
      </c>
      <c r="N346" t="str">
        <f t="shared" si="142"/>
        <v>Да</v>
      </c>
      <c r="O346" t="str">
        <f t="shared" si="148"/>
        <v>[46/1504] МОК5.2.1 Курск, Гагарина, 26 а п. 1 - М 5.2.1</v>
      </c>
      <c r="P346">
        <v>36.136588860000003</v>
      </c>
      <c r="Q346">
        <v>51.668084999999998</v>
      </c>
      <c r="R346" t="str">
        <f>"20000006263053"</f>
        <v>20000006263053</v>
      </c>
    </row>
    <row r="347" spans="1:18" x14ac:dyDescent="0.25">
      <c r="A347">
        <v>907</v>
      </c>
      <c r="B347" t="str">
        <f t="shared" si="137"/>
        <v>Курск</v>
      </c>
      <c r="C347">
        <v>920335</v>
      </c>
      <c r="D347" t="str">
        <f t="shared" si="136"/>
        <v>Опора</v>
      </c>
      <c r="E347" t="str">
        <f>"КИ 111 (0140)"</f>
        <v>КИ 111 (0140)</v>
      </c>
      <c r="F347" t="str">
        <f>""</f>
        <v/>
      </c>
      <c r="G347" t="str">
        <f t="shared" si="145"/>
        <v>_МС (CAB_MS)</v>
      </c>
      <c r="H347" t="str">
        <f t="shared" si="139"/>
        <v>МС 5.2</v>
      </c>
      <c r="I347" t="str">
        <f t="shared" si="146"/>
        <v>22.12.2020</v>
      </c>
      <c r="J347" t="str">
        <f>""</f>
        <v/>
      </c>
      <c r="K347" t="str">
        <f t="shared" si="147"/>
        <v>АКТ №4654</v>
      </c>
      <c r="L347" t="str">
        <f t="shared" si="141"/>
        <v>Комитет по управлению муниципальным имуществом города Курска</v>
      </c>
      <c r="M347" t="str">
        <f t="shared" si="144"/>
        <v>Неизвестно</v>
      </c>
      <c r="N347" t="str">
        <f t="shared" si="142"/>
        <v>Да</v>
      </c>
      <c r="O347" t="str">
        <f t="shared" si="148"/>
        <v>[46/1504] МОК5.2.1 Курск, Гагарина, 26 а п. 1 - М 5.2.1</v>
      </c>
      <c r="P347">
        <v>36.136266999999997</v>
      </c>
      <c r="Q347">
        <v>51.668181480000001</v>
      </c>
      <c r="R347" t="str">
        <f>"20000006263052"</f>
        <v>20000006263052</v>
      </c>
    </row>
    <row r="348" spans="1:18" x14ac:dyDescent="0.25">
      <c r="A348">
        <v>907</v>
      </c>
      <c r="B348" t="str">
        <f t="shared" si="137"/>
        <v>Курск</v>
      </c>
      <c r="C348">
        <v>920334</v>
      </c>
      <c r="D348" t="str">
        <f t="shared" si="136"/>
        <v>Опора</v>
      </c>
      <c r="E348" t="str">
        <f>"КИ 111 (0139)"</f>
        <v>КИ 111 (0139)</v>
      </c>
      <c r="F348" t="str">
        <f>""</f>
        <v/>
      </c>
      <c r="G348" t="str">
        <f t="shared" si="145"/>
        <v>_МС (CAB_MS)</v>
      </c>
      <c r="H348" t="str">
        <f t="shared" si="139"/>
        <v>МС 5.2</v>
      </c>
      <c r="I348" t="str">
        <f t="shared" si="146"/>
        <v>22.12.2020</v>
      </c>
      <c r="J348" t="str">
        <f>""</f>
        <v/>
      </c>
      <c r="K348" t="str">
        <f t="shared" si="147"/>
        <v>АКТ №4654</v>
      </c>
      <c r="L348" t="str">
        <f t="shared" si="141"/>
        <v>Комитет по управлению муниципальным имуществом города Курска</v>
      </c>
      <c r="M348" t="str">
        <f t="shared" si="144"/>
        <v>Неизвестно</v>
      </c>
      <c r="N348" t="str">
        <f t="shared" si="142"/>
        <v>Да</v>
      </c>
      <c r="O348" t="str">
        <f t="shared" si="148"/>
        <v>[46/1504] МОК5.2.1 Курск, Гагарина, 26 а п. 1 - М 5.2.1</v>
      </c>
      <c r="P348">
        <v>36.135634000000003</v>
      </c>
      <c r="Q348">
        <v>51.668361150000003</v>
      </c>
      <c r="R348" t="str">
        <f>"20000006263051"</f>
        <v>20000006263051</v>
      </c>
    </row>
    <row r="349" spans="1:18" x14ac:dyDescent="0.25">
      <c r="A349">
        <v>907</v>
      </c>
      <c r="B349" t="str">
        <f t="shared" si="137"/>
        <v>Курск</v>
      </c>
      <c r="C349">
        <v>920333</v>
      </c>
      <c r="D349" t="str">
        <f t="shared" si="136"/>
        <v>Опора</v>
      </c>
      <c r="E349" t="str">
        <f>"КИ 111 (0138)"</f>
        <v>КИ 111 (0138)</v>
      </c>
      <c r="F349" t="str">
        <f>""</f>
        <v/>
      </c>
      <c r="G349" t="str">
        <f t="shared" si="145"/>
        <v>_МС (CAB_MS)</v>
      </c>
      <c r="H349" t="str">
        <f t="shared" si="139"/>
        <v>МС 5.2</v>
      </c>
      <c r="I349" t="str">
        <f t="shared" si="146"/>
        <v>22.12.2020</v>
      </c>
      <c r="J349" t="str">
        <f>""</f>
        <v/>
      </c>
      <c r="K349" t="str">
        <f t="shared" si="147"/>
        <v>АКТ №4654</v>
      </c>
      <c r="L349" t="str">
        <f t="shared" si="141"/>
        <v>Комитет по управлению муниципальным имуществом города Курска</v>
      </c>
      <c r="M349" t="str">
        <f t="shared" si="144"/>
        <v>Неизвестно</v>
      </c>
      <c r="N349" t="str">
        <f t="shared" si="142"/>
        <v>Да</v>
      </c>
      <c r="O349" t="str">
        <f t="shared" si="148"/>
        <v>[46/1504] МОК5.2.1 Курск, Гагарина, 26 а п. 1 - М 5.2.1</v>
      </c>
      <c r="P349">
        <v>36.134673769999999</v>
      </c>
      <c r="Q349">
        <v>51.668943380000002</v>
      </c>
      <c r="R349" t="str">
        <f>"20000006263050"</f>
        <v>20000006263050</v>
      </c>
    </row>
    <row r="350" spans="1:18" x14ac:dyDescent="0.25">
      <c r="A350">
        <v>907</v>
      </c>
      <c r="B350" t="str">
        <f t="shared" si="137"/>
        <v>Курск</v>
      </c>
      <c r="C350">
        <v>920332</v>
      </c>
      <c r="D350" t="str">
        <f t="shared" si="136"/>
        <v>Опора</v>
      </c>
      <c r="E350" t="str">
        <f>"КИ 111 (0137)"</f>
        <v>КИ 111 (0137)</v>
      </c>
      <c r="F350" t="str">
        <f>""</f>
        <v/>
      </c>
      <c r="G350" t="str">
        <f t="shared" si="145"/>
        <v>_МС (CAB_MS)</v>
      </c>
      <c r="H350" t="str">
        <f t="shared" si="139"/>
        <v>МС 5.2</v>
      </c>
      <c r="I350" t="str">
        <f t="shared" si="146"/>
        <v>22.12.2020</v>
      </c>
      <c r="J350" t="str">
        <f>""</f>
        <v/>
      </c>
      <c r="K350" t="str">
        <f t="shared" si="147"/>
        <v>АКТ №4654</v>
      </c>
      <c r="L350" t="str">
        <f t="shared" si="141"/>
        <v>Комитет по управлению муниципальным имуществом города Курска</v>
      </c>
      <c r="M350" t="str">
        <f t="shared" si="144"/>
        <v>Неизвестно</v>
      </c>
      <c r="N350" t="str">
        <f t="shared" si="142"/>
        <v>Да</v>
      </c>
      <c r="O350" t="str">
        <f t="shared" si="148"/>
        <v>[46/1504] МОК5.2.1 Курск, Гагарина, 26 а п. 1 - М 5.2.1</v>
      </c>
      <c r="P350">
        <v>36.134003210000003</v>
      </c>
      <c r="Q350">
        <v>51.669099750000001</v>
      </c>
      <c r="R350" t="str">
        <f>"20000006263049"</f>
        <v>20000006263049</v>
      </c>
    </row>
    <row r="351" spans="1:18" x14ac:dyDescent="0.25">
      <c r="A351">
        <v>907</v>
      </c>
      <c r="B351" t="str">
        <f t="shared" si="137"/>
        <v>Курск</v>
      </c>
      <c r="C351">
        <v>919885</v>
      </c>
      <c r="D351" t="str">
        <f t="shared" si="136"/>
        <v>Опора</v>
      </c>
      <c r="E351" t="str">
        <f>"КИ 111 (02)"</f>
        <v>КИ 111 (02)</v>
      </c>
      <c r="F351" t="str">
        <f>""</f>
        <v/>
      </c>
      <c r="G351" t="str">
        <f t="shared" si="145"/>
        <v>_МС (CAB_MS)</v>
      </c>
      <c r="H351" t="str">
        <f>"МС 5.3"</f>
        <v>МС 5.3</v>
      </c>
      <c r="I351" t="str">
        <f>"17.12.2020"</f>
        <v>17.12.2020</v>
      </c>
      <c r="J351" t="str">
        <f>""</f>
        <v/>
      </c>
      <c r="K351" t="str">
        <f>"Отсутствует"</f>
        <v>Отсутствует</v>
      </c>
      <c r="L351" t="str">
        <f t="shared" si="141"/>
        <v>Комитет по управлению муниципальным имуществом города Курска</v>
      </c>
      <c r="M351" t="str">
        <f t="shared" si="144"/>
        <v>Неизвестно</v>
      </c>
      <c r="N351" t="str">
        <f t="shared" si="142"/>
        <v>Да</v>
      </c>
      <c r="O351" t="str">
        <f>"[46/1836] М 5.3.5 - М 5.3.6"</f>
        <v>[46/1836] М 5.3.5 - М 5.3.6</v>
      </c>
      <c r="P351">
        <v>36.146518389999997</v>
      </c>
      <c r="Q351">
        <v>51.668247800000003</v>
      </c>
      <c r="R351" t="str">
        <f>"20000004579752"</f>
        <v>20000004579752</v>
      </c>
    </row>
    <row r="352" spans="1:18" x14ac:dyDescent="0.25">
      <c r="A352">
        <v>907</v>
      </c>
      <c r="B352" t="str">
        <f t="shared" si="137"/>
        <v>Курск</v>
      </c>
      <c r="C352">
        <v>859098</v>
      </c>
      <c r="D352" t="str">
        <f t="shared" ref="D352:D370" si="149">"Опора контактной сети"</f>
        <v>Опора контактной сети</v>
      </c>
      <c r="E352" t="str">
        <f>"08/604 (139)"</f>
        <v>08/604 (139)</v>
      </c>
      <c r="F352" t="str">
        <f>""</f>
        <v/>
      </c>
      <c r="G352" t="str">
        <f t="shared" si="145"/>
        <v>_МС (CAB_MS)</v>
      </c>
      <c r="H352" t="str">
        <f t="shared" ref="H352:H398" si="150">"МС 5.4"</f>
        <v>МС 5.4</v>
      </c>
      <c r="I352" t="str">
        <f t="shared" ref="I352:I370" si="151">"16.05.2013"</f>
        <v>16.05.2013</v>
      </c>
      <c r="J352" t="str">
        <f>""</f>
        <v/>
      </c>
      <c r="K352" t="str">
        <f t="shared" ref="K352:K370" si="152">"ТУ № 08/604"</f>
        <v>ТУ № 08/604</v>
      </c>
      <c r="L352" t="str">
        <f t="shared" ref="L352:L370" si="153">"МУП ""Курскэлектротранс"""</f>
        <v>МУП "Курскэлектротранс"</v>
      </c>
      <c r="M352" t="str">
        <f t="shared" ref="M352:M370" si="154">"Да"</f>
        <v>Да</v>
      </c>
      <c r="N352" t="str">
        <f t="shared" si="142"/>
        <v>Да</v>
      </c>
      <c r="O352" t="str">
        <f>"[46/1582] М 5.4.1 - М 5.4.2"</f>
        <v>[46/1582] М 5.4.1 - М 5.4.2</v>
      </c>
      <c r="P352">
        <v>36.131414030000002</v>
      </c>
      <c r="Q352">
        <v>51.662409029999999</v>
      </c>
      <c r="R352" t="str">
        <f>"20000004578662"</f>
        <v>20000004578662</v>
      </c>
    </row>
    <row r="353" spans="1:18" x14ac:dyDescent="0.25">
      <c r="A353">
        <v>907</v>
      </c>
      <c r="B353" t="str">
        <f t="shared" si="137"/>
        <v>Курск</v>
      </c>
      <c r="C353">
        <v>859097</v>
      </c>
      <c r="D353" t="str">
        <f t="shared" si="149"/>
        <v>Опора контактной сети</v>
      </c>
      <c r="E353" t="str">
        <f>"08/604 (138)"</f>
        <v>08/604 (138)</v>
      </c>
      <c r="F353" t="str">
        <f>""</f>
        <v/>
      </c>
      <c r="G353" t="str">
        <f t="shared" si="145"/>
        <v>_МС (CAB_MS)</v>
      </c>
      <c r="H353" t="str">
        <f t="shared" si="150"/>
        <v>МС 5.4</v>
      </c>
      <c r="I353" t="str">
        <f t="shared" si="151"/>
        <v>16.05.2013</v>
      </c>
      <c r="J353" t="str">
        <f>""</f>
        <v/>
      </c>
      <c r="K353" t="str">
        <f t="shared" si="152"/>
        <v>ТУ № 08/604</v>
      </c>
      <c r="L353" t="str">
        <f t="shared" si="153"/>
        <v>МУП "Курскэлектротранс"</v>
      </c>
      <c r="M353" t="str">
        <f t="shared" si="154"/>
        <v>Да</v>
      </c>
      <c r="N353" t="str">
        <f t="shared" si="142"/>
        <v>Да</v>
      </c>
      <c r="O353" t="str">
        <f>"[46/1582] М 5.4.1 - М 5.4.2"</f>
        <v>[46/1582] М 5.4.1 - М 5.4.2</v>
      </c>
      <c r="P353">
        <v>36.131621889999998</v>
      </c>
      <c r="Q353">
        <v>51.662730959999998</v>
      </c>
      <c r="R353" t="str">
        <f>"20000004578661"</f>
        <v>20000004578661</v>
      </c>
    </row>
    <row r="354" spans="1:18" x14ac:dyDescent="0.25">
      <c r="A354">
        <v>907</v>
      </c>
      <c r="B354" t="str">
        <f t="shared" si="137"/>
        <v>Курск</v>
      </c>
      <c r="C354">
        <v>859096</v>
      </c>
      <c r="D354" t="str">
        <f t="shared" si="149"/>
        <v>Опора контактной сети</v>
      </c>
      <c r="E354" t="str">
        <f>"08/604 (137)"</f>
        <v>08/604 (137)</v>
      </c>
      <c r="F354" t="str">
        <f>""</f>
        <v/>
      </c>
      <c r="G354" t="str">
        <f t="shared" si="145"/>
        <v>_МС (CAB_MS)</v>
      </c>
      <c r="H354" t="str">
        <f t="shared" si="150"/>
        <v>МС 5.4</v>
      </c>
      <c r="I354" t="str">
        <f t="shared" si="151"/>
        <v>16.05.2013</v>
      </c>
      <c r="J354" t="str">
        <f>""</f>
        <v/>
      </c>
      <c r="K354" t="str">
        <f t="shared" si="152"/>
        <v>ТУ № 08/604</v>
      </c>
      <c r="L354" t="str">
        <f t="shared" si="153"/>
        <v>МУП "Курскэлектротранс"</v>
      </c>
      <c r="M354" t="str">
        <f t="shared" si="154"/>
        <v>Да</v>
      </c>
      <c r="N354" t="str">
        <f t="shared" si="142"/>
        <v>Да</v>
      </c>
      <c r="O354" t="str">
        <f>"[46/1582] М 5.4.1 - М 5.4.2"</f>
        <v>[46/1582] М 5.4.1 - М 5.4.2</v>
      </c>
      <c r="P354">
        <v>36.131798920000001</v>
      </c>
      <c r="Q354">
        <v>51.663011310000002</v>
      </c>
      <c r="R354" t="str">
        <f>"20000004578660"</f>
        <v>20000004578660</v>
      </c>
    </row>
    <row r="355" spans="1:18" x14ac:dyDescent="0.25">
      <c r="A355">
        <v>907</v>
      </c>
      <c r="B355" t="str">
        <f t="shared" si="137"/>
        <v>Курск</v>
      </c>
      <c r="C355">
        <v>859095</v>
      </c>
      <c r="D355" t="str">
        <f t="shared" si="149"/>
        <v>Опора контактной сети</v>
      </c>
      <c r="E355" t="str">
        <f>"08/604 (136)"</f>
        <v>08/604 (136)</v>
      </c>
      <c r="F355" t="str">
        <f>""</f>
        <v/>
      </c>
      <c r="G355" t="str">
        <f t="shared" si="145"/>
        <v>_МС (CAB_MS)</v>
      </c>
      <c r="H355" t="str">
        <f t="shared" si="150"/>
        <v>МС 5.4</v>
      </c>
      <c r="I355" t="str">
        <f t="shared" si="151"/>
        <v>16.05.2013</v>
      </c>
      <c r="J355" t="str">
        <f>""</f>
        <v/>
      </c>
      <c r="K355" t="str">
        <f t="shared" si="152"/>
        <v>ТУ № 08/604</v>
      </c>
      <c r="L355" t="str">
        <f t="shared" si="153"/>
        <v>МУП "Курскэлектротранс"</v>
      </c>
      <c r="M355" t="str">
        <f t="shared" si="154"/>
        <v>Да</v>
      </c>
      <c r="N355" t="str">
        <f t="shared" si="142"/>
        <v>Да</v>
      </c>
      <c r="O355" t="str">
        <f t="shared" ref="O355:O363" si="155">"[46/1581] МОК5.4.1 Курск, Гагарина, 26 а п. 1 - М 5.4.1"</f>
        <v>[46/1581] МОК5.4.1 Курск, Гагарина, 26 а п. 1 - М 5.4.1</v>
      </c>
      <c r="P355">
        <v>36.132093959999999</v>
      </c>
      <c r="Q355">
        <v>51.66350044</v>
      </c>
      <c r="R355" t="str">
        <f>"20000004578659"</f>
        <v>20000004578659</v>
      </c>
    </row>
    <row r="356" spans="1:18" x14ac:dyDescent="0.25">
      <c r="A356">
        <v>907</v>
      </c>
      <c r="B356" t="str">
        <f t="shared" si="137"/>
        <v>Курск</v>
      </c>
      <c r="C356">
        <v>859094</v>
      </c>
      <c r="D356" t="str">
        <f t="shared" si="149"/>
        <v>Опора контактной сети</v>
      </c>
      <c r="E356" t="str">
        <f>"08/604 (135)"</f>
        <v>08/604 (135)</v>
      </c>
      <c r="F356" t="str">
        <f>""</f>
        <v/>
      </c>
      <c r="G356" t="str">
        <f t="shared" si="145"/>
        <v>_МС (CAB_MS)</v>
      </c>
      <c r="H356" t="str">
        <f t="shared" si="150"/>
        <v>МС 5.4</v>
      </c>
      <c r="I356" t="str">
        <f t="shared" si="151"/>
        <v>16.05.2013</v>
      </c>
      <c r="J356" t="str">
        <f>""</f>
        <v/>
      </c>
      <c r="K356" t="str">
        <f t="shared" si="152"/>
        <v>ТУ № 08/604</v>
      </c>
      <c r="L356" t="str">
        <f t="shared" si="153"/>
        <v>МУП "Курскэлектротранс"</v>
      </c>
      <c r="M356" t="str">
        <f t="shared" si="154"/>
        <v>Да</v>
      </c>
      <c r="N356" t="str">
        <f t="shared" si="142"/>
        <v>Да</v>
      </c>
      <c r="O356" t="str">
        <f t="shared" si="155"/>
        <v>[46/1581] МОК5.4.1 Курск, Гагарина, 26 а п. 1 - М 5.4.1</v>
      </c>
      <c r="P356">
        <v>36.132355480000001</v>
      </c>
      <c r="Q356">
        <v>51.663891409999998</v>
      </c>
      <c r="R356" t="str">
        <f>"20000004578658"</f>
        <v>20000004578658</v>
      </c>
    </row>
    <row r="357" spans="1:18" x14ac:dyDescent="0.25">
      <c r="A357">
        <v>907</v>
      </c>
      <c r="B357" t="str">
        <f t="shared" si="137"/>
        <v>Курск</v>
      </c>
      <c r="C357">
        <v>859093</v>
      </c>
      <c r="D357" t="str">
        <f t="shared" si="149"/>
        <v>Опора контактной сети</v>
      </c>
      <c r="E357" t="str">
        <f>"08/604 (134)"</f>
        <v>08/604 (134)</v>
      </c>
      <c r="F357" t="str">
        <f>""</f>
        <v/>
      </c>
      <c r="G357" t="str">
        <f t="shared" si="145"/>
        <v>_МС (CAB_MS)</v>
      </c>
      <c r="H357" t="str">
        <f t="shared" si="150"/>
        <v>МС 5.4</v>
      </c>
      <c r="I357" t="str">
        <f t="shared" si="151"/>
        <v>16.05.2013</v>
      </c>
      <c r="J357" t="str">
        <f>""</f>
        <v/>
      </c>
      <c r="K357" t="str">
        <f t="shared" si="152"/>
        <v>ТУ № 08/604</v>
      </c>
      <c r="L357" t="str">
        <f t="shared" si="153"/>
        <v>МУП "Курскэлектротранс"</v>
      </c>
      <c r="M357" t="str">
        <f t="shared" si="154"/>
        <v>Да</v>
      </c>
      <c r="N357" t="str">
        <f t="shared" si="142"/>
        <v>Да</v>
      </c>
      <c r="O357" t="str">
        <f t="shared" si="155"/>
        <v>[46/1581] МОК5.4.1 Курск, Гагарина, 26 а п. 1 - М 5.4.1</v>
      </c>
      <c r="P357">
        <v>36.132573069999999</v>
      </c>
      <c r="Q357">
        <v>51.664237669999999</v>
      </c>
      <c r="R357" t="str">
        <f>"20000004578657"</f>
        <v>20000004578657</v>
      </c>
    </row>
    <row r="358" spans="1:18" x14ac:dyDescent="0.25">
      <c r="A358">
        <v>907</v>
      </c>
      <c r="B358" t="str">
        <f t="shared" si="137"/>
        <v>Курск</v>
      </c>
      <c r="C358">
        <v>859092</v>
      </c>
      <c r="D358" t="str">
        <f t="shared" si="149"/>
        <v>Опора контактной сети</v>
      </c>
      <c r="E358" t="str">
        <f>"08/604 (133)"</f>
        <v>08/604 (133)</v>
      </c>
      <c r="F358" t="str">
        <f>""</f>
        <v/>
      </c>
      <c r="G358" t="str">
        <f t="shared" si="145"/>
        <v>_МС (CAB_MS)</v>
      </c>
      <c r="H358" t="str">
        <f t="shared" si="150"/>
        <v>МС 5.4</v>
      </c>
      <c r="I358" t="str">
        <f t="shared" si="151"/>
        <v>16.05.2013</v>
      </c>
      <c r="J358" t="str">
        <f>""</f>
        <v/>
      </c>
      <c r="K358" t="str">
        <f t="shared" si="152"/>
        <v>ТУ № 08/604</v>
      </c>
      <c r="L358" t="str">
        <f t="shared" si="153"/>
        <v>МУП "Курскэлектротранс"</v>
      </c>
      <c r="M358" t="str">
        <f t="shared" si="154"/>
        <v>Да</v>
      </c>
      <c r="N358" t="str">
        <f t="shared" si="142"/>
        <v>Да</v>
      </c>
      <c r="O358" t="str">
        <f t="shared" si="155"/>
        <v>[46/1581] МОК5.4.1 Курск, Гагарина, 26 а п. 1 - М 5.4.1</v>
      </c>
      <c r="P358">
        <v>36.132784639999997</v>
      </c>
      <c r="Q358">
        <v>51.664589329999998</v>
      </c>
      <c r="R358" t="str">
        <f>"20000004578656"</f>
        <v>20000004578656</v>
      </c>
    </row>
    <row r="359" spans="1:18" x14ac:dyDescent="0.25">
      <c r="A359">
        <v>907</v>
      </c>
      <c r="B359" t="str">
        <f t="shared" si="137"/>
        <v>Курск</v>
      </c>
      <c r="C359">
        <v>859091</v>
      </c>
      <c r="D359" t="str">
        <f t="shared" si="149"/>
        <v>Опора контактной сети</v>
      </c>
      <c r="E359" t="str">
        <f>"08/604 (132)"</f>
        <v>08/604 (132)</v>
      </c>
      <c r="F359" t="str">
        <f>""</f>
        <v/>
      </c>
      <c r="G359" t="str">
        <f t="shared" si="145"/>
        <v>_МС (CAB_MS)</v>
      </c>
      <c r="H359" t="str">
        <f t="shared" si="150"/>
        <v>МС 5.4</v>
      </c>
      <c r="I359" t="str">
        <f t="shared" si="151"/>
        <v>16.05.2013</v>
      </c>
      <c r="J359" t="str">
        <f>""</f>
        <v/>
      </c>
      <c r="K359" t="str">
        <f t="shared" si="152"/>
        <v>ТУ № 08/604</v>
      </c>
      <c r="L359" t="str">
        <f t="shared" si="153"/>
        <v>МУП "Курскэлектротранс"</v>
      </c>
      <c r="M359" t="str">
        <f t="shared" si="154"/>
        <v>Да</v>
      </c>
      <c r="N359" t="str">
        <f t="shared" si="142"/>
        <v>Да</v>
      </c>
      <c r="O359" t="str">
        <f t="shared" si="155"/>
        <v>[46/1581] МОК5.4.1 Курск, Гагарина, 26 а п. 1 - М 5.4.1</v>
      </c>
      <c r="P359">
        <v>36.13300323</v>
      </c>
      <c r="Q359">
        <v>51.664955339999999</v>
      </c>
      <c r="R359" t="str">
        <f>"20000004578655"</f>
        <v>20000004578655</v>
      </c>
    </row>
    <row r="360" spans="1:18" x14ac:dyDescent="0.25">
      <c r="A360">
        <v>907</v>
      </c>
      <c r="B360" t="str">
        <f t="shared" si="137"/>
        <v>Курск</v>
      </c>
      <c r="C360">
        <v>859090</v>
      </c>
      <c r="D360" t="str">
        <f t="shared" si="149"/>
        <v>Опора контактной сети</v>
      </c>
      <c r="E360" t="str">
        <f>"08/604 (131)"</f>
        <v>08/604 (131)</v>
      </c>
      <c r="F360" t="str">
        <f>""</f>
        <v/>
      </c>
      <c r="G360" t="str">
        <f t="shared" si="145"/>
        <v>_МС (CAB_MS)</v>
      </c>
      <c r="H360" t="str">
        <f t="shared" si="150"/>
        <v>МС 5.4</v>
      </c>
      <c r="I360" t="str">
        <f t="shared" si="151"/>
        <v>16.05.2013</v>
      </c>
      <c r="J360" t="str">
        <f>""</f>
        <v/>
      </c>
      <c r="K360" t="str">
        <f t="shared" si="152"/>
        <v>ТУ № 08/604</v>
      </c>
      <c r="L360" t="str">
        <f t="shared" si="153"/>
        <v>МУП "Курскэлектротранс"</v>
      </c>
      <c r="M360" t="str">
        <f t="shared" si="154"/>
        <v>Да</v>
      </c>
      <c r="N360" t="str">
        <f t="shared" si="142"/>
        <v>Да</v>
      </c>
      <c r="O360" t="str">
        <f t="shared" si="155"/>
        <v>[46/1581] МОК5.4.1 Курск, Гагарина, 26 а п. 1 - М 5.4.1</v>
      </c>
      <c r="P360">
        <v>36.133213789999999</v>
      </c>
      <c r="Q360">
        <v>51.665323839999999</v>
      </c>
      <c r="R360" t="str">
        <f>"20000004578654"</f>
        <v>20000004578654</v>
      </c>
    </row>
    <row r="361" spans="1:18" x14ac:dyDescent="0.25">
      <c r="A361">
        <v>907</v>
      </c>
      <c r="B361" t="str">
        <f t="shared" si="137"/>
        <v>Курск</v>
      </c>
      <c r="C361">
        <v>859089</v>
      </c>
      <c r="D361" t="str">
        <f t="shared" si="149"/>
        <v>Опора контактной сети</v>
      </c>
      <c r="E361" t="str">
        <f>"08/604 (130)"</f>
        <v>08/604 (130)</v>
      </c>
      <c r="F361" t="str">
        <f>""</f>
        <v/>
      </c>
      <c r="G361" t="str">
        <f t="shared" si="145"/>
        <v>_МС (CAB_MS)</v>
      </c>
      <c r="H361" t="str">
        <f t="shared" si="150"/>
        <v>МС 5.4</v>
      </c>
      <c r="I361" t="str">
        <f t="shared" si="151"/>
        <v>16.05.2013</v>
      </c>
      <c r="J361" t="str">
        <f>""</f>
        <v/>
      </c>
      <c r="K361" t="str">
        <f t="shared" si="152"/>
        <v>ТУ № 08/604</v>
      </c>
      <c r="L361" t="str">
        <f t="shared" si="153"/>
        <v>МУП "Курскэлектротранс"</v>
      </c>
      <c r="M361" t="str">
        <f t="shared" si="154"/>
        <v>Да</v>
      </c>
      <c r="N361" t="str">
        <f t="shared" si="142"/>
        <v>Да</v>
      </c>
      <c r="O361" t="str">
        <f t="shared" si="155"/>
        <v>[46/1581] МОК5.4.1 Курск, Гагарина, 26 а п. 1 - М 5.4.1</v>
      </c>
      <c r="P361">
        <v>36.1334163</v>
      </c>
      <c r="Q361">
        <v>51.665680690000002</v>
      </c>
      <c r="R361" t="str">
        <f>"20000004578653"</f>
        <v>20000004578653</v>
      </c>
    </row>
    <row r="362" spans="1:18" x14ac:dyDescent="0.25">
      <c r="A362">
        <v>907</v>
      </c>
      <c r="B362" t="str">
        <f t="shared" si="137"/>
        <v>Курск</v>
      </c>
      <c r="C362">
        <v>859088</v>
      </c>
      <c r="D362" t="str">
        <f t="shared" si="149"/>
        <v>Опора контактной сети</v>
      </c>
      <c r="E362" t="str">
        <f>"08/604 (129)"</f>
        <v>08/604 (129)</v>
      </c>
      <c r="F362" t="str">
        <f>""</f>
        <v/>
      </c>
      <c r="G362" t="str">
        <f t="shared" si="145"/>
        <v>_МС (CAB_MS)</v>
      </c>
      <c r="H362" t="str">
        <f t="shared" si="150"/>
        <v>МС 5.4</v>
      </c>
      <c r="I362" t="str">
        <f t="shared" si="151"/>
        <v>16.05.2013</v>
      </c>
      <c r="J362" t="str">
        <f>""</f>
        <v/>
      </c>
      <c r="K362" t="str">
        <f t="shared" si="152"/>
        <v>ТУ № 08/604</v>
      </c>
      <c r="L362" t="str">
        <f t="shared" si="153"/>
        <v>МУП "Курскэлектротранс"</v>
      </c>
      <c r="M362" t="str">
        <f t="shared" si="154"/>
        <v>Да</v>
      </c>
      <c r="N362" t="str">
        <f t="shared" si="142"/>
        <v>Да</v>
      </c>
      <c r="O362" t="str">
        <f t="shared" si="155"/>
        <v>[46/1581] МОК5.4.1 Курск, Гагарина, 26 а п. 1 - М 5.4.1</v>
      </c>
      <c r="P362">
        <v>36.133674120000002</v>
      </c>
      <c r="Q362">
        <v>51.66600115</v>
      </c>
      <c r="R362" t="str">
        <f>"20000004578652"</f>
        <v>20000004578652</v>
      </c>
    </row>
    <row r="363" spans="1:18" x14ac:dyDescent="0.25">
      <c r="A363">
        <v>907</v>
      </c>
      <c r="B363" t="str">
        <f t="shared" si="137"/>
        <v>Курск</v>
      </c>
      <c r="C363">
        <v>859087</v>
      </c>
      <c r="D363" t="str">
        <f t="shared" si="149"/>
        <v>Опора контактной сети</v>
      </c>
      <c r="E363" t="str">
        <f>"08/604 (128)"</f>
        <v>08/604 (128)</v>
      </c>
      <c r="F363" t="str">
        <f>""</f>
        <v/>
      </c>
      <c r="G363" t="str">
        <f t="shared" si="145"/>
        <v>_МС (CAB_MS)</v>
      </c>
      <c r="H363" t="str">
        <f t="shared" si="150"/>
        <v>МС 5.4</v>
      </c>
      <c r="I363" t="str">
        <f t="shared" si="151"/>
        <v>16.05.2013</v>
      </c>
      <c r="J363" t="str">
        <f>""</f>
        <v/>
      </c>
      <c r="K363" t="str">
        <f t="shared" si="152"/>
        <v>ТУ № 08/604</v>
      </c>
      <c r="L363" t="str">
        <f t="shared" si="153"/>
        <v>МУП "Курскэлектротранс"</v>
      </c>
      <c r="M363" t="str">
        <f t="shared" si="154"/>
        <v>Да</v>
      </c>
      <c r="N363" t="str">
        <f t="shared" si="142"/>
        <v>Да</v>
      </c>
      <c r="O363" t="str">
        <f t="shared" si="155"/>
        <v>[46/1581] МОК5.4.1 Курск, Гагарина, 26 а п. 1 - М 5.4.1</v>
      </c>
      <c r="P363">
        <v>36.133751570000001</v>
      </c>
      <c r="Q363">
        <v>51.666209719999998</v>
      </c>
      <c r="R363" t="str">
        <f>"20000004578651"</f>
        <v>20000004578651</v>
      </c>
    </row>
    <row r="364" spans="1:18" x14ac:dyDescent="0.25">
      <c r="A364">
        <v>907</v>
      </c>
      <c r="B364" t="str">
        <f t="shared" si="137"/>
        <v>Курск</v>
      </c>
      <c r="C364">
        <v>859086</v>
      </c>
      <c r="D364" t="str">
        <f t="shared" si="149"/>
        <v>Опора контактной сети</v>
      </c>
      <c r="E364" t="str">
        <f>"08/604 (127)"</f>
        <v>08/604 (127)</v>
      </c>
      <c r="F364" t="str">
        <f>""</f>
        <v/>
      </c>
      <c r="G364" t="str">
        <f t="shared" si="145"/>
        <v>_МС (CAB_MS)</v>
      </c>
      <c r="H364" t="str">
        <f t="shared" si="150"/>
        <v>МС 5.4</v>
      </c>
      <c r="I364" t="str">
        <f t="shared" si="151"/>
        <v>16.05.2013</v>
      </c>
      <c r="J364" t="str">
        <f>""</f>
        <v/>
      </c>
      <c r="K364" t="str">
        <f t="shared" si="152"/>
        <v>ТУ № 08/604</v>
      </c>
      <c r="L364" t="str">
        <f t="shared" si="153"/>
        <v>МУП "Курскэлектротранс"</v>
      </c>
      <c r="M364" t="str">
        <f t="shared" si="154"/>
        <v>Да</v>
      </c>
      <c r="N364" t="str">
        <f t="shared" si="142"/>
        <v>Да</v>
      </c>
      <c r="O364" t="str">
        <f>"[46/1603] М 5.4.12 - МОК5.4.2 Курск, Гагарина, 26 а п. 1, [46/1581] МОК5.4.1 Курск, Гагарина, 26 а п. 1 - М 5.4.1"</f>
        <v>[46/1603] М 5.4.12 - МОК5.4.2 Курск, Гагарина, 26 а п. 1, [46/1581] МОК5.4.1 Курск, Гагарина, 26 а п. 1 - М 5.4.1</v>
      </c>
      <c r="P364">
        <v>36.134014427661903</v>
      </c>
      <c r="Q364">
        <v>51.666510004000997</v>
      </c>
      <c r="R364" t="str">
        <f>"20000004578650"</f>
        <v>20000004578650</v>
      </c>
    </row>
    <row r="365" spans="1:18" x14ac:dyDescent="0.25">
      <c r="A365">
        <v>907</v>
      </c>
      <c r="B365" t="str">
        <f t="shared" si="137"/>
        <v>Курск</v>
      </c>
      <c r="C365">
        <v>859085</v>
      </c>
      <c r="D365" t="str">
        <f t="shared" si="149"/>
        <v>Опора контактной сети</v>
      </c>
      <c r="E365" t="str">
        <f>"08/604 (126)"</f>
        <v>08/604 (126)</v>
      </c>
      <c r="F365" t="str">
        <f>""</f>
        <v/>
      </c>
      <c r="G365" t="str">
        <f t="shared" si="145"/>
        <v>_МС (CAB_MS)</v>
      </c>
      <c r="H365" t="str">
        <f t="shared" si="150"/>
        <v>МС 5.4</v>
      </c>
      <c r="I365" t="str">
        <f t="shared" si="151"/>
        <v>16.05.2013</v>
      </c>
      <c r="J365" t="str">
        <f>""</f>
        <v/>
      </c>
      <c r="K365" t="str">
        <f t="shared" si="152"/>
        <v>ТУ № 08/604</v>
      </c>
      <c r="L365" t="str">
        <f t="shared" si="153"/>
        <v>МУП "Курскэлектротранс"</v>
      </c>
      <c r="M365" t="str">
        <f t="shared" si="154"/>
        <v>Да</v>
      </c>
      <c r="N365" t="str">
        <f t="shared" si="142"/>
        <v>Да</v>
      </c>
      <c r="O365" t="str">
        <f t="shared" ref="O365:O370" si="156">"[46/1581] МОК5.4.1 Курск, Гагарина, 26 а п. 1 - М 5.4.1"</f>
        <v>[46/1581] МОК5.4.1 Курск, Гагарина, 26 а п. 1 - М 5.4.1</v>
      </c>
      <c r="P365">
        <v>36.133763639999998</v>
      </c>
      <c r="Q365">
        <v>51.666683020000001</v>
      </c>
      <c r="R365" t="str">
        <f>"20000004578649"</f>
        <v>20000004578649</v>
      </c>
    </row>
    <row r="366" spans="1:18" x14ac:dyDescent="0.25">
      <c r="A366">
        <v>907</v>
      </c>
      <c r="B366" t="str">
        <f t="shared" si="137"/>
        <v>Курск</v>
      </c>
      <c r="C366">
        <v>859084</v>
      </c>
      <c r="D366" t="str">
        <f t="shared" si="149"/>
        <v>Опора контактной сети</v>
      </c>
      <c r="E366" t="str">
        <f>"08/604 (125)"</f>
        <v>08/604 (125)</v>
      </c>
      <c r="F366" t="str">
        <f>""</f>
        <v/>
      </c>
      <c r="G366" t="str">
        <f t="shared" si="145"/>
        <v>_МС (CAB_MS)</v>
      </c>
      <c r="H366" t="str">
        <f t="shared" si="150"/>
        <v>МС 5.4</v>
      </c>
      <c r="I366" t="str">
        <f t="shared" si="151"/>
        <v>16.05.2013</v>
      </c>
      <c r="J366" t="str">
        <f>""</f>
        <v/>
      </c>
      <c r="K366" t="str">
        <f t="shared" si="152"/>
        <v>ТУ № 08/604</v>
      </c>
      <c r="L366" t="str">
        <f t="shared" si="153"/>
        <v>МУП "Курскэлектротранс"</v>
      </c>
      <c r="M366" t="str">
        <f t="shared" si="154"/>
        <v>Да</v>
      </c>
      <c r="N366" t="str">
        <f t="shared" si="142"/>
        <v>Да</v>
      </c>
      <c r="O366" t="str">
        <f t="shared" si="156"/>
        <v>[46/1581] МОК5.4.1 Курск, Гагарина, 26 а п. 1 - М 5.4.1</v>
      </c>
      <c r="P366">
        <v>36.133990279999999</v>
      </c>
      <c r="Q366">
        <v>51.666986629999997</v>
      </c>
      <c r="R366" t="str">
        <f>"20000004578648"</f>
        <v>20000004578648</v>
      </c>
    </row>
    <row r="367" spans="1:18" x14ac:dyDescent="0.25">
      <c r="A367">
        <v>907</v>
      </c>
      <c r="B367" t="str">
        <f t="shared" si="137"/>
        <v>Курск</v>
      </c>
      <c r="C367">
        <v>859083</v>
      </c>
      <c r="D367" t="str">
        <f t="shared" si="149"/>
        <v>Опора контактной сети</v>
      </c>
      <c r="E367" t="str">
        <f>"08/604 (124)"</f>
        <v>08/604 (124)</v>
      </c>
      <c r="F367" t="str">
        <f>""</f>
        <v/>
      </c>
      <c r="G367" t="str">
        <f t="shared" si="145"/>
        <v>_МС (CAB_MS)</v>
      </c>
      <c r="H367" t="str">
        <f t="shared" si="150"/>
        <v>МС 5.4</v>
      </c>
      <c r="I367" t="str">
        <f t="shared" si="151"/>
        <v>16.05.2013</v>
      </c>
      <c r="J367" t="str">
        <f>""</f>
        <v/>
      </c>
      <c r="K367" t="str">
        <f t="shared" si="152"/>
        <v>ТУ № 08/604</v>
      </c>
      <c r="L367" t="str">
        <f t="shared" si="153"/>
        <v>МУП "Курскэлектротранс"</v>
      </c>
      <c r="M367" t="str">
        <f t="shared" si="154"/>
        <v>Да</v>
      </c>
      <c r="N367" t="str">
        <f t="shared" si="142"/>
        <v>Да</v>
      </c>
      <c r="O367" t="str">
        <f t="shared" si="156"/>
        <v>[46/1581] МОК5.4.1 Курск, Гагарина, 26 а п. 1 - М 5.4.1</v>
      </c>
      <c r="P367">
        <v>36.134223640000002</v>
      </c>
      <c r="Q367">
        <v>51.667323500000002</v>
      </c>
      <c r="R367" t="str">
        <f>"20000004578647"</f>
        <v>20000004578647</v>
      </c>
    </row>
    <row r="368" spans="1:18" x14ac:dyDescent="0.25">
      <c r="A368">
        <v>907</v>
      </c>
      <c r="B368" t="str">
        <f t="shared" si="137"/>
        <v>Курск</v>
      </c>
      <c r="C368">
        <v>859082</v>
      </c>
      <c r="D368" t="str">
        <f t="shared" si="149"/>
        <v>Опора контактной сети</v>
      </c>
      <c r="E368" t="str">
        <f>"08/604 (123)"</f>
        <v>08/604 (123)</v>
      </c>
      <c r="F368" t="str">
        <f>""</f>
        <v/>
      </c>
      <c r="G368" t="str">
        <f t="shared" si="145"/>
        <v>_МС (CAB_MS)</v>
      </c>
      <c r="H368" t="str">
        <f t="shared" si="150"/>
        <v>МС 5.4</v>
      </c>
      <c r="I368" t="str">
        <f t="shared" si="151"/>
        <v>16.05.2013</v>
      </c>
      <c r="J368" t="str">
        <f>""</f>
        <v/>
      </c>
      <c r="K368" t="str">
        <f t="shared" si="152"/>
        <v>ТУ № 08/604</v>
      </c>
      <c r="L368" t="str">
        <f t="shared" si="153"/>
        <v>МУП "Курскэлектротранс"</v>
      </c>
      <c r="M368" t="str">
        <f t="shared" si="154"/>
        <v>Да</v>
      </c>
      <c r="N368" t="str">
        <f t="shared" si="142"/>
        <v>Да</v>
      </c>
      <c r="O368" t="str">
        <f t="shared" si="156"/>
        <v>[46/1581] МОК5.4.1 Курск, Гагарина, 26 а п. 1 - М 5.4.1</v>
      </c>
      <c r="P368">
        <v>36.134448939999999</v>
      </c>
      <c r="Q368">
        <v>51.667661199999998</v>
      </c>
      <c r="R368" t="str">
        <f>"20000004578646"</f>
        <v>20000004578646</v>
      </c>
    </row>
    <row r="369" spans="1:18" x14ac:dyDescent="0.25">
      <c r="A369">
        <v>907</v>
      </c>
      <c r="B369" t="str">
        <f t="shared" si="137"/>
        <v>Курск</v>
      </c>
      <c r="C369">
        <v>859081</v>
      </c>
      <c r="D369" t="str">
        <f t="shared" si="149"/>
        <v>Опора контактной сети</v>
      </c>
      <c r="E369" t="str">
        <f>"08/604 (122)"</f>
        <v>08/604 (122)</v>
      </c>
      <c r="F369" t="str">
        <f>""</f>
        <v/>
      </c>
      <c r="G369" t="str">
        <f t="shared" si="145"/>
        <v>_МС (CAB_MS)</v>
      </c>
      <c r="H369" t="str">
        <f t="shared" si="150"/>
        <v>МС 5.4</v>
      </c>
      <c r="I369" t="str">
        <f t="shared" si="151"/>
        <v>16.05.2013</v>
      </c>
      <c r="J369" t="str">
        <f>""</f>
        <v/>
      </c>
      <c r="K369" t="str">
        <f t="shared" si="152"/>
        <v>ТУ № 08/604</v>
      </c>
      <c r="L369" t="str">
        <f t="shared" si="153"/>
        <v>МУП "Курскэлектротранс"</v>
      </c>
      <c r="M369" t="str">
        <f t="shared" si="154"/>
        <v>Да</v>
      </c>
      <c r="N369" t="str">
        <f t="shared" si="142"/>
        <v>Да</v>
      </c>
      <c r="O369" t="str">
        <f t="shared" si="156"/>
        <v>[46/1581] МОК5.4.1 Курск, Гагарина, 26 а п. 1 - М 5.4.1</v>
      </c>
      <c r="P369">
        <v>36.134655469999998</v>
      </c>
      <c r="Q369">
        <v>51.668003900000002</v>
      </c>
      <c r="R369" t="str">
        <f>"20000004578645"</f>
        <v>20000004578645</v>
      </c>
    </row>
    <row r="370" spans="1:18" x14ac:dyDescent="0.25">
      <c r="A370">
        <v>907</v>
      </c>
      <c r="B370" t="str">
        <f t="shared" si="137"/>
        <v>Курск</v>
      </c>
      <c r="C370">
        <v>859080</v>
      </c>
      <c r="D370" t="str">
        <f t="shared" si="149"/>
        <v>Опора контактной сети</v>
      </c>
      <c r="E370" t="str">
        <f>"08/604 (121)"</f>
        <v>08/604 (121)</v>
      </c>
      <c r="F370" t="str">
        <f>""</f>
        <v/>
      </c>
      <c r="G370" t="str">
        <f t="shared" si="145"/>
        <v>_МС (CAB_MS)</v>
      </c>
      <c r="H370" t="str">
        <f t="shared" si="150"/>
        <v>МС 5.4</v>
      </c>
      <c r="I370" t="str">
        <f t="shared" si="151"/>
        <v>16.05.2013</v>
      </c>
      <c r="J370" t="str">
        <f>""</f>
        <v/>
      </c>
      <c r="K370" t="str">
        <f t="shared" si="152"/>
        <v>ТУ № 08/604</v>
      </c>
      <c r="L370" t="str">
        <f t="shared" si="153"/>
        <v>МУП "Курскэлектротранс"</v>
      </c>
      <c r="M370" t="str">
        <f t="shared" si="154"/>
        <v>Да</v>
      </c>
      <c r="N370" t="str">
        <f t="shared" si="142"/>
        <v>Да</v>
      </c>
      <c r="O370" t="str">
        <f t="shared" si="156"/>
        <v>[46/1581] МОК5.4.1 Курск, Гагарина, 26 а п. 1 - М 5.4.1</v>
      </c>
      <c r="P370">
        <v>36.134890159999998</v>
      </c>
      <c r="Q370">
        <v>51.668352409999997</v>
      </c>
      <c r="R370" t="str">
        <f>"20000004578644"</f>
        <v>20000004578644</v>
      </c>
    </row>
    <row r="371" spans="1:18" x14ac:dyDescent="0.25">
      <c r="A371">
        <v>907</v>
      </c>
      <c r="B371" t="str">
        <f t="shared" si="137"/>
        <v>Курск</v>
      </c>
      <c r="C371">
        <v>919870</v>
      </c>
      <c r="D371" t="str">
        <f t="shared" ref="D371:D399" si="157">"Опора"</f>
        <v>Опора</v>
      </c>
      <c r="E371" t="str">
        <f>"КИ 4654 (037)"</f>
        <v>КИ 4654 (037)</v>
      </c>
      <c r="F371" t="str">
        <f>""</f>
        <v/>
      </c>
      <c r="G371" t="str">
        <f t="shared" si="145"/>
        <v>_МС (CAB_MS)</v>
      </c>
      <c r="H371" t="str">
        <f t="shared" si="150"/>
        <v>МС 5.4</v>
      </c>
      <c r="I371" t="str">
        <f>"17.12.2020"</f>
        <v>17.12.2020</v>
      </c>
      <c r="J371" t="str">
        <f>""</f>
        <v/>
      </c>
      <c r="K371" t="str">
        <f t="shared" ref="K371:K399" si="158">"АКТ №4654"</f>
        <v>АКТ №4654</v>
      </c>
      <c r="L371" t="str">
        <f t="shared" ref="L371:L399" si="159">"Комитет по управлению муниципальным имуществом города Курска"</f>
        <v>Комитет по управлению муниципальным имуществом города Курска</v>
      </c>
      <c r="M371" t="str">
        <f t="shared" ref="M371:M399" si="160">"Неизвестно"</f>
        <v>Неизвестно</v>
      </c>
      <c r="N371" t="str">
        <f t="shared" si="142"/>
        <v>Да</v>
      </c>
      <c r="O371" t="str">
        <f>"[46/1597] М 5.4.9 - М 5.4.14"</f>
        <v>[46/1597] М 5.4.9 - М 5.4.14</v>
      </c>
      <c r="P371">
        <v>36.089750109999997</v>
      </c>
      <c r="Q371">
        <v>51.672047759999998</v>
      </c>
      <c r="R371" t="str">
        <f>"20000004579742"</f>
        <v>20000004579742</v>
      </c>
    </row>
    <row r="372" spans="1:18" x14ac:dyDescent="0.25">
      <c r="A372">
        <v>907</v>
      </c>
      <c r="B372" t="str">
        <f t="shared" si="137"/>
        <v>Курск</v>
      </c>
      <c r="C372">
        <v>919869</v>
      </c>
      <c r="D372" t="str">
        <f t="shared" si="157"/>
        <v>Опора</v>
      </c>
      <c r="E372" t="str">
        <f>"КИ 4654 (036)"</f>
        <v>КИ 4654 (036)</v>
      </c>
      <c r="F372" t="str">
        <f>""</f>
        <v/>
      </c>
      <c r="G372" t="str">
        <f t="shared" si="145"/>
        <v>_МС (CAB_MS)</v>
      </c>
      <c r="H372" t="str">
        <f t="shared" si="150"/>
        <v>МС 5.4</v>
      </c>
      <c r="I372" t="str">
        <f>"17.12.2020"</f>
        <v>17.12.2020</v>
      </c>
      <c r="J372" t="str">
        <f>""</f>
        <v/>
      </c>
      <c r="K372" t="str">
        <f t="shared" si="158"/>
        <v>АКТ №4654</v>
      </c>
      <c r="L372" t="str">
        <f t="shared" si="159"/>
        <v>Комитет по управлению муниципальным имуществом города Курска</v>
      </c>
      <c r="M372" t="str">
        <f t="shared" si="160"/>
        <v>Неизвестно</v>
      </c>
      <c r="N372" t="str">
        <f t="shared" si="142"/>
        <v>Да</v>
      </c>
      <c r="O372" t="str">
        <f>"[46/1597] М 5.4.9 - М 5.4.14"</f>
        <v>[46/1597] М 5.4.9 - М 5.4.14</v>
      </c>
      <c r="P372">
        <v>36.090029049999998</v>
      </c>
      <c r="Q372">
        <v>51.671786599999997</v>
      </c>
      <c r="R372" t="str">
        <f>"20000004579741"</f>
        <v>20000004579741</v>
      </c>
    </row>
    <row r="373" spans="1:18" x14ac:dyDescent="0.25">
      <c r="A373">
        <v>907</v>
      </c>
      <c r="B373" t="str">
        <f t="shared" si="137"/>
        <v>Курск</v>
      </c>
      <c r="C373">
        <v>919868</v>
      </c>
      <c r="D373" t="str">
        <f t="shared" si="157"/>
        <v>Опора</v>
      </c>
      <c r="E373" t="str">
        <f>"КИ 4654 (035)"</f>
        <v>КИ 4654 (035)</v>
      </c>
      <c r="F373" t="str">
        <f>""</f>
        <v/>
      </c>
      <c r="G373" t="str">
        <f t="shared" si="145"/>
        <v>_МС (CAB_MS)</v>
      </c>
      <c r="H373" t="str">
        <f t="shared" si="150"/>
        <v>МС 5.4</v>
      </c>
      <c r="I373" t="str">
        <f>"17.12.2020"</f>
        <v>17.12.2020</v>
      </c>
      <c r="J373" t="str">
        <f>""</f>
        <v/>
      </c>
      <c r="K373" t="str">
        <f t="shared" si="158"/>
        <v>АКТ №4654</v>
      </c>
      <c r="L373" t="str">
        <f t="shared" si="159"/>
        <v>Комитет по управлению муниципальным имуществом города Курска</v>
      </c>
      <c r="M373" t="str">
        <f t="shared" si="160"/>
        <v>Неизвестно</v>
      </c>
      <c r="N373" t="str">
        <f t="shared" si="142"/>
        <v>Да</v>
      </c>
      <c r="O373" t="str">
        <f>"[46/1597] М 5.4.9 - М 5.4.14"</f>
        <v>[46/1597] М 5.4.9 - М 5.4.14</v>
      </c>
      <c r="P373">
        <v>36.090334830000003</v>
      </c>
      <c r="Q373">
        <v>51.671477199999998</v>
      </c>
      <c r="R373" t="str">
        <f>"20000004579740"</f>
        <v>20000004579740</v>
      </c>
    </row>
    <row r="374" spans="1:18" x14ac:dyDescent="0.25">
      <c r="A374">
        <v>907</v>
      </c>
      <c r="B374" t="str">
        <f t="shared" si="137"/>
        <v>Курск</v>
      </c>
      <c r="C374">
        <v>919867</v>
      </c>
      <c r="D374" t="str">
        <f t="shared" si="157"/>
        <v>Опора</v>
      </c>
      <c r="E374" t="str">
        <f>"КИ 4654 (034)"</f>
        <v>КИ 4654 (034)</v>
      </c>
      <c r="F374" t="str">
        <f>""</f>
        <v/>
      </c>
      <c r="G374" t="str">
        <f t="shared" si="145"/>
        <v>_МС (CAB_MS)</v>
      </c>
      <c r="H374" t="str">
        <f t="shared" si="150"/>
        <v>МС 5.4</v>
      </c>
      <c r="I374" t="str">
        <f>"17.12.2020"</f>
        <v>17.12.2020</v>
      </c>
      <c r="J374" t="str">
        <f>""</f>
        <v/>
      </c>
      <c r="K374" t="str">
        <f t="shared" si="158"/>
        <v>АКТ №4654</v>
      </c>
      <c r="L374" t="str">
        <f t="shared" si="159"/>
        <v>Комитет по управлению муниципальным имуществом города Курска</v>
      </c>
      <c r="M374" t="str">
        <f t="shared" si="160"/>
        <v>Неизвестно</v>
      </c>
      <c r="N374" t="str">
        <f t="shared" si="142"/>
        <v>Да</v>
      </c>
      <c r="O374" t="str">
        <f>"[46/1597] М 5.4.9 - М 5.4.14"</f>
        <v>[46/1597] М 5.4.9 - М 5.4.14</v>
      </c>
      <c r="P374">
        <v>36.090632550000002</v>
      </c>
      <c r="Q374">
        <v>51.671194419999999</v>
      </c>
      <c r="R374" t="str">
        <f>"20000004579739"</f>
        <v>20000004579739</v>
      </c>
    </row>
    <row r="375" spans="1:18" x14ac:dyDescent="0.25">
      <c r="A375">
        <v>907</v>
      </c>
      <c r="B375" t="str">
        <f t="shared" si="137"/>
        <v>Курск</v>
      </c>
      <c r="C375">
        <v>919866</v>
      </c>
      <c r="D375" t="str">
        <f t="shared" si="157"/>
        <v>Опора</v>
      </c>
      <c r="E375" t="str">
        <f>"КИ 4654 (033)"</f>
        <v>КИ 4654 (033)</v>
      </c>
      <c r="F375" t="str">
        <f>""</f>
        <v/>
      </c>
      <c r="G375" t="str">
        <f t="shared" si="145"/>
        <v>_МС (CAB_MS)</v>
      </c>
      <c r="H375" t="str">
        <f t="shared" si="150"/>
        <v>МС 5.4</v>
      </c>
      <c r="I375" t="str">
        <f>"17.12.2020"</f>
        <v>17.12.2020</v>
      </c>
      <c r="J375" t="str">
        <f>""</f>
        <v/>
      </c>
      <c r="K375" t="str">
        <f t="shared" si="158"/>
        <v>АКТ №4654</v>
      </c>
      <c r="L375" t="str">
        <f t="shared" si="159"/>
        <v>Комитет по управлению муниципальным имуществом города Курска</v>
      </c>
      <c r="M375" t="str">
        <f t="shared" si="160"/>
        <v>Неизвестно</v>
      </c>
      <c r="N375" t="str">
        <f t="shared" si="142"/>
        <v>Да</v>
      </c>
      <c r="O375" t="str">
        <f>"[46/1597] М 5.4.9 - М 5.4.14"</f>
        <v>[46/1597] М 5.4.9 - М 5.4.14</v>
      </c>
      <c r="P375">
        <v>36.09089273</v>
      </c>
      <c r="Q375">
        <v>51.67094324</v>
      </c>
      <c r="R375" t="str">
        <f>"20000004579738"</f>
        <v>20000004579738</v>
      </c>
    </row>
    <row r="376" spans="1:18" x14ac:dyDescent="0.25">
      <c r="A376">
        <v>907</v>
      </c>
      <c r="B376" t="str">
        <f t="shared" si="137"/>
        <v>Курск</v>
      </c>
      <c r="C376">
        <v>919760</v>
      </c>
      <c r="D376" t="str">
        <f t="shared" si="157"/>
        <v>Опора</v>
      </c>
      <c r="E376" t="str">
        <f>"КИ 4654 (023)"</f>
        <v>КИ 4654 (023)</v>
      </c>
      <c r="F376" t="str">
        <f>""</f>
        <v/>
      </c>
      <c r="G376" t="str">
        <f t="shared" si="145"/>
        <v>_МС (CAB_MS)</v>
      </c>
      <c r="H376" t="str">
        <f t="shared" si="150"/>
        <v>МС 5.4</v>
      </c>
      <c r="I376" t="str">
        <f t="shared" ref="I376:I398" si="161">"16.12.2020"</f>
        <v>16.12.2020</v>
      </c>
      <c r="J376" t="str">
        <f>""</f>
        <v/>
      </c>
      <c r="K376" t="str">
        <f t="shared" si="158"/>
        <v>АКТ №4654</v>
      </c>
      <c r="L376" t="str">
        <f t="shared" si="159"/>
        <v>Комитет по управлению муниципальным имуществом города Курска</v>
      </c>
      <c r="M376" t="str">
        <f t="shared" si="160"/>
        <v>Неизвестно</v>
      </c>
      <c r="N376" t="str">
        <f t="shared" si="142"/>
        <v>Да</v>
      </c>
      <c r="O376" t="str">
        <f>"[46/1586] М 5.4.4 - М 5.4.5"</f>
        <v>[46/1586] М 5.4.4 - М 5.4.5</v>
      </c>
      <c r="P376">
        <v>36.09248127</v>
      </c>
      <c r="Q376">
        <v>51.667944579999997</v>
      </c>
      <c r="R376" t="str">
        <f>"20000004579727"</f>
        <v>20000004579727</v>
      </c>
    </row>
    <row r="377" spans="1:18" x14ac:dyDescent="0.25">
      <c r="A377">
        <v>907</v>
      </c>
      <c r="B377" t="str">
        <f t="shared" si="137"/>
        <v>Курск</v>
      </c>
      <c r="C377">
        <v>919756</v>
      </c>
      <c r="D377" t="str">
        <f t="shared" si="157"/>
        <v>Опора</v>
      </c>
      <c r="E377" t="str">
        <f>"КИ 4654 (022)"</f>
        <v>КИ 4654 (022)</v>
      </c>
      <c r="F377" t="str">
        <f>""</f>
        <v/>
      </c>
      <c r="G377" t="str">
        <f t="shared" si="145"/>
        <v>_МС (CAB_MS)</v>
      </c>
      <c r="H377" t="str">
        <f t="shared" si="150"/>
        <v>МС 5.4</v>
      </c>
      <c r="I377" t="str">
        <f t="shared" si="161"/>
        <v>16.12.2020</v>
      </c>
      <c r="J377" t="str">
        <f>""</f>
        <v/>
      </c>
      <c r="K377" t="str">
        <f t="shared" si="158"/>
        <v>АКТ №4654</v>
      </c>
      <c r="L377" t="str">
        <f t="shared" si="159"/>
        <v>Комитет по управлению муниципальным имуществом города Курска</v>
      </c>
      <c r="M377" t="str">
        <f t="shared" si="160"/>
        <v>Неизвестно</v>
      </c>
      <c r="N377" t="str">
        <f t="shared" si="142"/>
        <v>Да</v>
      </c>
      <c r="O377" t="str">
        <f>"[46/1585] М 5.4.3 - М 5.4.4"</f>
        <v>[46/1585] М 5.4.3 - М 5.4.4</v>
      </c>
      <c r="P377">
        <v>36.09588231</v>
      </c>
      <c r="Q377">
        <v>51.66786639</v>
      </c>
      <c r="R377" t="str">
        <f>"20000004579726"</f>
        <v>20000004579726</v>
      </c>
    </row>
    <row r="378" spans="1:18" x14ac:dyDescent="0.25">
      <c r="A378">
        <v>907</v>
      </c>
      <c r="B378" t="str">
        <f t="shared" si="137"/>
        <v>Курск</v>
      </c>
      <c r="C378">
        <v>919755</v>
      </c>
      <c r="D378" t="str">
        <f t="shared" si="157"/>
        <v>Опора</v>
      </c>
      <c r="E378" t="str">
        <f>"КИ 4654 (021)"</f>
        <v>КИ 4654 (021)</v>
      </c>
      <c r="F378" t="str">
        <f>""</f>
        <v/>
      </c>
      <c r="G378" t="str">
        <f t="shared" si="145"/>
        <v>_МС (CAB_MS)</v>
      </c>
      <c r="H378" t="str">
        <f t="shared" si="150"/>
        <v>МС 5.4</v>
      </c>
      <c r="I378" t="str">
        <f t="shared" si="161"/>
        <v>16.12.2020</v>
      </c>
      <c r="J378" t="str">
        <f>""</f>
        <v/>
      </c>
      <c r="K378" t="str">
        <f t="shared" si="158"/>
        <v>АКТ №4654</v>
      </c>
      <c r="L378" t="str">
        <f t="shared" si="159"/>
        <v>Комитет по управлению муниципальным имуществом города Курска</v>
      </c>
      <c r="M378" t="str">
        <f t="shared" si="160"/>
        <v>Неизвестно</v>
      </c>
      <c r="N378" t="str">
        <f t="shared" si="142"/>
        <v>Да</v>
      </c>
      <c r="O378" t="str">
        <f>"[46/1585] М 5.4.3 - М 5.4.4"</f>
        <v>[46/1585] М 5.4.3 - М 5.4.4</v>
      </c>
      <c r="P378">
        <v>36.098827370000002</v>
      </c>
      <c r="Q378">
        <v>51.667666760000003</v>
      </c>
      <c r="R378" t="str">
        <f>"20000004579725"</f>
        <v>20000004579725</v>
      </c>
    </row>
    <row r="379" spans="1:18" x14ac:dyDescent="0.25">
      <c r="A379">
        <v>907</v>
      </c>
      <c r="B379" t="str">
        <f t="shared" si="137"/>
        <v>Курск</v>
      </c>
      <c r="C379">
        <v>919754</v>
      </c>
      <c r="D379" t="str">
        <f t="shared" si="157"/>
        <v>Опора</v>
      </c>
      <c r="E379" t="str">
        <f>"КИ 4654 (020)"</f>
        <v>КИ 4654 (020)</v>
      </c>
      <c r="F379" t="str">
        <f>""</f>
        <v/>
      </c>
      <c r="G379" t="str">
        <f t="shared" si="145"/>
        <v>_МС (CAB_MS)</v>
      </c>
      <c r="H379" t="str">
        <f t="shared" si="150"/>
        <v>МС 5.4</v>
      </c>
      <c r="I379" t="str">
        <f t="shared" si="161"/>
        <v>16.12.2020</v>
      </c>
      <c r="J379" t="str">
        <f>""</f>
        <v/>
      </c>
      <c r="K379" t="str">
        <f t="shared" si="158"/>
        <v>АКТ №4654</v>
      </c>
      <c r="L379" t="str">
        <f t="shared" si="159"/>
        <v>Комитет по управлению муниципальным имуществом города Курска</v>
      </c>
      <c r="M379" t="str">
        <f t="shared" si="160"/>
        <v>Неизвестно</v>
      </c>
      <c r="N379" t="str">
        <f t="shared" si="142"/>
        <v>Да</v>
      </c>
      <c r="O379" t="str">
        <f>"[46/1585] М 5.4.3 - М 5.4.4"</f>
        <v>[46/1585] М 5.4.3 - М 5.4.4</v>
      </c>
      <c r="P379">
        <v>36.102284740000002</v>
      </c>
      <c r="Q379">
        <v>51.667134419999996</v>
      </c>
      <c r="R379" t="str">
        <f>"20000004579724"</f>
        <v>20000004579724</v>
      </c>
    </row>
    <row r="380" spans="1:18" x14ac:dyDescent="0.25">
      <c r="A380">
        <v>907</v>
      </c>
      <c r="B380" t="str">
        <f t="shared" si="137"/>
        <v>Курск</v>
      </c>
      <c r="C380">
        <v>919753</v>
      </c>
      <c r="D380" t="str">
        <f t="shared" si="157"/>
        <v>Опора</v>
      </c>
      <c r="E380" t="str">
        <f>"КИ 4654 (019)"</f>
        <v>КИ 4654 (019)</v>
      </c>
      <c r="F380" t="str">
        <f>""</f>
        <v/>
      </c>
      <c r="G380" t="str">
        <f t="shared" si="145"/>
        <v>_МС (CAB_MS)</v>
      </c>
      <c r="H380" t="str">
        <f t="shared" si="150"/>
        <v>МС 5.4</v>
      </c>
      <c r="I380" t="str">
        <f t="shared" si="161"/>
        <v>16.12.2020</v>
      </c>
      <c r="J380" t="str">
        <f>""</f>
        <v/>
      </c>
      <c r="K380" t="str">
        <f t="shared" si="158"/>
        <v>АКТ №4654</v>
      </c>
      <c r="L380" t="str">
        <f t="shared" si="159"/>
        <v>Комитет по управлению муниципальным имуществом города Курска</v>
      </c>
      <c r="M380" t="str">
        <f t="shared" si="160"/>
        <v>Неизвестно</v>
      </c>
      <c r="N380" t="str">
        <f t="shared" si="142"/>
        <v>Да</v>
      </c>
      <c r="O380" t="str">
        <f>"[46/1585] М 5.4.3 - М 5.4.4"</f>
        <v>[46/1585] М 5.4.3 - М 5.4.4</v>
      </c>
      <c r="P380">
        <v>36.105846710000002</v>
      </c>
      <c r="Q380">
        <v>51.666608719999999</v>
      </c>
      <c r="R380" t="str">
        <f>"20000004579723"</f>
        <v>20000004579723</v>
      </c>
    </row>
    <row r="381" spans="1:18" x14ac:dyDescent="0.25">
      <c r="A381">
        <v>907</v>
      </c>
      <c r="B381" t="str">
        <f t="shared" si="137"/>
        <v>Курск</v>
      </c>
      <c r="C381">
        <v>919749</v>
      </c>
      <c r="D381" t="str">
        <f t="shared" si="157"/>
        <v>Опора</v>
      </c>
      <c r="E381" t="str">
        <f>"КИ 4654 (018)"</f>
        <v>КИ 4654 (018)</v>
      </c>
      <c r="F381" t="str">
        <f>""</f>
        <v/>
      </c>
      <c r="G381" t="str">
        <f t="shared" si="145"/>
        <v>_МС (CAB_MS)</v>
      </c>
      <c r="H381" t="str">
        <f t="shared" si="150"/>
        <v>МС 5.4</v>
      </c>
      <c r="I381" t="str">
        <f t="shared" si="161"/>
        <v>16.12.2020</v>
      </c>
      <c r="J381" t="str">
        <f>""</f>
        <v/>
      </c>
      <c r="K381" t="str">
        <f t="shared" si="158"/>
        <v>АКТ №4654</v>
      </c>
      <c r="L381" t="str">
        <f t="shared" si="159"/>
        <v>Комитет по управлению муниципальным имуществом города Курска</v>
      </c>
      <c r="M381" t="str">
        <f t="shared" si="160"/>
        <v>Неизвестно</v>
      </c>
      <c r="N381" t="str">
        <f t="shared" si="142"/>
        <v>Да</v>
      </c>
      <c r="O381" t="str">
        <f>"[46/1583] М 5.4.2 - М 5.4.3"</f>
        <v>[46/1583] М 5.4.2 - М 5.4.3</v>
      </c>
      <c r="P381">
        <v>36.109652769999997</v>
      </c>
      <c r="Q381">
        <v>51.666577109999999</v>
      </c>
      <c r="R381" t="str">
        <f>"20000004579722"</f>
        <v>20000004579722</v>
      </c>
    </row>
    <row r="382" spans="1:18" x14ac:dyDescent="0.25">
      <c r="A382">
        <v>907</v>
      </c>
      <c r="B382" t="str">
        <f t="shared" si="137"/>
        <v>Курск</v>
      </c>
      <c r="C382">
        <v>919703</v>
      </c>
      <c r="D382" t="str">
        <f t="shared" si="157"/>
        <v>Опора</v>
      </c>
      <c r="E382" t="str">
        <f>"КИ 4654 (017)"</f>
        <v>КИ 4654 (017)</v>
      </c>
      <c r="F382" t="str">
        <f>""</f>
        <v/>
      </c>
      <c r="G382" t="str">
        <f t="shared" si="145"/>
        <v>_МС (CAB_MS)</v>
      </c>
      <c r="H382" t="str">
        <f t="shared" si="150"/>
        <v>МС 5.4</v>
      </c>
      <c r="I382" t="str">
        <f t="shared" si="161"/>
        <v>16.12.2020</v>
      </c>
      <c r="J382" t="str">
        <f>""</f>
        <v/>
      </c>
      <c r="K382" t="str">
        <f t="shared" si="158"/>
        <v>АКТ №4654</v>
      </c>
      <c r="L382" t="str">
        <f t="shared" si="159"/>
        <v>Комитет по управлению муниципальным имуществом города Курска</v>
      </c>
      <c r="M382" t="str">
        <f t="shared" si="160"/>
        <v>Неизвестно</v>
      </c>
      <c r="N382" t="str">
        <f t="shared" si="142"/>
        <v>Да</v>
      </c>
      <c r="O382" t="str">
        <f>"[46/1583] М 5.4.2 - М 5.4.3"</f>
        <v>[46/1583] М 5.4.2 - М 5.4.3</v>
      </c>
      <c r="P382">
        <v>36.112699759999998</v>
      </c>
      <c r="Q382">
        <v>51.666718520000003</v>
      </c>
      <c r="R382" t="str">
        <f>"20000004579721"</f>
        <v>20000004579721</v>
      </c>
    </row>
    <row r="383" spans="1:18" x14ac:dyDescent="0.25">
      <c r="A383">
        <v>907</v>
      </c>
      <c r="B383" t="str">
        <f t="shared" si="137"/>
        <v>Курск</v>
      </c>
      <c r="C383">
        <v>919699</v>
      </c>
      <c r="D383" t="str">
        <f t="shared" si="157"/>
        <v>Опора</v>
      </c>
      <c r="E383" t="str">
        <f>"КИ 4654 (016)"</f>
        <v>КИ 4654 (016)</v>
      </c>
      <c r="F383" t="str">
        <f>""</f>
        <v/>
      </c>
      <c r="G383" t="str">
        <f t="shared" si="145"/>
        <v>_МС (CAB_MS)</v>
      </c>
      <c r="H383" t="str">
        <f t="shared" si="150"/>
        <v>МС 5.4</v>
      </c>
      <c r="I383" t="str">
        <f t="shared" si="161"/>
        <v>16.12.2020</v>
      </c>
      <c r="J383" t="str">
        <f>""</f>
        <v/>
      </c>
      <c r="K383" t="str">
        <f t="shared" si="158"/>
        <v>АКТ №4654</v>
      </c>
      <c r="L383" t="str">
        <f t="shared" si="159"/>
        <v>Комитет по управлению муниципальным имуществом города Курска</v>
      </c>
      <c r="M383" t="str">
        <f t="shared" si="160"/>
        <v>Неизвестно</v>
      </c>
      <c r="N383" t="str">
        <f t="shared" si="142"/>
        <v>Да</v>
      </c>
      <c r="O383" t="str">
        <f>"[46/1583] М 5.4.2 - М 5.4.3"</f>
        <v>[46/1583] М 5.4.2 - М 5.4.3</v>
      </c>
      <c r="P383">
        <v>36.116283189999997</v>
      </c>
      <c r="Q383">
        <v>51.666585429999998</v>
      </c>
      <c r="R383" t="str">
        <f>"20000004579720"</f>
        <v>20000004579720</v>
      </c>
    </row>
    <row r="384" spans="1:18" x14ac:dyDescent="0.25">
      <c r="A384">
        <v>907</v>
      </c>
      <c r="B384" t="str">
        <f t="shared" si="137"/>
        <v>Курск</v>
      </c>
      <c r="C384">
        <v>919698</v>
      </c>
      <c r="D384" t="str">
        <f t="shared" si="157"/>
        <v>Опора</v>
      </c>
      <c r="E384" t="str">
        <f>"КИ 4654 (015)"</f>
        <v>КИ 4654 (015)</v>
      </c>
      <c r="F384" t="str">
        <f>""</f>
        <v/>
      </c>
      <c r="G384" t="str">
        <f t="shared" si="145"/>
        <v>_МС (CAB_MS)</v>
      </c>
      <c r="H384" t="str">
        <f t="shared" si="150"/>
        <v>МС 5.4</v>
      </c>
      <c r="I384" t="str">
        <f t="shared" si="161"/>
        <v>16.12.2020</v>
      </c>
      <c r="J384" t="str">
        <f>""</f>
        <v/>
      </c>
      <c r="K384" t="str">
        <f t="shared" si="158"/>
        <v>АКТ №4654</v>
      </c>
      <c r="L384" t="str">
        <f t="shared" si="159"/>
        <v>Комитет по управлению муниципальным имуществом города Курска</v>
      </c>
      <c r="M384" t="str">
        <f t="shared" si="160"/>
        <v>Неизвестно</v>
      </c>
      <c r="N384" t="str">
        <f t="shared" si="142"/>
        <v>Да</v>
      </c>
      <c r="O384" t="str">
        <f>"[46/1583] М 5.4.2 - М 5.4.3"</f>
        <v>[46/1583] М 5.4.2 - М 5.4.3</v>
      </c>
      <c r="P384">
        <v>36.11905659</v>
      </c>
      <c r="Q384">
        <v>51.665201289999999</v>
      </c>
      <c r="R384" t="str">
        <f>"20000004579719"</f>
        <v>20000004579719</v>
      </c>
    </row>
    <row r="385" spans="1:18" x14ac:dyDescent="0.25">
      <c r="A385">
        <v>907</v>
      </c>
      <c r="B385" t="str">
        <f t="shared" si="137"/>
        <v>Курск</v>
      </c>
      <c r="C385">
        <v>919697</v>
      </c>
      <c r="D385" t="str">
        <f t="shared" si="157"/>
        <v>Опора</v>
      </c>
      <c r="E385" t="str">
        <f>"КИ 4654 (014)"</f>
        <v>КИ 4654 (014)</v>
      </c>
      <c r="F385" t="str">
        <f>""</f>
        <v/>
      </c>
      <c r="G385" t="str">
        <f t="shared" si="145"/>
        <v>_МС (CAB_MS)</v>
      </c>
      <c r="H385" t="str">
        <f t="shared" si="150"/>
        <v>МС 5.4</v>
      </c>
      <c r="I385" t="str">
        <f t="shared" si="161"/>
        <v>16.12.2020</v>
      </c>
      <c r="J385" t="str">
        <f>""</f>
        <v/>
      </c>
      <c r="K385" t="str">
        <f t="shared" si="158"/>
        <v>АКТ №4654</v>
      </c>
      <c r="L385" t="str">
        <f t="shared" si="159"/>
        <v>Комитет по управлению муниципальным имуществом города Курска</v>
      </c>
      <c r="M385" t="str">
        <f t="shared" si="160"/>
        <v>Неизвестно</v>
      </c>
      <c r="N385" t="str">
        <f t="shared" si="142"/>
        <v>Да</v>
      </c>
      <c r="O385" t="str">
        <f>"[46/1582] М 5.4.1 - М 5.4.2"</f>
        <v>[46/1582] М 5.4.1 - М 5.4.2</v>
      </c>
      <c r="P385">
        <v>36.121615419999998</v>
      </c>
      <c r="Q385">
        <v>51.663452759999998</v>
      </c>
      <c r="R385" t="str">
        <f>"20000004579718"</f>
        <v>20000004579718</v>
      </c>
    </row>
    <row r="386" spans="1:18" x14ac:dyDescent="0.25">
      <c r="A386">
        <v>907</v>
      </c>
      <c r="B386" t="str">
        <f t="shared" ref="B386:B449" si="162">"Курск"</f>
        <v>Курск</v>
      </c>
      <c r="C386">
        <v>919696</v>
      </c>
      <c r="D386" t="str">
        <f t="shared" si="157"/>
        <v>Опора</v>
      </c>
      <c r="E386" t="str">
        <f>"КИ 4654 (013)"</f>
        <v>КИ 4654 (013)</v>
      </c>
      <c r="F386" t="str">
        <f>""</f>
        <v/>
      </c>
      <c r="G386" t="str">
        <f t="shared" si="145"/>
        <v>_МС (CAB_MS)</v>
      </c>
      <c r="H386" t="str">
        <f t="shared" si="150"/>
        <v>МС 5.4</v>
      </c>
      <c r="I386" t="str">
        <f t="shared" si="161"/>
        <v>16.12.2020</v>
      </c>
      <c r="J386" t="str">
        <f>""</f>
        <v/>
      </c>
      <c r="K386" t="str">
        <f t="shared" si="158"/>
        <v>АКТ №4654</v>
      </c>
      <c r="L386" t="str">
        <f t="shared" si="159"/>
        <v>Комитет по управлению муниципальным имуществом города Курска</v>
      </c>
      <c r="M386" t="str">
        <f t="shared" si="160"/>
        <v>Неизвестно</v>
      </c>
      <c r="N386" t="str">
        <f t="shared" si="142"/>
        <v>Да</v>
      </c>
      <c r="O386" t="str">
        <f>"[46/1582] М 5.4.1 - М 5.4.2"</f>
        <v>[46/1582] М 5.4.1 - М 5.4.2</v>
      </c>
      <c r="P386">
        <v>36.124496110000003</v>
      </c>
      <c r="Q386">
        <v>51.662055209999998</v>
      </c>
      <c r="R386" t="str">
        <f>"20000004579717"</f>
        <v>20000004579717</v>
      </c>
    </row>
    <row r="387" spans="1:18" x14ac:dyDescent="0.25">
      <c r="A387">
        <v>907</v>
      </c>
      <c r="B387" t="str">
        <f t="shared" si="162"/>
        <v>Курск</v>
      </c>
      <c r="C387">
        <v>919695</v>
      </c>
      <c r="D387" t="str">
        <f t="shared" si="157"/>
        <v>Опора</v>
      </c>
      <c r="E387" t="str">
        <f>"КИ 4654 (012)"</f>
        <v>КИ 4654 (012)</v>
      </c>
      <c r="F387" t="str">
        <f>""</f>
        <v/>
      </c>
      <c r="G387" t="str">
        <f t="shared" si="145"/>
        <v>_МС (CAB_MS)</v>
      </c>
      <c r="H387" t="str">
        <f t="shared" si="150"/>
        <v>МС 5.4</v>
      </c>
      <c r="I387" t="str">
        <f t="shared" si="161"/>
        <v>16.12.2020</v>
      </c>
      <c r="J387" t="str">
        <f>""</f>
        <v/>
      </c>
      <c r="K387" t="str">
        <f t="shared" si="158"/>
        <v>АКТ №4654</v>
      </c>
      <c r="L387" t="str">
        <f t="shared" si="159"/>
        <v>Комитет по управлению муниципальным имуществом города Курска</v>
      </c>
      <c r="M387" t="str">
        <f t="shared" si="160"/>
        <v>Неизвестно</v>
      </c>
      <c r="N387" t="str">
        <f t="shared" si="142"/>
        <v>Да</v>
      </c>
      <c r="O387" t="str">
        <f>"[46/1582] М 5.4.1 - М 5.4.2"</f>
        <v>[46/1582] М 5.4.1 - М 5.4.2</v>
      </c>
      <c r="P387">
        <v>36.127996400000001</v>
      </c>
      <c r="Q387">
        <v>51.661630950000003</v>
      </c>
      <c r="R387" t="str">
        <f>"20000004579716"</f>
        <v>20000004579716</v>
      </c>
    </row>
    <row r="388" spans="1:18" x14ac:dyDescent="0.25">
      <c r="A388">
        <v>907</v>
      </c>
      <c r="B388" t="str">
        <f t="shared" si="162"/>
        <v>Курск</v>
      </c>
      <c r="C388">
        <v>919671</v>
      </c>
      <c r="D388" t="str">
        <f t="shared" si="157"/>
        <v>Опора</v>
      </c>
      <c r="E388" t="str">
        <f>"КИ 4654 (011)"</f>
        <v>КИ 4654 (011)</v>
      </c>
      <c r="F388" t="str">
        <f>""</f>
        <v/>
      </c>
      <c r="G388" t="str">
        <f t="shared" si="145"/>
        <v>_МС (CAB_MS)</v>
      </c>
      <c r="H388" t="str">
        <f t="shared" si="150"/>
        <v>МС 5.4</v>
      </c>
      <c r="I388" t="str">
        <f t="shared" si="161"/>
        <v>16.12.2020</v>
      </c>
      <c r="J388" t="str">
        <f>""</f>
        <v/>
      </c>
      <c r="K388" t="str">
        <f t="shared" si="158"/>
        <v>АКТ №4654</v>
      </c>
      <c r="L388" t="str">
        <f t="shared" si="159"/>
        <v>Комитет по управлению муниципальным имуществом города Курска</v>
      </c>
      <c r="M388" t="str">
        <f t="shared" si="160"/>
        <v>Неизвестно</v>
      </c>
      <c r="N388" t="str">
        <f t="shared" si="142"/>
        <v>Да</v>
      </c>
      <c r="O388" t="str">
        <f t="shared" ref="O388:O398" si="163">"[46/1589] М 5.4.5 - М 5.4.6"</f>
        <v>[46/1589] М 5.4.5 - М 5.4.6</v>
      </c>
      <c r="P388">
        <v>36.078852959999999</v>
      </c>
      <c r="Q388">
        <v>51.667983669999998</v>
      </c>
      <c r="R388" t="str">
        <f>"20000004579715"</f>
        <v>20000004579715</v>
      </c>
    </row>
    <row r="389" spans="1:18" x14ac:dyDescent="0.25">
      <c r="A389">
        <v>907</v>
      </c>
      <c r="B389" t="str">
        <f t="shared" si="162"/>
        <v>Курск</v>
      </c>
      <c r="C389">
        <v>919668</v>
      </c>
      <c r="D389" t="str">
        <f t="shared" si="157"/>
        <v>Опора</v>
      </c>
      <c r="E389" t="str">
        <f>"КИ 4654 (010)"</f>
        <v>КИ 4654 (010)</v>
      </c>
      <c r="F389" t="str">
        <f>""</f>
        <v/>
      </c>
      <c r="G389" t="str">
        <f t="shared" si="145"/>
        <v>_МС (CAB_MS)</v>
      </c>
      <c r="H389" t="str">
        <f t="shared" si="150"/>
        <v>МС 5.4</v>
      </c>
      <c r="I389" t="str">
        <f t="shared" si="161"/>
        <v>16.12.2020</v>
      </c>
      <c r="J389" t="str">
        <f>""</f>
        <v/>
      </c>
      <c r="K389" t="str">
        <f t="shared" si="158"/>
        <v>АКТ №4654</v>
      </c>
      <c r="L389" t="str">
        <f t="shared" si="159"/>
        <v>Комитет по управлению муниципальным имуществом города Курска</v>
      </c>
      <c r="M389" t="str">
        <f t="shared" si="160"/>
        <v>Неизвестно</v>
      </c>
      <c r="N389" t="str">
        <f t="shared" si="142"/>
        <v>Да</v>
      </c>
      <c r="O389" t="str">
        <f t="shared" si="163"/>
        <v>[46/1589] М 5.4.5 - М 5.4.6</v>
      </c>
      <c r="P389">
        <v>36.079528879999998</v>
      </c>
      <c r="Q389">
        <v>51.668064350000002</v>
      </c>
      <c r="R389" t="str">
        <f>"20000004579714"</f>
        <v>20000004579714</v>
      </c>
    </row>
    <row r="390" spans="1:18" x14ac:dyDescent="0.25">
      <c r="A390">
        <v>907</v>
      </c>
      <c r="B390" t="str">
        <f t="shared" si="162"/>
        <v>Курск</v>
      </c>
      <c r="C390">
        <v>919667</v>
      </c>
      <c r="D390" t="str">
        <f t="shared" si="157"/>
        <v>Опора</v>
      </c>
      <c r="E390" t="str">
        <f>"КИ 4654 (09)"</f>
        <v>КИ 4654 (09)</v>
      </c>
      <c r="F390" t="str">
        <f>""</f>
        <v/>
      </c>
      <c r="G390" t="str">
        <f t="shared" si="145"/>
        <v>_МС (CAB_MS)</v>
      </c>
      <c r="H390" t="str">
        <f t="shared" si="150"/>
        <v>МС 5.4</v>
      </c>
      <c r="I390" t="str">
        <f t="shared" si="161"/>
        <v>16.12.2020</v>
      </c>
      <c r="J390" t="str">
        <f>""</f>
        <v/>
      </c>
      <c r="K390" t="str">
        <f t="shared" si="158"/>
        <v>АКТ №4654</v>
      </c>
      <c r="L390" t="str">
        <f t="shared" si="159"/>
        <v>Комитет по управлению муниципальным имуществом города Курска</v>
      </c>
      <c r="M390" t="str">
        <f t="shared" si="160"/>
        <v>Неизвестно</v>
      </c>
      <c r="N390" t="str">
        <f t="shared" si="142"/>
        <v>Да</v>
      </c>
      <c r="O390" t="str">
        <f t="shared" si="163"/>
        <v>[46/1589] М 5.4.5 - М 5.4.6</v>
      </c>
      <c r="P390">
        <v>36.080607129999997</v>
      </c>
      <c r="Q390">
        <v>51.668168319999999</v>
      </c>
      <c r="R390" t="str">
        <f>"20000004579713"</f>
        <v>20000004579713</v>
      </c>
    </row>
    <row r="391" spans="1:18" x14ac:dyDescent="0.25">
      <c r="A391">
        <v>907</v>
      </c>
      <c r="B391" t="str">
        <f t="shared" si="162"/>
        <v>Курск</v>
      </c>
      <c r="C391">
        <v>919666</v>
      </c>
      <c r="D391" t="str">
        <f t="shared" si="157"/>
        <v>Опора</v>
      </c>
      <c r="E391" t="str">
        <f>"КИ 4654 (08)"</f>
        <v>КИ 4654 (08)</v>
      </c>
      <c r="F391" t="str">
        <f>""</f>
        <v/>
      </c>
      <c r="G391" t="str">
        <f t="shared" si="145"/>
        <v>_МС (CAB_MS)</v>
      </c>
      <c r="H391" t="str">
        <f t="shared" si="150"/>
        <v>МС 5.4</v>
      </c>
      <c r="I391" t="str">
        <f t="shared" si="161"/>
        <v>16.12.2020</v>
      </c>
      <c r="J391" t="str">
        <f>""</f>
        <v/>
      </c>
      <c r="K391" t="str">
        <f t="shared" si="158"/>
        <v>АКТ №4654</v>
      </c>
      <c r="L391" t="str">
        <f t="shared" si="159"/>
        <v>Комитет по управлению муниципальным имуществом города Курска</v>
      </c>
      <c r="M391" t="str">
        <f t="shared" si="160"/>
        <v>Неизвестно</v>
      </c>
      <c r="N391" t="str">
        <f t="shared" si="142"/>
        <v>Да</v>
      </c>
      <c r="O391" t="str">
        <f t="shared" si="163"/>
        <v>[46/1589] М 5.4.5 - М 5.4.6</v>
      </c>
      <c r="P391">
        <v>36.081850330000002</v>
      </c>
      <c r="Q391">
        <v>51.668192449999999</v>
      </c>
      <c r="R391" t="str">
        <f>"20000004579712"</f>
        <v>20000004579712</v>
      </c>
    </row>
    <row r="392" spans="1:18" x14ac:dyDescent="0.25">
      <c r="A392">
        <v>907</v>
      </c>
      <c r="B392" t="str">
        <f t="shared" si="162"/>
        <v>Курск</v>
      </c>
      <c r="C392">
        <v>919665</v>
      </c>
      <c r="D392" t="str">
        <f t="shared" si="157"/>
        <v>Опора</v>
      </c>
      <c r="E392" t="str">
        <f>"КИ 4654 (07)"</f>
        <v>КИ 4654 (07)</v>
      </c>
      <c r="F392" t="str">
        <f>""</f>
        <v/>
      </c>
      <c r="G392" t="str">
        <f t="shared" si="145"/>
        <v>_МС (CAB_MS)</v>
      </c>
      <c r="H392" t="str">
        <f t="shared" si="150"/>
        <v>МС 5.4</v>
      </c>
      <c r="I392" t="str">
        <f t="shared" si="161"/>
        <v>16.12.2020</v>
      </c>
      <c r="J392" t="str">
        <f>""</f>
        <v/>
      </c>
      <c r="K392" t="str">
        <f t="shared" si="158"/>
        <v>АКТ №4654</v>
      </c>
      <c r="L392" t="str">
        <f t="shared" si="159"/>
        <v>Комитет по управлению муниципальным имуществом города Курска</v>
      </c>
      <c r="M392" t="str">
        <f t="shared" si="160"/>
        <v>Неизвестно</v>
      </c>
      <c r="N392" t="str">
        <f t="shared" si="142"/>
        <v>Да</v>
      </c>
      <c r="O392" t="str">
        <f t="shared" si="163"/>
        <v>[46/1589] М 5.4.5 - М 5.4.6</v>
      </c>
      <c r="P392">
        <v>36.08301307</v>
      </c>
      <c r="Q392">
        <v>51.668174980000003</v>
      </c>
      <c r="R392" t="str">
        <f>"20000004579711"</f>
        <v>20000004579711</v>
      </c>
    </row>
    <row r="393" spans="1:18" x14ac:dyDescent="0.25">
      <c r="A393">
        <v>907</v>
      </c>
      <c r="B393" t="str">
        <f t="shared" si="162"/>
        <v>Курск</v>
      </c>
      <c r="C393">
        <v>919664</v>
      </c>
      <c r="D393" t="str">
        <f t="shared" si="157"/>
        <v>Опора</v>
      </c>
      <c r="E393" t="str">
        <f>"КИ 4654 (06)"</f>
        <v>КИ 4654 (06)</v>
      </c>
      <c r="F393" t="str">
        <f>""</f>
        <v/>
      </c>
      <c r="G393" t="str">
        <f t="shared" si="145"/>
        <v>_МС (CAB_MS)</v>
      </c>
      <c r="H393" t="str">
        <f t="shared" si="150"/>
        <v>МС 5.4</v>
      </c>
      <c r="I393" t="str">
        <f t="shared" si="161"/>
        <v>16.12.2020</v>
      </c>
      <c r="J393" t="str">
        <f>""</f>
        <v/>
      </c>
      <c r="K393" t="str">
        <f t="shared" si="158"/>
        <v>АКТ №4654</v>
      </c>
      <c r="L393" t="str">
        <f t="shared" si="159"/>
        <v>Комитет по управлению муниципальным имуществом города Курска</v>
      </c>
      <c r="M393" t="str">
        <f t="shared" si="160"/>
        <v>Неизвестно</v>
      </c>
      <c r="N393" t="str">
        <f t="shared" si="142"/>
        <v>Да</v>
      </c>
      <c r="O393" t="str">
        <f t="shared" si="163"/>
        <v>[46/1589] М 5.4.5 - М 5.4.6</v>
      </c>
      <c r="P393">
        <v>36.084205310000002</v>
      </c>
      <c r="Q393">
        <v>51.668149190000001</v>
      </c>
      <c r="R393" t="str">
        <f>"20000004579710"</f>
        <v>20000004579710</v>
      </c>
    </row>
    <row r="394" spans="1:18" x14ac:dyDescent="0.25">
      <c r="A394">
        <v>907</v>
      </c>
      <c r="B394" t="str">
        <f t="shared" si="162"/>
        <v>Курск</v>
      </c>
      <c r="C394">
        <v>919663</v>
      </c>
      <c r="D394" t="str">
        <f t="shared" si="157"/>
        <v>Опора</v>
      </c>
      <c r="E394" t="str">
        <f>"КИ 4654 (05)"</f>
        <v>КИ 4654 (05)</v>
      </c>
      <c r="F394" t="str">
        <f>""</f>
        <v/>
      </c>
      <c r="G394" t="str">
        <f t="shared" si="145"/>
        <v>_МС (CAB_MS)</v>
      </c>
      <c r="H394" t="str">
        <f t="shared" si="150"/>
        <v>МС 5.4</v>
      </c>
      <c r="I394" t="str">
        <f t="shared" si="161"/>
        <v>16.12.2020</v>
      </c>
      <c r="J394" t="str">
        <f>""</f>
        <v/>
      </c>
      <c r="K394" t="str">
        <f t="shared" si="158"/>
        <v>АКТ №4654</v>
      </c>
      <c r="L394" t="str">
        <f t="shared" si="159"/>
        <v>Комитет по управлению муниципальным имуществом города Курска</v>
      </c>
      <c r="M394" t="str">
        <f t="shared" si="160"/>
        <v>Неизвестно</v>
      </c>
      <c r="N394" t="str">
        <f t="shared" ref="N394:N457" si="164">"Да"</f>
        <v>Да</v>
      </c>
      <c r="O394" t="str">
        <f t="shared" si="163"/>
        <v>[46/1589] М 5.4.5 - М 5.4.6</v>
      </c>
      <c r="P394">
        <v>36.085423030000001</v>
      </c>
      <c r="Q394">
        <v>51.668121739999997</v>
      </c>
      <c r="R394" t="str">
        <f>"20000004579709"</f>
        <v>20000004579709</v>
      </c>
    </row>
    <row r="395" spans="1:18" x14ac:dyDescent="0.25">
      <c r="A395">
        <v>907</v>
      </c>
      <c r="B395" t="str">
        <f t="shared" si="162"/>
        <v>Курск</v>
      </c>
      <c r="C395">
        <v>919662</v>
      </c>
      <c r="D395" t="str">
        <f t="shared" si="157"/>
        <v>Опора</v>
      </c>
      <c r="E395" t="str">
        <f>"КИ 4654 (04)"</f>
        <v>КИ 4654 (04)</v>
      </c>
      <c r="F395" t="str">
        <f>""</f>
        <v/>
      </c>
      <c r="G395" t="str">
        <f t="shared" si="145"/>
        <v>_МС (CAB_MS)</v>
      </c>
      <c r="H395" t="str">
        <f t="shared" si="150"/>
        <v>МС 5.4</v>
      </c>
      <c r="I395" t="str">
        <f t="shared" si="161"/>
        <v>16.12.2020</v>
      </c>
      <c r="J395" t="str">
        <f>""</f>
        <v/>
      </c>
      <c r="K395" t="str">
        <f t="shared" si="158"/>
        <v>АКТ №4654</v>
      </c>
      <c r="L395" t="str">
        <f t="shared" si="159"/>
        <v>Комитет по управлению муниципальным имуществом города Курска</v>
      </c>
      <c r="M395" t="str">
        <f t="shared" si="160"/>
        <v>Неизвестно</v>
      </c>
      <c r="N395" t="str">
        <f t="shared" si="164"/>
        <v>Да</v>
      </c>
      <c r="O395" t="str">
        <f t="shared" si="163"/>
        <v>[46/1589] М 5.4.5 - М 5.4.6</v>
      </c>
      <c r="P395">
        <v>36.086595160000002</v>
      </c>
      <c r="Q395">
        <v>51.668093460000001</v>
      </c>
      <c r="R395" t="str">
        <f>"20000004579708"</f>
        <v>20000004579708</v>
      </c>
    </row>
    <row r="396" spans="1:18" x14ac:dyDescent="0.25">
      <c r="A396">
        <v>907</v>
      </c>
      <c r="B396" t="str">
        <f t="shared" si="162"/>
        <v>Курск</v>
      </c>
      <c r="C396">
        <v>919661</v>
      </c>
      <c r="D396" t="str">
        <f t="shared" si="157"/>
        <v>Опора</v>
      </c>
      <c r="E396" t="str">
        <f>"КИ 4654 (03)"</f>
        <v>КИ 4654 (03)</v>
      </c>
      <c r="F396" t="str">
        <f>""</f>
        <v/>
      </c>
      <c r="G396" t="str">
        <f t="shared" si="145"/>
        <v>_МС (CAB_MS)</v>
      </c>
      <c r="H396" t="str">
        <f t="shared" si="150"/>
        <v>МС 5.4</v>
      </c>
      <c r="I396" t="str">
        <f t="shared" si="161"/>
        <v>16.12.2020</v>
      </c>
      <c r="J396" t="str">
        <f>""</f>
        <v/>
      </c>
      <c r="K396" t="str">
        <f t="shared" si="158"/>
        <v>АКТ №4654</v>
      </c>
      <c r="L396" t="str">
        <f t="shared" si="159"/>
        <v>Комитет по управлению муниципальным имуществом города Курска</v>
      </c>
      <c r="M396" t="str">
        <f t="shared" si="160"/>
        <v>Неизвестно</v>
      </c>
      <c r="N396" t="str">
        <f t="shared" si="164"/>
        <v>Да</v>
      </c>
      <c r="O396" t="str">
        <f t="shared" si="163"/>
        <v>[46/1589] М 5.4.5 - М 5.4.6</v>
      </c>
      <c r="P396">
        <v>36.087812880000001</v>
      </c>
      <c r="Q396">
        <v>51.668066019999998</v>
      </c>
      <c r="R396" t="str">
        <f>"20000004579707"</f>
        <v>20000004579707</v>
      </c>
    </row>
    <row r="397" spans="1:18" x14ac:dyDescent="0.25">
      <c r="A397">
        <v>907</v>
      </c>
      <c r="B397" t="str">
        <f t="shared" si="162"/>
        <v>Курск</v>
      </c>
      <c r="C397">
        <v>919660</v>
      </c>
      <c r="D397" t="str">
        <f t="shared" si="157"/>
        <v>Опора</v>
      </c>
      <c r="E397" t="str">
        <f>"КИ 4654 (02)"</f>
        <v>КИ 4654 (02)</v>
      </c>
      <c r="F397" t="str">
        <f>""</f>
        <v/>
      </c>
      <c r="G397" t="str">
        <f t="shared" si="145"/>
        <v>_МС (CAB_MS)</v>
      </c>
      <c r="H397" t="str">
        <f t="shared" si="150"/>
        <v>МС 5.4</v>
      </c>
      <c r="I397" t="str">
        <f t="shared" si="161"/>
        <v>16.12.2020</v>
      </c>
      <c r="J397" t="str">
        <f>""</f>
        <v/>
      </c>
      <c r="K397" t="str">
        <f t="shared" si="158"/>
        <v>АКТ №4654</v>
      </c>
      <c r="L397" t="str">
        <f t="shared" si="159"/>
        <v>Комитет по управлению муниципальным имуществом города Курска</v>
      </c>
      <c r="M397" t="str">
        <f t="shared" si="160"/>
        <v>Неизвестно</v>
      </c>
      <c r="N397" t="str">
        <f t="shared" si="164"/>
        <v>Да</v>
      </c>
      <c r="O397" t="str">
        <f t="shared" si="163"/>
        <v>[46/1589] М 5.4.5 - М 5.4.6</v>
      </c>
      <c r="P397">
        <v>36.089035969999998</v>
      </c>
      <c r="Q397">
        <v>51.668041889999998</v>
      </c>
      <c r="R397" t="str">
        <f>"20000004579706"</f>
        <v>20000004579706</v>
      </c>
    </row>
    <row r="398" spans="1:18" x14ac:dyDescent="0.25">
      <c r="A398">
        <v>907</v>
      </c>
      <c r="B398" t="str">
        <f t="shared" si="162"/>
        <v>Курск</v>
      </c>
      <c r="C398">
        <v>919659</v>
      </c>
      <c r="D398" t="str">
        <f t="shared" si="157"/>
        <v>Опора</v>
      </c>
      <c r="E398" t="str">
        <f>"КИ 4654 (01)"</f>
        <v>КИ 4654 (01)</v>
      </c>
      <c r="F398" t="str">
        <f>""</f>
        <v/>
      </c>
      <c r="G398" t="str">
        <f t="shared" si="145"/>
        <v>_МС (CAB_MS)</v>
      </c>
      <c r="H398" t="str">
        <f t="shared" si="150"/>
        <v>МС 5.4</v>
      </c>
      <c r="I398" t="str">
        <f t="shared" si="161"/>
        <v>16.12.2020</v>
      </c>
      <c r="J398" t="str">
        <f>""</f>
        <v/>
      </c>
      <c r="K398" t="str">
        <f t="shared" si="158"/>
        <v>АКТ №4654</v>
      </c>
      <c r="L398" t="str">
        <f t="shared" si="159"/>
        <v>Комитет по управлению муниципальным имуществом города Курска</v>
      </c>
      <c r="M398" t="str">
        <f t="shared" si="160"/>
        <v>Неизвестно</v>
      </c>
      <c r="N398" t="str">
        <f t="shared" si="164"/>
        <v>Да</v>
      </c>
      <c r="O398" t="str">
        <f t="shared" si="163"/>
        <v>[46/1589] М 5.4.5 - М 5.4.6</v>
      </c>
      <c r="P398">
        <v>36.090273809999999</v>
      </c>
      <c r="Q398">
        <v>51.668012779999998</v>
      </c>
      <c r="R398" t="str">
        <f>"20000004579705"</f>
        <v>20000004579705</v>
      </c>
    </row>
    <row r="399" spans="1:18" x14ac:dyDescent="0.25">
      <c r="A399">
        <v>907</v>
      </c>
      <c r="B399" t="str">
        <f t="shared" si="162"/>
        <v>Курск</v>
      </c>
      <c r="C399">
        <v>919856</v>
      </c>
      <c r="D399" t="str">
        <f t="shared" si="157"/>
        <v>Опора</v>
      </c>
      <c r="E399" t="str">
        <f>"КИ 4654 (139)"</f>
        <v>КИ 4654 (139)</v>
      </c>
      <c r="F399" t="str">
        <f>""</f>
        <v/>
      </c>
      <c r="G399" t="str">
        <f t="shared" si="145"/>
        <v>_МС (CAB_MS)</v>
      </c>
      <c r="H399" t="str">
        <f>"МС 5.5"</f>
        <v>МС 5.5</v>
      </c>
      <c r="I399" t="str">
        <f>"17.12.2020"</f>
        <v>17.12.2020</v>
      </c>
      <c r="J399" t="str">
        <f>""</f>
        <v/>
      </c>
      <c r="K399" t="str">
        <f t="shared" si="158"/>
        <v>АКТ №4654</v>
      </c>
      <c r="L399" t="str">
        <f t="shared" si="159"/>
        <v>Комитет по управлению муниципальным имуществом города Курска</v>
      </c>
      <c r="M399" t="str">
        <f t="shared" si="160"/>
        <v>Неизвестно</v>
      </c>
      <c r="N399" t="str">
        <f t="shared" si="164"/>
        <v>Да</v>
      </c>
      <c r="O399" t="str">
        <f>"[46/2151] М 5.5.1 - М 5.5.2"</f>
        <v>[46/2151] М 5.5.1 - М 5.5.2</v>
      </c>
      <c r="P399">
        <v>36.069769059999999</v>
      </c>
      <c r="Q399">
        <v>51.667611209999997</v>
      </c>
      <c r="R399" t="str">
        <f>"20000004579728"</f>
        <v>20000004579728</v>
      </c>
    </row>
    <row r="400" spans="1:18" x14ac:dyDescent="0.25">
      <c r="A400">
        <v>907</v>
      </c>
      <c r="B400" t="str">
        <f t="shared" si="162"/>
        <v>Курск</v>
      </c>
      <c r="C400">
        <v>859940</v>
      </c>
      <c r="D400" t="str">
        <f t="shared" ref="D400:D431" si="165">"Опора контактной сети"</f>
        <v>Опора контактной сети</v>
      </c>
      <c r="E400" t="str">
        <f>"01/810 (55)"</f>
        <v>01/810 (55)</v>
      </c>
      <c r="F400" t="str">
        <f>""</f>
        <v/>
      </c>
      <c r="G400" t="str">
        <f t="shared" ref="G400:G463" si="166">"_МС (CAB_MS)"</f>
        <v>_МС (CAB_MS)</v>
      </c>
      <c r="H400" t="str">
        <f t="shared" ref="H400:H431" si="167">"МС 5.6"</f>
        <v>МС 5.6</v>
      </c>
      <c r="I400" t="str">
        <f t="shared" ref="I400:I410" si="168">"23.05.2013"</f>
        <v>23.05.2013</v>
      </c>
      <c r="J400" t="str">
        <f>""</f>
        <v/>
      </c>
      <c r="K400" t="str">
        <f t="shared" ref="K400:K410" si="169">"ТУ №01/810"</f>
        <v>ТУ №01/810</v>
      </c>
      <c r="L400" t="str">
        <f t="shared" ref="L400:L431" si="170">"МУП ""Курскэлектротранс"""</f>
        <v>МУП "Курскэлектротранс"</v>
      </c>
      <c r="M400" t="str">
        <f t="shared" ref="M400:M410" si="171">"Да"</f>
        <v>Да</v>
      </c>
      <c r="N400" t="str">
        <f t="shared" si="164"/>
        <v>Да</v>
      </c>
      <c r="O400" t="str">
        <f>"[46/2768] М 5.6.8 - М 5.6.2, [46/1882] М 5.6.2 - ГОК5.6.5.1 Курск, Магистральный Проезд, 8  п. 2, [46/1883] М 5.6.2 - М 5.6.3"</f>
        <v>[46/2768] М 5.6.8 - М 5.6.2, [46/1882] М 5.6.2 - ГОК5.6.5.1 Курск, Магистральный Проезд, 8  п. 2, [46/1883] М 5.6.2 - М 5.6.3</v>
      </c>
      <c r="P400">
        <v>36.134497230000001</v>
      </c>
      <c r="Q400">
        <v>51.649870880000002</v>
      </c>
      <c r="R400" t="str">
        <f>"20000004579168"</f>
        <v>20000004579168</v>
      </c>
    </row>
    <row r="401" spans="1:18" x14ac:dyDescent="0.25">
      <c r="A401">
        <v>907</v>
      </c>
      <c r="B401" t="str">
        <f t="shared" si="162"/>
        <v>Курск</v>
      </c>
      <c r="C401">
        <v>859938</v>
      </c>
      <c r="D401" t="str">
        <f t="shared" si="165"/>
        <v>Опора контактной сети</v>
      </c>
      <c r="E401" t="str">
        <f>"01/810 (54)"</f>
        <v>01/810 (54)</v>
      </c>
      <c r="F401" t="str">
        <f>""</f>
        <v/>
      </c>
      <c r="G401" t="str">
        <f t="shared" si="166"/>
        <v>_МС (CAB_MS)</v>
      </c>
      <c r="H401" t="str">
        <f t="shared" si="167"/>
        <v>МС 5.6</v>
      </c>
      <c r="I401" t="str">
        <f t="shared" si="168"/>
        <v>23.05.2013</v>
      </c>
      <c r="J401" t="str">
        <f>""</f>
        <v/>
      </c>
      <c r="K401" t="str">
        <f t="shared" si="169"/>
        <v>ТУ №01/810</v>
      </c>
      <c r="L401" t="str">
        <f t="shared" si="170"/>
        <v>МУП "Курскэлектротранс"</v>
      </c>
      <c r="M401" t="str">
        <f t="shared" si="171"/>
        <v>Да</v>
      </c>
      <c r="N401" t="str">
        <f t="shared" si="164"/>
        <v>Да</v>
      </c>
      <c r="O401" t="str">
        <f t="shared" ref="O401:O409" si="172">"[46/2768] М 5.6.8 - М 5.6.2"</f>
        <v>[46/2768] М 5.6.8 - М 5.6.2</v>
      </c>
      <c r="P401">
        <v>36.133593320000003</v>
      </c>
      <c r="Q401">
        <v>51.649947429999997</v>
      </c>
      <c r="R401" t="str">
        <f>"20000004579166"</f>
        <v>20000004579166</v>
      </c>
    </row>
    <row r="402" spans="1:18" x14ac:dyDescent="0.25">
      <c r="A402">
        <v>907</v>
      </c>
      <c r="B402" t="str">
        <f t="shared" si="162"/>
        <v>Курск</v>
      </c>
      <c r="C402">
        <v>859937</v>
      </c>
      <c r="D402" t="str">
        <f t="shared" si="165"/>
        <v>Опора контактной сети</v>
      </c>
      <c r="E402" t="str">
        <f>"01/810 (53)"</f>
        <v>01/810 (53)</v>
      </c>
      <c r="F402" t="str">
        <f>""</f>
        <v/>
      </c>
      <c r="G402" t="str">
        <f t="shared" si="166"/>
        <v>_МС (CAB_MS)</v>
      </c>
      <c r="H402" t="str">
        <f t="shared" si="167"/>
        <v>МС 5.6</v>
      </c>
      <c r="I402" t="str">
        <f t="shared" si="168"/>
        <v>23.05.2013</v>
      </c>
      <c r="J402" t="str">
        <f>""</f>
        <v/>
      </c>
      <c r="K402" t="str">
        <f t="shared" si="169"/>
        <v>ТУ №01/810</v>
      </c>
      <c r="L402" t="str">
        <f t="shared" si="170"/>
        <v>МУП "Курскэлектротранс"</v>
      </c>
      <c r="M402" t="str">
        <f t="shared" si="171"/>
        <v>Да</v>
      </c>
      <c r="N402" t="str">
        <f t="shared" si="164"/>
        <v>Да</v>
      </c>
      <c r="O402" t="str">
        <f t="shared" si="172"/>
        <v>[46/2768] М 5.6.8 - М 5.6.2</v>
      </c>
      <c r="P402">
        <v>36.133158799999997</v>
      </c>
      <c r="Q402">
        <v>51.649990699999996</v>
      </c>
      <c r="R402" t="str">
        <f>"20000004579165"</f>
        <v>20000004579165</v>
      </c>
    </row>
    <row r="403" spans="1:18" x14ac:dyDescent="0.25">
      <c r="A403">
        <v>907</v>
      </c>
      <c r="B403" t="str">
        <f t="shared" si="162"/>
        <v>Курск</v>
      </c>
      <c r="C403">
        <v>859936</v>
      </c>
      <c r="D403" t="str">
        <f t="shared" si="165"/>
        <v>Опора контактной сети</v>
      </c>
      <c r="E403" t="str">
        <f>"01/810 (52)"</f>
        <v>01/810 (52)</v>
      </c>
      <c r="F403" t="str">
        <f>""</f>
        <v/>
      </c>
      <c r="G403" t="str">
        <f t="shared" si="166"/>
        <v>_МС (CAB_MS)</v>
      </c>
      <c r="H403" t="str">
        <f t="shared" si="167"/>
        <v>МС 5.6</v>
      </c>
      <c r="I403" t="str">
        <f t="shared" si="168"/>
        <v>23.05.2013</v>
      </c>
      <c r="J403" t="str">
        <f>""</f>
        <v/>
      </c>
      <c r="K403" t="str">
        <f t="shared" si="169"/>
        <v>ТУ №01/810</v>
      </c>
      <c r="L403" t="str">
        <f t="shared" si="170"/>
        <v>МУП "Курскэлектротранс"</v>
      </c>
      <c r="M403" t="str">
        <f t="shared" si="171"/>
        <v>Да</v>
      </c>
      <c r="N403" t="str">
        <f t="shared" si="164"/>
        <v>Да</v>
      </c>
      <c r="O403" t="str">
        <f t="shared" si="172"/>
        <v>[46/2768] М 5.6.8 - М 5.6.2</v>
      </c>
      <c r="P403">
        <v>36.132740380000001</v>
      </c>
      <c r="Q403">
        <v>51.650030639999997</v>
      </c>
      <c r="R403" t="str">
        <f>"20000004579164"</f>
        <v>20000004579164</v>
      </c>
    </row>
    <row r="404" spans="1:18" x14ac:dyDescent="0.25">
      <c r="A404">
        <v>907</v>
      </c>
      <c r="B404" t="str">
        <f t="shared" si="162"/>
        <v>Курск</v>
      </c>
      <c r="C404">
        <v>859935</v>
      </c>
      <c r="D404" t="str">
        <f t="shared" si="165"/>
        <v>Опора контактной сети</v>
      </c>
      <c r="E404" t="str">
        <f>"01/810 (51)"</f>
        <v>01/810 (51)</v>
      </c>
      <c r="F404" t="str">
        <f>""</f>
        <v/>
      </c>
      <c r="G404" t="str">
        <f t="shared" si="166"/>
        <v>_МС (CAB_MS)</v>
      </c>
      <c r="H404" t="str">
        <f t="shared" si="167"/>
        <v>МС 5.6</v>
      </c>
      <c r="I404" t="str">
        <f t="shared" si="168"/>
        <v>23.05.2013</v>
      </c>
      <c r="J404" t="str">
        <f>""</f>
        <v/>
      </c>
      <c r="K404" t="str">
        <f t="shared" si="169"/>
        <v>ТУ №01/810</v>
      </c>
      <c r="L404" t="str">
        <f t="shared" si="170"/>
        <v>МУП "Курскэлектротранс"</v>
      </c>
      <c r="M404" t="str">
        <f t="shared" si="171"/>
        <v>Да</v>
      </c>
      <c r="N404" t="str">
        <f t="shared" si="164"/>
        <v>Да</v>
      </c>
      <c r="O404" t="str">
        <f t="shared" si="172"/>
        <v>[46/2768] М 5.6.8 - М 5.6.2</v>
      </c>
      <c r="P404">
        <v>36.132316590000002</v>
      </c>
      <c r="Q404">
        <v>51.650077240000002</v>
      </c>
      <c r="R404" t="str">
        <f>"20000004579163"</f>
        <v>20000004579163</v>
      </c>
    </row>
    <row r="405" spans="1:18" x14ac:dyDescent="0.25">
      <c r="A405">
        <v>907</v>
      </c>
      <c r="B405" t="str">
        <f t="shared" si="162"/>
        <v>Курск</v>
      </c>
      <c r="C405">
        <v>859934</v>
      </c>
      <c r="D405" t="str">
        <f t="shared" si="165"/>
        <v>Опора контактной сети</v>
      </c>
      <c r="E405" t="str">
        <f>"01/810 (48)"</f>
        <v>01/810 (48)</v>
      </c>
      <c r="F405" t="str">
        <f>""</f>
        <v/>
      </c>
      <c r="G405" t="str">
        <f t="shared" si="166"/>
        <v>_МС (CAB_MS)</v>
      </c>
      <c r="H405" t="str">
        <f t="shared" si="167"/>
        <v>МС 5.6</v>
      </c>
      <c r="I405" t="str">
        <f t="shared" si="168"/>
        <v>23.05.2013</v>
      </c>
      <c r="J405" t="str">
        <f>""</f>
        <v/>
      </c>
      <c r="K405" t="str">
        <f t="shared" si="169"/>
        <v>ТУ №01/810</v>
      </c>
      <c r="L405" t="str">
        <f t="shared" si="170"/>
        <v>МУП "Курскэлектротранс"</v>
      </c>
      <c r="M405" t="str">
        <f t="shared" si="171"/>
        <v>Да</v>
      </c>
      <c r="N405" t="str">
        <f t="shared" si="164"/>
        <v>Да</v>
      </c>
      <c r="O405" t="str">
        <f t="shared" si="172"/>
        <v>[46/2768] М 5.6.8 - М 5.6.2</v>
      </c>
      <c r="P405">
        <v>36.130948660000001</v>
      </c>
      <c r="Q405">
        <v>51.650197069999997</v>
      </c>
      <c r="R405" t="str">
        <f>"20000004579162"</f>
        <v>20000004579162</v>
      </c>
    </row>
    <row r="406" spans="1:18" x14ac:dyDescent="0.25">
      <c r="A406">
        <v>907</v>
      </c>
      <c r="B406" t="str">
        <f t="shared" si="162"/>
        <v>Курск</v>
      </c>
      <c r="C406">
        <v>859933</v>
      </c>
      <c r="D406" t="str">
        <f t="shared" si="165"/>
        <v>Опора контактной сети</v>
      </c>
      <c r="E406" t="str">
        <f>"01/810 (49)"</f>
        <v>01/810 (49)</v>
      </c>
      <c r="F406" t="str">
        <f>""</f>
        <v/>
      </c>
      <c r="G406" t="str">
        <f t="shared" si="166"/>
        <v>_МС (CAB_MS)</v>
      </c>
      <c r="H406" t="str">
        <f t="shared" si="167"/>
        <v>МС 5.6</v>
      </c>
      <c r="I406" t="str">
        <f t="shared" si="168"/>
        <v>23.05.2013</v>
      </c>
      <c r="J406" t="str">
        <f>""</f>
        <v/>
      </c>
      <c r="K406" t="str">
        <f t="shared" si="169"/>
        <v>ТУ №01/810</v>
      </c>
      <c r="L406" t="str">
        <f t="shared" si="170"/>
        <v>МУП "Курскэлектротранс"</v>
      </c>
      <c r="M406" t="str">
        <f t="shared" si="171"/>
        <v>Да</v>
      </c>
      <c r="N406" t="str">
        <f t="shared" si="164"/>
        <v>Да</v>
      </c>
      <c r="O406" t="str">
        <f t="shared" si="172"/>
        <v>[46/2768] М 5.6.8 - М 5.6.2</v>
      </c>
      <c r="P406">
        <v>36.131377819999997</v>
      </c>
      <c r="Q406">
        <v>51.650160450000001</v>
      </c>
      <c r="R406" t="str">
        <f>"20000004579161"</f>
        <v>20000004579161</v>
      </c>
    </row>
    <row r="407" spans="1:18" x14ac:dyDescent="0.25">
      <c r="A407">
        <v>907</v>
      </c>
      <c r="B407" t="str">
        <f t="shared" si="162"/>
        <v>Курск</v>
      </c>
      <c r="C407">
        <v>859932</v>
      </c>
      <c r="D407" t="str">
        <f t="shared" si="165"/>
        <v>Опора контактной сети</v>
      </c>
      <c r="E407" t="str">
        <f>"01/810 (50)"</f>
        <v>01/810 (50)</v>
      </c>
      <c r="F407" t="str">
        <f>""</f>
        <v/>
      </c>
      <c r="G407" t="str">
        <f t="shared" si="166"/>
        <v>_МС (CAB_MS)</v>
      </c>
      <c r="H407" t="str">
        <f t="shared" si="167"/>
        <v>МС 5.6</v>
      </c>
      <c r="I407" t="str">
        <f t="shared" si="168"/>
        <v>23.05.2013</v>
      </c>
      <c r="J407" t="str">
        <f>""</f>
        <v/>
      </c>
      <c r="K407" t="str">
        <f t="shared" si="169"/>
        <v>ТУ №01/810</v>
      </c>
      <c r="L407" t="str">
        <f t="shared" si="170"/>
        <v>МУП "Курскэлектротранс"</v>
      </c>
      <c r="M407" t="str">
        <f t="shared" si="171"/>
        <v>Да</v>
      </c>
      <c r="N407" t="str">
        <f t="shared" si="164"/>
        <v>Да</v>
      </c>
      <c r="O407" t="str">
        <f t="shared" si="172"/>
        <v>[46/2768] М 5.6.8 - М 5.6.2</v>
      </c>
      <c r="P407">
        <v>36.13187671</v>
      </c>
      <c r="Q407">
        <v>51.650110529999999</v>
      </c>
      <c r="R407" t="str">
        <f>"20000004579160"</f>
        <v>20000004579160</v>
      </c>
    </row>
    <row r="408" spans="1:18" x14ac:dyDescent="0.25">
      <c r="A408">
        <v>907</v>
      </c>
      <c r="B408" t="str">
        <f t="shared" si="162"/>
        <v>Курск</v>
      </c>
      <c r="C408">
        <v>859931</v>
      </c>
      <c r="D408" t="str">
        <f t="shared" si="165"/>
        <v>Опора контактной сети</v>
      </c>
      <c r="E408" t="str">
        <f>"01/810 (47)"</f>
        <v>01/810 (47)</v>
      </c>
      <c r="F408" t="str">
        <f>""</f>
        <v/>
      </c>
      <c r="G408" t="str">
        <f t="shared" si="166"/>
        <v>_МС (CAB_MS)</v>
      </c>
      <c r="H408" t="str">
        <f t="shared" si="167"/>
        <v>МС 5.6</v>
      </c>
      <c r="I408" t="str">
        <f t="shared" si="168"/>
        <v>23.05.2013</v>
      </c>
      <c r="J408" t="str">
        <f>""</f>
        <v/>
      </c>
      <c r="K408" t="str">
        <f t="shared" si="169"/>
        <v>ТУ №01/810</v>
      </c>
      <c r="L408" t="str">
        <f t="shared" si="170"/>
        <v>МУП "Курскэлектротранс"</v>
      </c>
      <c r="M408" t="str">
        <f t="shared" si="171"/>
        <v>Да</v>
      </c>
      <c r="N408" t="str">
        <f t="shared" si="164"/>
        <v>Да</v>
      </c>
      <c r="O408" t="str">
        <f t="shared" si="172"/>
        <v>[46/2768] М 5.6.8 - М 5.6.2</v>
      </c>
      <c r="P408">
        <v>36.130471229999998</v>
      </c>
      <c r="Q408">
        <v>51.650253650000003</v>
      </c>
      <c r="R408" t="str">
        <f>"20000004579159"</f>
        <v>20000004579159</v>
      </c>
    </row>
    <row r="409" spans="1:18" x14ac:dyDescent="0.25">
      <c r="A409">
        <v>907</v>
      </c>
      <c r="B409" t="str">
        <f t="shared" si="162"/>
        <v>Курск</v>
      </c>
      <c r="C409">
        <v>859930</v>
      </c>
      <c r="D409" t="str">
        <f t="shared" si="165"/>
        <v>Опора контактной сети</v>
      </c>
      <c r="E409" t="str">
        <f>"01/810 (46)"</f>
        <v>01/810 (46)</v>
      </c>
      <c r="F409" t="str">
        <f>""</f>
        <v/>
      </c>
      <c r="G409" t="str">
        <f t="shared" si="166"/>
        <v>_МС (CAB_MS)</v>
      </c>
      <c r="H409" t="str">
        <f t="shared" si="167"/>
        <v>МС 5.6</v>
      </c>
      <c r="I409" t="str">
        <f t="shared" si="168"/>
        <v>23.05.2013</v>
      </c>
      <c r="J409" t="str">
        <f>""</f>
        <v/>
      </c>
      <c r="K409" t="str">
        <f t="shared" si="169"/>
        <v>ТУ №01/810</v>
      </c>
      <c r="L409" t="str">
        <f t="shared" si="170"/>
        <v>МУП "Курскэлектротранс"</v>
      </c>
      <c r="M409" t="str">
        <f t="shared" si="171"/>
        <v>Да</v>
      </c>
      <c r="N409" t="str">
        <f t="shared" si="164"/>
        <v>Да</v>
      </c>
      <c r="O409" t="str">
        <f t="shared" si="172"/>
        <v>[46/2768] М 5.6.8 - М 5.6.2</v>
      </c>
      <c r="P409">
        <v>36.130009889999997</v>
      </c>
      <c r="Q409">
        <v>51.650296920000002</v>
      </c>
      <c r="R409" t="str">
        <f>"20000004579158"</f>
        <v>20000004579158</v>
      </c>
    </row>
    <row r="410" spans="1:18" x14ac:dyDescent="0.25">
      <c r="A410">
        <v>907</v>
      </c>
      <c r="B410" t="str">
        <f t="shared" si="162"/>
        <v>Курск</v>
      </c>
      <c r="C410">
        <v>859929</v>
      </c>
      <c r="D410" t="str">
        <f t="shared" si="165"/>
        <v>Опора контактной сети</v>
      </c>
      <c r="E410" t="str">
        <f>"01/810 (45)"</f>
        <v>01/810 (45)</v>
      </c>
      <c r="F410" t="str">
        <f>""</f>
        <v/>
      </c>
      <c r="G410" t="str">
        <f t="shared" si="166"/>
        <v>_МС (CAB_MS)</v>
      </c>
      <c r="H410" t="str">
        <f t="shared" si="167"/>
        <v>МС 5.6</v>
      </c>
      <c r="I410" t="str">
        <f t="shared" si="168"/>
        <v>23.05.2013</v>
      </c>
      <c r="J410" t="str">
        <f>""</f>
        <v/>
      </c>
      <c r="K410" t="str">
        <f t="shared" si="169"/>
        <v>ТУ №01/810</v>
      </c>
      <c r="L410" t="str">
        <f t="shared" si="170"/>
        <v>МУП "Курскэлектротранс"</v>
      </c>
      <c r="M410" t="str">
        <f t="shared" si="171"/>
        <v>Да</v>
      </c>
      <c r="N410" t="str">
        <f t="shared" si="164"/>
        <v>Да</v>
      </c>
      <c r="O410" t="str">
        <f>"[46/2768] М 5.6.8 - М 5.6.2, [46/2769] М 5.6.7 - М 5.6.8"</f>
        <v>[46/2768] М 5.6.8 - М 5.6.2, [46/2769] М 5.6.7 - М 5.6.8</v>
      </c>
      <c r="P410">
        <v>36.129785929999997</v>
      </c>
      <c r="Q410">
        <v>51.650183749999997</v>
      </c>
      <c r="R410" t="str">
        <f>"20000004579157"</f>
        <v>20000004579157</v>
      </c>
    </row>
    <row r="411" spans="1:18" x14ac:dyDescent="0.25">
      <c r="A411">
        <v>907</v>
      </c>
      <c r="B411" t="str">
        <f t="shared" si="162"/>
        <v>Курск</v>
      </c>
      <c r="C411">
        <v>922059</v>
      </c>
      <c r="D411" t="str">
        <f t="shared" si="165"/>
        <v>Опора контактной сети</v>
      </c>
      <c r="E411" t="str">
        <f>"01/810 (009)"</f>
        <v>01/810 (009)</v>
      </c>
      <c r="F411" t="str">
        <f>""</f>
        <v/>
      </c>
      <c r="G411" t="str">
        <f t="shared" si="166"/>
        <v>_МС (CAB_MS)</v>
      </c>
      <c r="H411" t="str">
        <f t="shared" si="167"/>
        <v>МС 5.6</v>
      </c>
      <c r="I411" t="str">
        <f>"11.03.2021"</f>
        <v>11.03.2021</v>
      </c>
      <c r="J411" t="str">
        <f>""</f>
        <v/>
      </c>
      <c r="K411" t="str">
        <f>"КСК-00506725"</f>
        <v>КСК-00506725</v>
      </c>
      <c r="L411" t="str">
        <f t="shared" si="170"/>
        <v>МУП "Курскэлектротранс"</v>
      </c>
      <c r="M411" t="str">
        <f>"Неизвестно"</f>
        <v>Неизвестно</v>
      </c>
      <c r="N411" t="str">
        <f t="shared" si="164"/>
        <v>Да</v>
      </c>
      <c r="O411" t="str">
        <f>"[46/2769] М 5.6.7 - М 5.6.8"</f>
        <v>[46/2769] М 5.6.7 - М 5.6.8</v>
      </c>
      <c r="P411">
        <v>36.129407059999998</v>
      </c>
      <c r="Q411">
        <v>51.650302949999997</v>
      </c>
      <c r="R411" t="str">
        <f>""</f>
        <v/>
      </c>
    </row>
    <row r="412" spans="1:18" x14ac:dyDescent="0.25">
      <c r="A412">
        <v>907</v>
      </c>
      <c r="B412" t="str">
        <f t="shared" si="162"/>
        <v>Курск</v>
      </c>
      <c r="C412">
        <v>922058</v>
      </c>
      <c r="D412" t="str">
        <f t="shared" si="165"/>
        <v>Опора контактной сети</v>
      </c>
      <c r="E412" t="str">
        <f>"01/810 (008)"</f>
        <v>01/810 (008)</v>
      </c>
      <c r="F412" t="str">
        <f>""</f>
        <v/>
      </c>
      <c r="G412" t="str">
        <f t="shared" si="166"/>
        <v>_МС (CAB_MS)</v>
      </c>
      <c r="H412" t="str">
        <f t="shared" si="167"/>
        <v>МС 5.6</v>
      </c>
      <c r="I412" t="str">
        <f>"11.03.2021"</f>
        <v>11.03.2021</v>
      </c>
      <c r="J412" t="str">
        <f>""</f>
        <v/>
      </c>
      <c r="K412" t="str">
        <f>"КСК-00506725"</f>
        <v>КСК-00506725</v>
      </c>
      <c r="L412" t="str">
        <f t="shared" si="170"/>
        <v>МУП "Курскэлектротранс"</v>
      </c>
      <c r="M412" t="str">
        <f>"Неизвестно"</f>
        <v>Неизвестно</v>
      </c>
      <c r="N412" t="str">
        <f t="shared" si="164"/>
        <v>Да</v>
      </c>
      <c r="O412" t="str">
        <f>"[46/2769] М 5.6.7 - М 5.6.8"</f>
        <v>[46/2769] М 5.6.7 - М 5.6.8</v>
      </c>
      <c r="P412">
        <v>36.12955324</v>
      </c>
      <c r="Q412">
        <v>51.65052678</v>
      </c>
      <c r="R412" t="str">
        <f>""</f>
        <v/>
      </c>
    </row>
    <row r="413" spans="1:18" x14ac:dyDescent="0.25">
      <c r="A413">
        <v>907</v>
      </c>
      <c r="B413" t="str">
        <f t="shared" si="162"/>
        <v>Курск</v>
      </c>
      <c r="C413">
        <v>922057</v>
      </c>
      <c r="D413" t="str">
        <f t="shared" si="165"/>
        <v>Опора контактной сети</v>
      </c>
      <c r="E413" t="str">
        <f>"01/810 (007)"</f>
        <v>01/810 (007)</v>
      </c>
      <c r="F413" t="str">
        <f>""</f>
        <v/>
      </c>
      <c r="G413" t="str">
        <f t="shared" si="166"/>
        <v>_МС (CAB_MS)</v>
      </c>
      <c r="H413" t="str">
        <f t="shared" si="167"/>
        <v>МС 5.6</v>
      </c>
      <c r="I413" t="str">
        <f>"11.03.2021"</f>
        <v>11.03.2021</v>
      </c>
      <c r="J413" t="str">
        <f>""</f>
        <v/>
      </c>
      <c r="K413" t="str">
        <f>"КСК-00506725"</f>
        <v>КСК-00506725</v>
      </c>
      <c r="L413" t="str">
        <f t="shared" si="170"/>
        <v>МУП "Курскэлектротранс"</v>
      </c>
      <c r="M413" t="str">
        <f>"Неизвестно"</f>
        <v>Неизвестно</v>
      </c>
      <c r="N413" t="str">
        <f t="shared" si="164"/>
        <v>Да</v>
      </c>
      <c r="O413" t="str">
        <f>"[46/1880] М 5.6.1 - М 5.6.7"</f>
        <v>[46/1880] М 5.6.1 - М 5.6.7</v>
      </c>
      <c r="P413">
        <v>36.129828170000003</v>
      </c>
      <c r="Q413">
        <v>51.65099858</v>
      </c>
      <c r="R413" t="str">
        <f>""</f>
        <v/>
      </c>
    </row>
    <row r="414" spans="1:18" x14ac:dyDescent="0.25">
      <c r="A414">
        <v>907</v>
      </c>
      <c r="B414" t="str">
        <f t="shared" si="162"/>
        <v>Курск</v>
      </c>
      <c r="C414">
        <v>922056</v>
      </c>
      <c r="D414" t="str">
        <f t="shared" si="165"/>
        <v>Опора контактной сети</v>
      </c>
      <c r="E414" t="str">
        <f>"01/810 (006)"</f>
        <v>01/810 (006)</v>
      </c>
      <c r="F414" t="str">
        <f>""</f>
        <v/>
      </c>
      <c r="G414" t="str">
        <f t="shared" si="166"/>
        <v>_МС (CAB_MS)</v>
      </c>
      <c r="H414" t="str">
        <f t="shared" si="167"/>
        <v>МС 5.6</v>
      </c>
      <c r="I414" t="str">
        <f>"11.03.2021"</f>
        <v>11.03.2021</v>
      </c>
      <c r="J414" t="str">
        <f>""</f>
        <v/>
      </c>
      <c r="K414" t="str">
        <f>"КСК-00506725"</f>
        <v>КСК-00506725</v>
      </c>
      <c r="L414" t="str">
        <f t="shared" si="170"/>
        <v>МУП "Курскэлектротранс"</v>
      </c>
      <c r="M414" t="str">
        <f>"Неизвестно"</f>
        <v>Неизвестно</v>
      </c>
      <c r="N414" t="str">
        <f t="shared" si="164"/>
        <v>Да</v>
      </c>
      <c r="O414" t="str">
        <f>"[46/1880] М 5.6.1 - М 5.6.7"</f>
        <v>[46/1880] М 5.6.1 - М 5.6.7</v>
      </c>
      <c r="P414">
        <v>36.130005199999999</v>
      </c>
      <c r="Q414">
        <v>51.651291479999998</v>
      </c>
      <c r="R414" t="str">
        <f>""</f>
        <v/>
      </c>
    </row>
    <row r="415" spans="1:18" x14ac:dyDescent="0.25">
      <c r="A415">
        <v>907</v>
      </c>
      <c r="B415" t="str">
        <f t="shared" si="162"/>
        <v>Курск</v>
      </c>
      <c r="C415">
        <v>859898</v>
      </c>
      <c r="D415" t="str">
        <f t="shared" si="165"/>
        <v>Опора контактной сети</v>
      </c>
      <c r="E415" t="str">
        <f>"01/810 (15)"</f>
        <v>01/810 (15)</v>
      </c>
      <c r="F415" t="str">
        <f>""</f>
        <v/>
      </c>
      <c r="G415" t="str">
        <f t="shared" si="166"/>
        <v>_МС (CAB_MS)</v>
      </c>
      <c r="H415" t="str">
        <f t="shared" si="167"/>
        <v>МС 5.6</v>
      </c>
      <c r="I415" t="str">
        <f t="shared" ref="I415:I429" si="173">"23.05.2013"</f>
        <v>23.05.2013</v>
      </c>
      <c r="J415" t="str">
        <f>""</f>
        <v/>
      </c>
      <c r="K415" t="str">
        <f t="shared" ref="K415:K429" si="174">"ТУ №01/810"</f>
        <v>ТУ №01/810</v>
      </c>
      <c r="L415" t="str">
        <f t="shared" si="170"/>
        <v>МУП "Курскэлектротранс"</v>
      </c>
      <c r="M415" t="str">
        <f t="shared" ref="M415:M429" si="175">"Да"</f>
        <v>Да</v>
      </c>
      <c r="N415" t="str">
        <f t="shared" si="164"/>
        <v>Да</v>
      </c>
      <c r="O415" t="str">
        <f t="shared" ref="O415:O421" si="176">"[46/3199] М 5.6.11 - М 5.6.1"</f>
        <v>[46/3199] М 5.6.11 - М 5.6.1</v>
      </c>
      <c r="P415">
        <v>36.135731040000003</v>
      </c>
      <c r="Q415">
        <v>51.660246090000001</v>
      </c>
      <c r="R415" t="str">
        <f>"20000004579127"</f>
        <v>20000004579127</v>
      </c>
    </row>
    <row r="416" spans="1:18" x14ac:dyDescent="0.25">
      <c r="A416">
        <v>907</v>
      </c>
      <c r="B416" t="str">
        <f t="shared" si="162"/>
        <v>Курск</v>
      </c>
      <c r="C416">
        <v>859897</v>
      </c>
      <c r="D416" t="str">
        <f t="shared" si="165"/>
        <v>Опора контактной сети</v>
      </c>
      <c r="E416" t="str">
        <f>"01/810 (14)"</f>
        <v>01/810 (14)</v>
      </c>
      <c r="F416" t="str">
        <f>""</f>
        <v/>
      </c>
      <c r="G416" t="str">
        <f t="shared" si="166"/>
        <v>_МС (CAB_MS)</v>
      </c>
      <c r="H416" t="str">
        <f t="shared" si="167"/>
        <v>МС 5.6</v>
      </c>
      <c r="I416" t="str">
        <f t="shared" si="173"/>
        <v>23.05.2013</v>
      </c>
      <c r="J416" t="str">
        <f>""</f>
        <v/>
      </c>
      <c r="K416" t="str">
        <f t="shared" si="174"/>
        <v>ТУ №01/810</v>
      </c>
      <c r="L416" t="str">
        <f t="shared" si="170"/>
        <v>МУП "Курскэлектротранс"</v>
      </c>
      <c r="M416" t="str">
        <f t="shared" si="175"/>
        <v>Да</v>
      </c>
      <c r="N416" t="str">
        <f t="shared" si="164"/>
        <v>Да</v>
      </c>
      <c r="O416" t="str">
        <f t="shared" si="176"/>
        <v>[46/3199] М 5.6.11 - М 5.6.1</v>
      </c>
      <c r="P416">
        <v>36.135957349999998</v>
      </c>
      <c r="Q416">
        <v>51.660576570000003</v>
      </c>
      <c r="R416" t="str">
        <f>"20000004579126"</f>
        <v>20000004579126</v>
      </c>
    </row>
    <row r="417" spans="1:18" x14ac:dyDescent="0.25">
      <c r="A417">
        <v>907</v>
      </c>
      <c r="B417" t="str">
        <f t="shared" si="162"/>
        <v>Курск</v>
      </c>
      <c r="C417">
        <v>859896</v>
      </c>
      <c r="D417" t="str">
        <f t="shared" si="165"/>
        <v>Опора контактной сети</v>
      </c>
      <c r="E417" t="str">
        <f>"01/810 (13)"</f>
        <v>01/810 (13)</v>
      </c>
      <c r="F417" t="str">
        <f>""</f>
        <v/>
      </c>
      <c r="G417" t="str">
        <f t="shared" si="166"/>
        <v>_МС (CAB_MS)</v>
      </c>
      <c r="H417" t="str">
        <f t="shared" si="167"/>
        <v>МС 5.6</v>
      </c>
      <c r="I417" t="str">
        <f t="shared" si="173"/>
        <v>23.05.2013</v>
      </c>
      <c r="J417" t="str">
        <f>""</f>
        <v/>
      </c>
      <c r="K417" t="str">
        <f t="shared" si="174"/>
        <v>ТУ №01/810</v>
      </c>
      <c r="L417" t="str">
        <f t="shared" si="170"/>
        <v>МУП "Курскэлектротранс"</v>
      </c>
      <c r="M417" t="str">
        <f t="shared" si="175"/>
        <v>Да</v>
      </c>
      <c r="N417" t="str">
        <f t="shared" si="164"/>
        <v>Да</v>
      </c>
      <c r="O417" t="str">
        <f t="shared" si="176"/>
        <v>[46/3199] М 5.6.11 - М 5.6.1</v>
      </c>
      <c r="P417">
        <v>36.136146779999997</v>
      </c>
      <c r="Q417">
        <v>51.660868360000002</v>
      </c>
      <c r="R417" t="str">
        <f>"20000004579125"</f>
        <v>20000004579125</v>
      </c>
    </row>
    <row r="418" spans="1:18" x14ac:dyDescent="0.25">
      <c r="A418">
        <v>907</v>
      </c>
      <c r="B418" t="str">
        <f t="shared" si="162"/>
        <v>Курск</v>
      </c>
      <c r="C418">
        <v>859895</v>
      </c>
      <c r="D418" t="str">
        <f t="shared" si="165"/>
        <v>Опора контактной сети</v>
      </c>
      <c r="E418" t="str">
        <f>"01/810 (12)"</f>
        <v>01/810 (12)</v>
      </c>
      <c r="F418" t="str">
        <f>""</f>
        <v/>
      </c>
      <c r="G418" t="str">
        <f t="shared" si="166"/>
        <v>_МС (CAB_MS)</v>
      </c>
      <c r="H418" t="str">
        <f t="shared" si="167"/>
        <v>МС 5.6</v>
      </c>
      <c r="I418" t="str">
        <f t="shared" si="173"/>
        <v>23.05.2013</v>
      </c>
      <c r="J418" t="str">
        <f>""</f>
        <v/>
      </c>
      <c r="K418" t="str">
        <f t="shared" si="174"/>
        <v>ТУ №01/810</v>
      </c>
      <c r="L418" t="str">
        <f t="shared" si="170"/>
        <v>МУП "Курскэлектротранс"</v>
      </c>
      <c r="M418" t="str">
        <f t="shared" si="175"/>
        <v>Да</v>
      </c>
      <c r="N418" t="str">
        <f t="shared" si="164"/>
        <v>Да</v>
      </c>
      <c r="O418" t="str">
        <f t="shared" si="176"/>
        <v>[46/3199] М 5.6.11 - М 5.6.1</v>
      </c>
      <c r="P418">
        <v>36.136948760000003</v>
      </c>
      <c r="Q418">
        <v>51.662069619999997</v>
      </c>
      <c r="R418" t="str">
        <f>"20000004579124"</f>
        <v>20000004579124</v>
      </c>
    </row>
    <row r="419" spans="1:18" x14ac:dyDescent="0.25">
      <c r="A419">
        <v>907</v>
      </c>
      <c r="B419" t="str">
        <f t="shared" si="162"/>
        <v>Курск</v>
      </c>
      <c r="C419">
        <v>859894</v>
      </c>
      <c r="D419" t="str">
        <f t="shared" si="165"/>
        <v>Опора контактной сети</v>
      </c>
      <c r="E419" t="str">
        <f>"01/810 (11)"</f>
        <v>01/810 (11)</v>
      </c>
      <c r="F419" t="str">
        <f>""</f>
        <v/>
      </c>
      <c r="G419" t="str">
        <f t="shared" si="166"/>
        <v>_МС (CAB_MS)</v>
      </c>
      <c r="H419" t="str">
        <f t="shared" si="167"/>
        <v>МС 5.6</v>
      </c>
      <c r="I419" t="str">
        <f t="shared" si="173"/>
        <v>23.05.2013</v>
      </c>
      <c r="J419" t="str">
        <f>""</f>
        <v/>
      </c>
      <c r="K419" t="str">
        <f t="shared" si="174"/>
        <v>ТУ №01/810</v>
      </c>
      <c r="L419" t="str">
        <f t="shared" si="170"/>
        <v>МУП "Курскэлектротранс"</v>
      </c>
      <c r="M419" t="str">
        <f t="shared" si="175"/>
        <v>Да</v>
      </c>
      <c r="N419" t="str">
        <f t="shared" si="164"/>
        <v>Да</v>
      </c>
      <c r="O419" t="str">
        <f t="shared" si="176"/>
        <v>[46/3199] М 5.6.11 - М 5.6.1</v>
      </c>
      <c r="P419">
        <v>36.137005090000002</v>
      </c>
      <c r="Q419">
        <v>51.662294230000001</v>
      </c>
      <c r="R419" t="str">
        <f>"20000004579123"</f>
        <v>20000004579123</v>
      </c>
    </row>
    <row r="420" spans="1:18" x14ac:dyDescent="0.25">
      <c r="A420">
        <v>907</v>
      </c>
      <c r="B420" t="str">
        <f t="shared" si="162"/>
        <v>Курск</v>
      </c>
      <c r="C420">
        <v>859893</v>
      </c>
      <c r="D420" t="str">
        <f t="shared" si="165"/>
        <v>Опора контактной сети</v>
      </c>
      <c r="E420" t="str">
        <f>"01/810 (10)"</f>
        <v>01/810 (10)</v>
      </c>
      <c r="F420" t="str">
        <f>""</f>
        <v/>
      </c>
      <c r="G420" t="str">
        <f t="shared" si="166"/>
        <v>_МС (CAB_MS)</v>
      </c>
      <c r="H420" t="str">
        <f t="shared" si="167"/>
        <v>МС 5.6</v>
      </c>
      <c r="I420" t="str">
        <f t="shared" si="173"/>
        <v>23.05.2013</v>
      </c>
      <c r="J420" t="str">
        <f>""</f>
        <v/>
      </c>
      <c r="K420" t="str">
        <f t="shared" si="174"/>
        <v>ТУ №01/810</v>
      </c>
      <c r="L420" t="str">
        <f t="shared" si="170"/>
        <v>МУП "Курскэлектротранс"</v>
      </c>
      <c r="M420" t="str">
        <f t="shared" si="175"/>
        <v>Да</v>
      </c>
      <c r="N420" t="str">
        <f t="shared" si="164"/>
        <v>Да</v>
      </c>
      <c r="O420" t="str">
        <f t="shared" si="176"/>
        <v>[46/3199] М 5.6.11 - М 5.6.1</v>
      </c>
      <c r="P420">
        <v>36.136860249999998</v>
      </c>
      <c r="Q420">
        <v>51.662517170000001</v>
      </c>
      <c r="R420" t="str">
        <f>"20000004579122"</f>
        <v>20000004579122</v>
      </c>
    </row>
    <row r="421" spans="1:18" x14ac:dyDescent="0.25">
      <c r="A421">
        <v>907</v>
      </c>
      <c r="B421" t="str">
        <f t="shared" si="162"/>
        <v>Курск</v>
      </c>
      <c r="C421">
        <v>859891</v>
      </c>
      <c r="D421" t="str">
        <f t="shared" si="165"/>
        <v>Опора контактной сети</v>
      </c>
      <c r="E421" t="str">
        <f>"01/810 (9)"</f>
        <v>01/810 (9)</v>
      </c>
      <c r="F421" t="str">
        <f>""</f>
        <v/>
      </c>
      <c r="G421" t="str">
        <f t="shared" si="166"/>
        <v>_МС (CAB_MS)</v>
      </c>
      <c r="H421" t="str">
        <f t="shared" si="167"/>
        <v>МС 5.6</v>
      </c>
      <c r="I421" t="str">
        <f t="shared" si="173"/>
        <v>23.05.2013</v>
      </c>
      <c r="J421" t="str">
        <f>""</f>
        <v/>
      </c>
      <c r="K421" t="str">
        <f t="shared" si="174"/>
        <v>ТУ №01/810</v>
      </c>
      <c r="L421" t="str">
        <f t="shared" si="170"/>
        <v>МУП "Курскэлектротранс"</v>
      </c>
      <c r="M421" t="str">
        <f t="shared" si="175"/>
        <v>Да</v>
      </c>
      <c r="N421" t="str">
        <f t="shared" si="164"/>
        <v>Да</v>
      </c>
      <c r="O421" t="str">
        <f t="shared" si="176"/>
        <v>[46/3199] М 5.6.11 - М 5.6.1</v>
      </c>
      <c r="P421">
        <v>36.136533020000002</v>
      </c>
      <c r="Q421">
        <v>51.662607010000002</v>
      </c>
      <c r="R421" t="str">
        <f>"20000004579121"</f>
        <v>20000004579121</v>
      </c>
    </row>
    <row r="422" spans="1:18" x14ac:dyDescent="0.25">
      <c r="A422">
        <v>907</v>
      </c>
      <c r="B422" t="str">
        <f t="shared" si="162"/>
        <v>Курск</v>
      </c>
      <c r="C422">
        <v>859890</v>
      </c>
      <c r="D422" t="str">
        <f t="shared" si="165"/>
        <v>Опора контактной сети</v>
      </c>
      <c r="E422" t="str">
        <f>"01/810 (3)"</f>
        <v>01/810 (3)</v>
      </c>
      <c r="F422" t="str">
        <f>""</f>
        <v/>
      </c>
      <c r="G422" t="str">
        <f t="shared" si="166"/>
        <v>_МС (CAB_MS)</v>
      </c>
      <c r="H422" t="str">
        <f t="shared" si="167"/>
        <v>МС 5.6</v>
      </c>
      <c r="I422" t="str">
        <f t="shared" si="173"/>
        <v>23.05.2013</v>
      </c>
      <c r="J422" t="str">
        <f>""</f>
        <v/>
      </c>
      <c r="K422" t="str">
        <f t="shared" si="174"/>
        <v>ТУ №01/810</v>
      </c>
      <c r="L422" t="str">
        <f t="shared" si="170"/>
        <v>МУП "Курскэлектротранс"</v>
      </c>
      <c r="M422" t="str">
        <f t="shared" si="175"/>
        <v>Да</v>
      </c>
      <c r="N422" t="str">
        <f t="shared" si="164"/>
        <v>Да</v>
      </c>
      <c r="O422" t="str">
        <f>"[46/1881] МОК5.6.1 Курск, Гагарина, 26 а п. 1 - М 5.6.11"</f>
        <v>[46/1881] МОК5.6.1 Курск, Гагарина, 26 а п. 1 - М 5.6.11</v>
      </c>
      <c r="P422">
        <v>36.137890220000003</v>
      </c>
      <c r="Q422">
        <v>51.664212499999998</v>
      </c>
      <c r="R422" t="str">
        <f>"20000004579120"</f>
        <v>20000004579120</v>
      </c>
    </row>
    <row r="423" spans="1:18" x14ac:dyDescent="0.25">
      <c r="A423">
        <v>907</v>
      </c>
      <c r="B423" t="str">
        <f t="shared" si="162"/>
        <v>Курск</v>
      </c>
      <c r="C423">
        <v>859889</v>
      </c>
      <c r="D423" t="str">
        <f t="shared" si="165"/>
        <v>Опора контактной сети</v>
      </c>
      <c r="E423" t="str">
        <f>"01/810 (8)"</f>
        <v>01/810 (8)</v>
      </c>
      <c r="F423" t="str">
        <f>""</f>
        <v/>
      </c>
      <c r="G423" t="str">
        <f t="shared" si="166"/>
        <v>_МС (CAB_MS)</v>
      </c>
      <c r="H423" t="str">
        <f t="shared" si="167"/>
        <v>МС 5.6</v>
      </c>
      <c r="I423" t="str">
        <f t="shared" si="173"/>
        <v>23.05.2013</v>
      </c>
      <c r="J423" t="str">
        <f>""</f>
        <v/>
      </c>
      <c r="K423" t="str">
        <f t="shared" si="174"/>
        <v>ТУ №01/810</v>
      </c>
      <c r="L423" t="str">
        <f t="shared" si="170"/>
        <v>МУП "Курскэлектротранс"</v>
      </c>
      <c r="M423" t="str">
        <f t="shared" si="175"/>
        <v>Да</v>
      </c>
      <c r="N423" t="str">
        <f t="shared" si="164"/>
        <v>Да</v>
      </c>
      <c r="O423" t="str">
        <f>"[46/3199] М 5.6.11 - М 5.6.1"</f>
        <v>[46/3199] М 5.6.11 - М 5.6.1</v>
      </c>
      <c r="P423">
        <v>36.136567890000002</v>
      </c>
      <c r="Q423">
        <v>51.662904820000001</v>
      </c>
      <c r="R423" t="str">
        <f>"20000004579119"</f>
        <v>20000004579119</v>
      </c>
    </row>
    <row r="424" spans="1:18" x14ac:dyDescent="0.25">
      <c r="A424">
        <v>907</v>
      </c>
      <c r="B424" t="str">
        <f t="shared" si="162"/>
        <v>Курск</v>
      </c>
      <c r="C424">
        <v>859888</v>
      </c>
      <c r="D424" t="str">
        <f t="shared" si="165"/>
        <v>Опора контактной сети</v>
      </c>
      <c r="E424" t="str">
        <f>"01/810 (7)"</f>
        <v>01/810 (7)</v>
      </c>
      <c r="F424" t="str">
        <f>""</f>
        <v/>
      </c>
      <c r="G424" t="str">
        <f t="shared" si="166"/>
        <v>_МС (CAB_MS)</v>
      </c>
      <c r="H424" t="str">
        <f t="shared" si="167"/>
        <v>МС 5.6</v>
      </c>
      <c r="I424" t="str">
        <f t="shared" si="173"/>
        <v>23.05.2013</v>
      </c>
      <c r="J424" t="str">
        <f>""</f>
        <v/>
      </c>
      <c r="K424" t="str">
        <f t="shared" si="174"/>
        <v>ТУ №01/810</v>
      </c>
      <c r="L424" t="str">
        <f t="shared" si="170"/>
        <v>МУП "Курскэлектротранс"</v>
      </c>
      <c r="M424" t="str">
        <f t="shared" si="175"/>
        <v>Да</v>
      </c>
      <c r="N424" t="str">
        <f t="shared" si="164"/>
        <v>Да</v>
      </c>
      <c r="O424" t="str">
        <f>"[46/3199] М 5.6.11 - М 5.6.1"</f>
        <v>[46/3199] М 5.6.11 - М 5.6.1</v>
      </c>
      <c r="P424">
        <v>36.136959490000002</v>
      </c>
      <c r="Q424">
        <v>51.663121109999999</v>
      </c>
      <c r="R424" t="str">
        <f>"20000004579118"</f>
        <v>20000004579118</v>
      </c>
    </row>
    <row r="425" spans="1:18" x14ac:dyDescent="0.25">
      <c r="A425">
        <v>907</v>
      </c>
      <c r="B425" t="str">
        <f t="shared" si="162"/>
        <v>Курск</v>
      </c>
      <c r="C425">
        <v>859887</v>
      </c>
      <c r="D425" t="str">
        <f t="shared" si="165"/>
        <v>Опора контактной сети</v>
      </c>
      <c r="E425" t="str">
        <f>"01/810 (6)"</f>
        <v>01/810 (6)</v>
      </c>
      <c r="F425" t="str">
        <f>""</f>
        <v/>
      </c>
      <c r="G425" t="str">
        <f t="shared" si="166"/>
        <v>_МС (CAB_MS)</v>
      </c>
      <c r="H425" t="str">
        <f t="shared" si="167"/>
        <v>МС 5.6</v>
      </c>
      <c r="I425" t="str">
        <f t="shared" si="173"/>
        <v>23.05.2013</v>
      </c>
      <c r="J425" t="str">
        <f>""</f>
        <v/>
      </c>
      <c r="K425" t="str">
        <f t="shared" si="174"/>
        <v>ТУ №01/810</v>
      </c>
      <c r="L425" t="str">
        <f t="shared" si="170"/>
        <v>МУП "Курскэлектротранс"</v>
      </c>
      <c r="M425" t="str">
        <f t="shared" si="175"/>
        <v>Да</v>
      </c>
      <c r="N425" t="str">
        <f t="shared" si="164"/>
        <v>Да</v>
      </c>
      <c r="O425" t="str">
        <f>"[46/3199] М 5.6.11 - М 5.6.1, [46/1881] МОК5.6.1 Курск, Гагарина, 26 а п. 1 - М 5.6.11"</f>
        <v>[46/3199] М 5.6.11 - М 5.6.1, [46/1881] МОК5.6.1 Курск, Гагарина, 26 а п. 1 - М 5.6.11</v>
      </c>
      <c r="P425">
        <v>36.137303209999999</v>
      </c>
      <c r="Q425">
        <v>51.663305919999999</v>
      </c>
      <c r="R425" t="str">
        <f>"20000004579117"</f>
        <v>20000004579117</v>
      </c>
    </row>
    <row r="426" spans="1:18" x14ac:dyDescent="0.25">
      <c r="A426">
        <v>907</v>
      </c>
      <c r="B426" t="str">
        <f t="shared" si="162"/>
        <v>Курск</v>
      </c>
      <c r="C426">
        <v>859886</v>
      </c>
      <c r="D426" t="str">
        <f t="shared" si="165"/>
        <v>Опора контактной сети</v>
      </c>
      <c r="E426" t="str">
        <f>"01/810 (5)"</f>
        <v>01/810 (5)</v>
      </c>
      <c r="F426" t="str">
        <f>""</f>
        <v/>
      </c>
      <c r="G426" t="str">
        <f t="shared" si="166"/>
        <v>_МС (CAB_MS)</v>
      </c>
      <c r="H426" t="str">
        <f t="shared" si="167"/>
        <v>МС 5.6</v>
      </c>
      <c r="I426" t="str">
        <f t="shared" si="173"/>
        <v>23.05.2013</v>
      </c>
      <c r="J426" t="str">
        <f>""</f>
        <v/>
      </c>
      <c r="K426" t="str">
        <f t="shared" si="174"/>
        <v>ТУ №01/810</v>
      </c>
      <c r="L426" t="str">
        <f t="shared" si="170"/>
        <v>МУП "Курскэлектротранс"</v>
      </c>
      <c r="M426" t="str">
        <f t="shared" si="175"/>
        <v>Да</v>
      </c>
      <c r="N426" t="str">
        <f t="shared" si="164"/>
        <v>Да</v>
      </c>
      <c r="O426" t="str">
        <f>"[46/1881] МОК5.6.1 Курск, Гагарина, 26 а п. 1 - М 5.6.11"</f>
        <v>[46/1881] МОК5.6.1 Курск, Гагарина, 26 а п. 1 - М 5.6.11</v>
      </c>
      <c r="P426">
        <v>36.137469109999998</v>
      </c>
      <c r="Q426">
        <v>51.663565319999996</v>
      </c>
      <c r="R426" t="str">
        <f>"20000004579116"</f>
        <v>20000004579116</v>
      </c>
    </row>
    <row r="427" spans="1:18" x14ac:dyDescent="0.25">
      <c r="A427">
        <v>907</v>
      </c>
      <c r="B427" t="str">
        <f t="shared" si="162"/>
        <v>Курск</v>
      </c>
      <c r="C427">
        <v>859885</v>
      </c>
      <c r="D427" t="str">
        <f t="shared" si="165"/>
        <v>Опора контактной сети</v>
      </c>
      <c r="E427" t="str">
        <f>"01/810 (4)"</f>
        <v>01/810 (4)</v>
      </c>
      <c r="F427" t="str">
        <f>""</f>
        <v/>
      </c>
      <c r="G427" t="str">
        <f t="shared" si="166"/>
        <v>_МС (CAB_MS)</v>
      </c>
      <c r="H427" t="str">
        <f t="shared" si="167"/>
        <v>МС 5.6</v>
      </c>
      <c r="I427" t="str">
        <f t="shared" si="173"/>
        <v>23.05.2013</v>
      </c>
      <c r="J427" t="str">
        <f>""</f>
        <v/>
      </c>
      <c r="K427" t="str">
        <f t="shared" si="174"/>
        <v>ТУ №01/810</v>
      </c>
      <c r="L427" t="str">
        <f t="shared" si="170"/>
        <v>МУП "Курскэлектротранс"</v>
      </c>
      <c r="M427" t="str">
        <f t="shared" si="175"/>
        <v>Да</v>
      </c>
      <c r="N427" t="str">
        <f t="shared" si="164"/>
        <v>Да</v>
      </c>
      <c r="O427" t="str">
        <f>"[46/1881] МОК5.6.1 Курск, Гагарина, 26 а п. 1 - М 5.6.11"</f>
        <v>[46/1881] МОК5.6.1 Курск, Гагарина, 26 а п. 1 - М 5.6.11</v>
      </c>
      <c r="P427">
        <v>36.137690059999997</v>
      </c>
      <c r="Q427">
        <v>51.663910749999999</v>
      </c>
      <c r="R427" t="str">
        <f>"20000004579115"</f>
        <v>20000004579115</v>
      </c>
    </row>
    <row r="428" spans="1:18" x14ac:dyDescent="0.25">
      <c r="A428">
        <v>907</v>
      </c>
      <c r="B428" t="str">
        <f t="shared" si="162"/>
        <v>Курск</v>
      </c>
      <c r="C428">
        <v>859884</v>
      </c>
      <c r="D428" t="str">
        <f t="shared" si="165"/>
        <v>Опора контактной сети</v>
      </c>
      <c r="E428" t="str">
        <f>"01/810 (2)"</f>
        <v>01/810 (2)</v>
      </c>
      <c r="F428" t="str">
        <f>""</f>
        <v/>
      </c>
      <c r="G428" t="str">
        <f t="shared" si="166"/>
        <v>_МС (CAB_MS)</v>
      </c>
      <c r="H428" t="str">
        <f t="shared" si="167"/>
        <v>МС 5.6</v>
      </c>
      <c r="I428" t="str">
        <f t="shared" si="173"/>
        <v>23.05.2013</v>
      </c>
      <c r="J428" t="str">
        <f>""</f>
        <v/>
      </c>
      <c r="K428" t="str">
        <f t="shared" si="174"/>
        <v>ТУ №01/810</v>
      </c>
      <c r="L428" t="str">
        <f t="shared" si="170"/>
        <v>МУП "Курскэлектротранс"</v>
      </c>
      <c r="M428" t="str">
        <f t="shared" si="175"/>
        <v>Да</v>
      </c>
      <c r="N428" t="str">
        <f t="shared" si="164"/>
        <v>Да</v>
      </c>
      <c r="O428" t="str">
        <f>"[46/1881] МОК5.6.1 Курск, Гагарина, 26 а п. 1 - М 5.6.11"</f>
        <v>[46/1881] МОК5.6.1 Курск, Гагарина, 26 а п. 1 - М 5.6.11</v>
      </c>
      <c r="P428">
        <v>36.138104800000001</v>
      </c>
      <c r="Q428">
        <v>51.664546909999999</v>
      </c>
      <c r="R428" t="str">
        <f>"20000004579114"</f>
        <v>20000004579114</v>
      </c>
    </row>
    <row r="429" spans="1:18" x14ac:dyDescent="0.25">
      <c r="A429">
        <v>907</v>
      </c>
      <c r="B429" t="str">
        <f t="shared" si="162"/>
        <v>Курск</v>
      </c>
      <c r="C429">
        <v>859883</v>
      </c>
      <c r="D429" t="str">
        <f t="shared" si="165"/>
        <v>Опора контактной сети</v>
      </c>
      <c r="E429" t="str">
        <f>"01/810 (1)"</f>
        <v>01/810 (1)</v>
      </c>
      <c r="F429" t="str">
        <f>""</f>
        <v/>
      </c>
      <c r="G429" t="str">
        <f t="shared" si="166"/>
        <v>_МС (CAB_MS)</v>
      </c>
      <c r="H429" t="str">
        <f t="shared" si="167"/>
        <v>МС 5.6</v>
      </c>
      <c r="I429" t="str">
        <f t="shared" si="173"/>
        <v>23.05.2013</v>
      </c>
      <c r="J429" t="str">
        <f>""</f>
        <v/>
      </c>
      <c r="K429" t="str">
        <f t="shared" si="174"/>
        <v>ТУ №01/810</v>
      </c>
      <c r="L429" t="str">
        <f t="shared" si="170"/>
        <v>МУП "Курскэлектротранс"</v>
      </c>
      <c r="M429" t="str">
        <f t="shared" si="175"/>
        <v>Да</v>
      </c>
      <c r="N429" t="str">
        <f t="shared" si="164"/>
        <v>Да</v>
      </c>
      <c r="O429" t="str">
        <f>"[46/1881] МОК5.6.1 Курск, Гагарина, 26 а п. 1 - М 5.6.11"</f>
        <v>[46/1881] МОК5.6.1 Курск, Гагарина, 26 а п. 1 - М 5.6.11</v>
      </c>
      <c r="P429">
        <v>36.13832206</v>
      </c>
      <c r="Q429">
        <v>51.664884630000003</v>
      </c>
      <c r="R429" t="str">
        <f>"20000004579113"</f>
        <v>20000004579113</v>
      </c>
    </row>
    <row r="430" spans="1:18" x14ac:dyDescent="0.25">
      <c r="A430">
        <v>907</v>
      </c>
      <c r="B430" t="str">
        <f t="shared" si="162"/>
        <v>Курск</v>
      </c>
      <c r="C430">
        <v>922066</v>
      </c>
      <c r="D430" t="str">
        <f t="shared" si="165"/>
        <v>Опора контактной сети</v>
      </c>
      <c r="E430" t="str">
        <f>"01/810 (0016)"</f>
        <v>01/810 (0016)</v>
      </c>
      <c r="F430" t="str">
        <f>""</f>
        <v/>
      </c>
      <c r="G430" t="str">
        <f t="shared" si="166"/>
        <v>_МС (CAB_MS)</v>
      </c>
      <c r="H430" t="str">
        <f t="shared" si="167"/>
        <v>МС 5.6</v>
      </c>
      <c r="I430" t="str">
        <f t="shared" ref="I430:I435" si="177">"11.03.2021"</f>
        <v>11.03.2021</v>
      </c>
      <c r="J430" t="str">
        <f>""</f>
        <v/>
      </c>
      <c r="K430" t="str">
        <f t="shared" ref="K430:K435" si="178">"КСК-00506725"</f>
        <v>КСК-00506725</v>
      </c>
      <c r="L430" t="str">
        <f t="shared" si="170"/>
        <v>МУП "Курскэлектротранс"</v>
      </c>
      <c r="M430" t="str">
        <f t="shared" ref="M430:M435" si="179">"Неизвестно"</f>
        <v>Неизвестно</v>
      </c>
      <c r="N430" t="str">
        <f t="shared" si="164"/>
        <v>Да</v>
      </c>
      <c r="O430" t="str">
        <f>"[46/1885] М 5.6.3 - М 5.6.4"</f>
        <v>[46/1885] М 5.6.3 - М 5.6.4</v>
      </c>
      <c r="P430">
        <v>36.13984756</v>
      </c>
      <c r="Q430">
        <v>51.649311070000003</v>
      </c>
      <c r="R430" t="str">
        <f>""</f>
        <v/>
      </c>
    </row>
    <row r="431" spans="1:18" x14ac:dyDescent="0.25">
      <c r="A431">
        <v>907</v>
      </c>
      <c r="B431" t="str">
        <f t="shared" si="162"/>
        <v>Курск</v>
      </c>
      <c r="C431">
        <v>922065</v>
      </c>
      <c r="D431" t="str">
        <f t="shared" si="165"/>
        <v>Опора контактной сети</v>
      </c>
      <c r="E431" t="str">
        <f>"01/810 (0015)"</f>
        <v>01/810 (0015)</v>
      </c>
      <c r="F431" t="str">
        <f>""</f>
        <v/>
      </c>
      <c r="G431" t="str">
        <f t="shared" si="166"/>
        <v>_МС (CAB_MS)</v>
      </c>
      <c r="H431" t="str">
        <f t="shared" si="167"/>
        <v>МС 5.6</v>
      </c>
      <c r="I431" t="str">
        <f t="shared" si="177"/>
        <v>11.03.2021</v>
      </c>
      <c r="J431" t="str">
        <f>""</f>
        <v/>
      </c>
      <c r="K431" t="str">
        <f t="shared" si="178"/>
        <v>КСК-00506725</v>
      </c>
      <c r="L431" t="str">
        <f t="shared" si="170"/>
        <v>МУП "Курскэлектротранс"</v>
      </c>
      <c r="M431" t="str">
        <f t="shared" si="179"/>
        <v>Неизвестно</v>
      </c>
      <c r="N431" t="str">
        <f t="shared" si="164"/>
        <v>Да</v>
      </c>
      <c r="O431" t="str">
        <f>"[46/1885] М 5.6.3 - М 5.6.4"</f>
        <v>[46/1885] М 5.6.3 - М 5.6.4</v>
      </c>
      <c r="P431">
        <v>36.139477419999999</v>
      </c>
      <c r="Q431">
        <v>51.649342699999998</v>
      </c>
      <c r="R431" t="str">
        <f>""</f>
        <v/>
      </c>
    </row>
    <row r="432" spans="1:18" x14ac:dyDescent="0.25">
      <c r="A432">
        <v>907</v>
      </c>
      <c r="B432" t="str">
        <f t="shared" si="162"/>
        <v>Курск</v>
      </c>
      <c r="C432">
        <v>922064</v>
      </c>
      <c r="D432" t="str">
        <f t="shared" ref="D432:D463" si="180">"Опора контактной сети"</f>
        <v>Опора контактной сети</v>
      </c>
      <c r="E432" t="str">
        <f>"01/810 (0014)"</f>
        <v>01/810 (0014)</v>
      </c>
      <c r="F432" t="str">
        <f>""</f>
        <v/>
      </c>
      <c r="G432" t="str">
        <f t="shared" si="166"/>
        <v>_МС (CAB_MS)</v>
      </c>
      <c r="H432" t="str">
        <f t="shared" ref="H432:H463" si="181">"МС 5.6"</f>
        <v>МС 5.6</v>
      </c>
      <c r="I432" t="str">
        <f t="shared" si="177"/>
        <v>11.03.2021</v>
      </c>
      <c r="J432" t="str">
        <f>""</f>
        <v/>
      </c>
      <c r="K432" t="str">
        <f t="shared" si="178"/>
        <v>КСК-00506725</v>
      </c>
      <c r="L432" t="str">
        <f t="shared" ref="L432:L463" si="182">"МУП ""Курскэлектротранс"""</f>
        <v>МУП "Курскэлектротранс"</v>
      </c>
      <c r="M432" t="str">
        <f t="shared" si="179"/>
        <v>Неизвестно</v>
      </c>
      <c r="N432" t="str">
        <f t="shared" si="164"/>
        <v>Да</v>
      </c>
      <c r="O432" t="str">
        <f>"[46/1885] М 5.6.3 - М 5.6.4"</f>
        <v>[46/1885] М 5.6.3 - М 5.6.4</v>
      </c>
      <c r="P432">
        <v>36.139134089999999</v>
      </c>
      <c r="Q432">
        <v>51.649380970000003</v>
      </c>
      <c r="R432" t="str">
        <f>""</f>
        <v/>
      </c>
    </row>
    <row r="433" spans="1:18" x14ac:dyDescent="0.25">
      <c r="A433">
        <v>907</v>
      </c>
      <c r="B433" t="str">
        <f t="shared" si="162"/>
        <v>Курск</v>
      </c>
      <c r="C433">
        <v>922063</v>
      </c>
      <c r="D433" t="str">
        <f t="shared" si="180"/>
        <v>Опора контактной сети</v>
      </c>
      <c r="E433" t="str">
        <f>"01/810 (0013)"</f>
        <v>01/810 (0013)</v>
      </c>
      <c r="F433" t="str">
        <f>""</f>
        <v/>
      </c>
      <c r="G433" t="str">
        <f t="shared" si="166"/>
        <v>_МС (CAB_MS)</v>
      </c>
      <c r="H433" t="str">
        <f t="shared" si="181"/>
        <v>МС 5.6</v>
      </c>
      <c r="I433" t="str">
        <f t="shared" si="177"/>
        <v>11.03.2021</v>
      </c>
      <c r="J433" t="str">
        <f>""</f>
        <v/>
      </c>
      <c r="K433" t="str">
        <f t="shared" si="178"/>
        <v>КСК-00506725</v>
      </c>
      <c r="L433" t="str">
        <f t="shared" si="182"/>
        <v>МУП "Курскэлектротранс"</v>
      </c>
      <c r="M433" t="str">
        <f t="shared" si="179"/>
        <v>Неизвестно</v>
      </c>
      <c r="N433" t="str">
        <f t="shared" si="164"/>
        <v>Да</v>
      </c>
      <c r="O433" t="str">
        <f>"[46/1885] М 5.6.3 - М 5.6.4"</f>
        <v>[46/1885] М 5.6.3 - М 5.6.4</v>
      </c>
      <c r="P433">
        <v>36.138763949999998</v>
      </c>
      <c r="Q433">
        <v>51.64941426</v>
      </c>
      <c r="R433" t="str">
        <f>""</f>
        <v/>
      </c>
    </row>
    <row r="434" spans="1:18" x14ac:dyDescent="0.25">
      <c r="A434">
        <v>907</v>
      </c>
      <c r="B434" t="str">
        <f t="shared" si="162"/>
        <v>Курск</v>
      </c>
      <c r="C434">
        <v>922062</v>
      </c>
      <c r="D434" t="str">
        <f t="shared" si="180"/>
        <v>Опора контактной сети</v>
      </c>
      <c r="E434" t="str">
        <f>"01/810 (0012)"</f>
        <v>01/810 (0012)</v>
      </c>
      <c r="F434" t="str">
        <f>""</f>
        <v/>
      </c>
      <c r="G434" t="str">
        <f t="shared" si="166"/>
        <v>_МС (CAB_MS)</v>
      </c>
      <c r="H434" t="str">
        <f t="shared" si="181"/>
        <v>МС 5.6</v>
      </c>
      <c r="I434" t="str">
        <f t="shared" si="177"/>
        <v>11.03.2021</v>
      </c>
      <c r="J434" t="str">
        <f>""</f>
        <v/>
      </c>
      <c r="K434" t="str">
        <f t="shared" si="178"/>
        <v>КСК-00506725</v>
      </c>
      <c r="L434" t="str">
        <f t="shared" si="182"/>
        <v>МУП "Курскэлектротранс"</v>
      </c>
      <c r="M434" t="str">
        <f t="shared" si="179"/>
        <v>Неизвестно</v>
      </c>
      <c r="N434" t="str">
        <f t="shared" si="164"/>
        <v>Да</v>
      </c>
      <c r="O434" t="str">
        <f>"[46/1885] М 5.6.3 - М 5.6.4"</f>
        <v>[46/1885] М 5.6.3 - М 5.6.4</v>
      </c>
      <c r="P434">
        <v>36.138407219999998</v>
      </c>
      <c r="Q434">
        <v>51.649452529999998</v>
      </c>
      <c r="R434" t="str">
        <f>""</f>
        <v/>
      </c>
    </row>
    <row r="435" spans="1:18" x14ac:dyDescent="0.25">
      <c r="A435">
        <v>907</v>
      </c>
      <c r="B435" t="str">
        <f t="shared" si="162"/>
        <v>Курск</v>
      </c>
      <c r="C435">
        <v>922060</v>
      </c>
      <c r="D435" t="str">
        <f t="shared" si="180"/>
        <v>Опора контактной сети</v>
      </c>
      <c r="E435" t="str">
        <f>"01/810 (0010)"</f>
        <v>01/810 (0010)</v>
      </c>
      <c r="F435" t="str">
        <f>""</f>
        <v/>
      </c>
      <c r="G435" t="str">
        <f t="shared" si="166"/>
        <v>_МС (CAB_MS)</v>
      </c>
      <c r="H435" t="str">
        <f t="shared" si="181"/>
        <v>МС 5.6</v>
      </c>
      <c r="I435" t="str">
        <f t="shared" si="177"/>
        <v>11.03.2021</v>
      </c>
      <c r="J435" t="str">
        <f>""</f>
        <v/>
      </c>
      <c r="K435" t="str">
        <f t="shared" si="178"/>
        <v>КСК-00506725</v>
      </c>
      <c r="L435" t="str">
        <f t="shared" si="182"/>
        <v>МУП "Курскэлектротранс"</v>
      </c>
      <c r="M435" t="str">
        <f t="shared" si="179"/>
        <v>Неизвестно</v>
      </c>
      <c r="N435" t="str">
        <f t="shared" si="164"/>
        <v>Да</v>
      </c>
      <c r="O435" t="str">
        <f>"[46/2768] М 5.6.8 - М 5.6.2"</f>
        <v>[46/2768] М 5.6.8 - М 5.6.2</v>
      </c>
      <c r="P435">
        <v>36.134037900000003</v>
      </c>
      <c r="Q435">
        <v>51.649910200000001</v>
      </c>
      <c r="R435" t="str">
        <f>""</f>
        <v/>
      </c>
    </row>
    <row r="436" spans="1:18" x14ac:dyDescent="0.25">
      <c r="A436">
        <v>907</v>
      </c>
      <c r="B436" t="str">
        <f t="shared" si="162"/>
        <v>Курск</v>
      </c>
      <c r="C436">
        <v>859946</v>
      </c>
      <c r="D436" t="str">
        <f t="shared" si="180"/>
        <v>Опора контактной сети</v>
      </c>
      <c r="E436" t="str">
        <f>"01/810 (62)"</f>
        <v>01/810 (62)</v>
      </c>
      <c r="F436" t="str">
        <f>""</f>
        <v/>
      </c>
      <c r="G436" t="str">
        <f t="shared" si="166"/>
        <v>_МС (CAB_MS)</v>
      </c>
      <c r="H436" t="str">
        <f t="shared" si="181"/>
        <v>МС 5.6</v>
      </c>
      <c r="I436" t="str">
        <f>"23.05.2013"</f>
        <v>23.05.2013</v>
      </c>
      <c r="J436" t="str">
        <f>""</f>
        <v/>
      </c>
      <c r="K436" t="str">
        <f>"ТУ №01/810"</f>
        <v>ТУ №01/810</v>
      </c>
      <c r="L436" t="str">
        <f t="shared" si="182"/>
        <v>МУП "Курскэлектротранс"</v>
      </c>
      <c r="M436" t="str">
        <f>"Да"</f>
        <v>Да</v>
      </c>
      <c r="N436" t="str">
        <f t="shared" si="164"/>
        <v>Да</v>
      </c>
      <c r="O436" t="str">
        <f>"[46/1885] М 5.6.3 - М 5.6.4"</f>
        <v>[46/1885] М 5.6.3 - М 5.6.4</v>
      </c>
      <c r="P436">
        <v>36.138037741184199</v>
      </c>
      <c r="Q436">
        <v>51.649498093255197</v>
      </c>
      <c r="R436" t="str">
        <f>"20000004579174"</f>
        <v>20000004579174</v>
      </c>
    </row>
    <row r="437" spans="1:18" x14ac:dyDescent="0.25">
      <c r="A437">
        <v>907</v>
      </c>
      <c r="B437" t="str">
        <f t="shared" si="162"/>
        <v>Курск</v>
      </c>
      <c r="C437">
        <v>859945</v>
      </c>
      <c r="D437" t="str">
        <f t="shared" si="180"/>
        <v>Опора контактной сети</v>
      </c>
      <c r="E437" t="str">
        <f>"01/810 (61)"</f>
        <v>01/810 (61)</v>
      </c>
      <c r="F437" t="str">
        <f>""</f>
        <v/>
      </c>
      <c r="G437" t="str">
        <f t="shared" si="166"/>
        <v>_МС (CAB_MS)</v>
      </c>
      <c r="H437" t="str">
        <f t="shared" si="181"/>
        <v>МС 5.6</v>
      </c>
      <c r="I437" t="str">
        <f>"23.05.2013"</f>
        <v>23.05.2013</v>
      </c>
      <c r="J437" t="str">
        <f>""</f>
        <v/>
      </c>
      <c r="K437" t="str">
        <f>"ТУ №01/810"</f>
        <v>ТУ №01/810</v>
      </c>
      <c r="L437" t="str">
        <f t="shared" si="182"/>
        <v>МУП "Курскэлектротранс"</v>
      </c>
      <c r="M437" t="str">
        <f>"Да"</f>
        <v>Да</v>
      </c>
      <c r="N437" t="str">
        <f t="shared" si="164"/>
        <v>Да</v>
      </c>
      <c r="O437" t="str">
        <f>"[46/1885] М 5.6.3 - М 5.6.4, [46/1883] М 5.6.2 - М 5.6.3, [46/1884] М 5.6.3 - ГОК5.6.1.1 Курск, Магистральный Проезд, 3  п. 3"</f>
        <v>[46/1885] М 5.6.3 - М 5.6.4, [46/1883] М 5.6.2 - М 5.6.3, [46/1884] М 5.6.3 - ГОК5.6.1.1 Курск, Магистральный Проезд, 3  п. 3</v>
      </c>
      <c r="P437">
        <v>36.137656867504099</v>
      </c>
      <c r="Q437">
        <v>51.649539699026199</v>
      </c>
      <c r="R437" t="str">
        <f>"20000004579173"</f>
        <v>20000004579173</v>
      </c>
    </row>
    <row r="438" spans="1:18" x14ac:dyDescent="0.25">
      <c r="A438">
        <v>907</v>
      </c>
      <c r="B438" t="str">
        <f t="shared" si="162"/>
        <v>Курск</v>
      </c>
      <c r="C438">
        <v>922055</v>
      </c>
      <c r="D438" t="str">
        <f t="shared" si="180"/>
        <v>Опора контактной сети</v>
      </c>
      <c r="E438" t="str">
        <f>"01/810 (005)"</f>
        <v>01/810 (005)</v>
      </c>
      <c r="F438" t="str">
        <f>""</f>
        <v/>
      </c>
      <c r="G438" t="str">
        <f t="shared" si="166"/>
        <v>_МС (CAB_MS)</v>
      </c>
      <c r="H438" t="str">
        <f t="shared" si="181"/>
        <v>МС 5.6</v>
      </c>
      <c r="I438" t="str">
        <f>"11.03.2021"</f>
        <v>11.03.2021</v>
      </c>
      <c r="J438" t="str">
        <f>""</f>
        <v/>
      </c>
      <c r="K438" t="str">
        <f>"КСК-00506725"</f>
        <v>КСК-00506725</v>
      </c>
      <c r="L438" t="str">
        <f t="shared" si="182"/>
        <v>МУП "Курскэлектротранс"</v>
      </c>
      <c r="M438" t="str">
        <f>"Неизвестно"</f>
        <v>Неизвестно</v>
      </c>
      <c r="N438" t="str">
        <f t="shared" si="164"/>
        <v>Да</v>
      </c>
      <c r="O438" t="str">
        <f>"[46/3199] М 5.6.11 - М 5.6.1"</f>
        <v>[46/3199] М 5.6.11 - М 5.6.1</v>
      </c>
      <c r="P438">
        <v>36.134992089999997</v>
      </c>
      <c r="Q438">
        <v>51.659097610000003</v>
      </c>
      <c r="R438" t="str">
        <f>""</f>
        <v/>
      </c>
    </row>
    <row r="439" spans="1:18" x14ac:dyDescent="0.25">
      <c r="A439">
        <v>907</v>
      </c>
      <c r="B439" t="str">
        <f t="shared" si="162"/>
        <v>Курск</v>
      </c>
      <c r="C439">
        <v>922054</v>
      </c>
      <c r="D439" t="str">
        <f t="shared" si="180"/>
        <v>Опора контактной сети</v>
      </c>
      <c r="E439" t="str">
        <f>"01/810 (004)"</f>
        <v>01/810 (004)</v>
      </c>
      <c r="F439" t="str">
        <f>""</f>
        <v/>
      </c>
      <c r="G439" t="str">
        <f t="shared" si="166"/>
        <v>_МС (CAB_MS)</v>
      </c>
      <c r="H439" t="str">
        <f t="shared" si="181"/>
        <v>МС 5.6</v>
      </c>
      <c r="I439" t="str">
        <f>"11.03.2021"</f>
        <v>11.03.2021</v>
      </c>
      <c r="J439" t="str">
        <f>""</f>
        <v/>
      </c>
      <c r="K439" t="str">
        <f>"КСК-00506725"</f>
        <v>КСК-00506725</v>
      </c>
      <c r="L439" t="str">
        <f t="shared" si="182"/>
        <v>МУП "Курскэлектротранс"</v>
      </c>
      <c r="M439" t="str">
        <f>"Неизвестно"</f>
        <v>Неизвестно</v>
      </c>
      <c r="N439" t="str">
        <f t="shared" si="164"/>
        <v>Да</v>
      </c>
      <c r="O439" t="str">
        <f>"[46/3199] М 5.6.11 - М 5.6.1"</f>
        <v>[46/3199] М 5.6.11 - М 5.6.1</v>
      </c>
      <c r="P439">
        <v>36.136336550000003</v>
      </c>
      <c r="Q439">
        <v>51.661150999999997</v>
      </c>
      <c r="R439" t="str">
        <f>""</f>
        <v/>
      </c>
    </row>
    <row r="440" spans="1:18" x14ac:dyDescent="0.25">
      <c r="A440">
        <v>907</v>
      </c>
      <c r="B440" t="str">
        <f t="shared" si="162"/>
        <v>Курск</v>
      </c>
      <c r="C440">
        <v>922053</v>
      </c>
      <c r="D440" t="str">
        <f t="shared" si="180"/>
        <v>Опора контактной сети</v>
      </c>
      <c r="E440" t="str">
        <f>"01/810 (003)"</f>
        <v>01/810 (003)</v>
      </c>
      <c r="F440" t="str">
        <f>""</f>
        <v/>
      </c>
      <c r="G440" t="str">
        <f t="shared" si="166"/>
        <v>_МС (CAB_MS)</v>
      </c>
      <c r="H440" t="str">
        <f t="shared" si="181"/>
        <v>МС 5.6</v>
      </c>
      <c r="I440" t="str">
        <f>"11.03.2021"</f>
        <v>11.03.2021</v>
      </c>
      <c r="J440" t="str">
        <f>""</f>
        <v/>
      </c>
      <c r="K440" t="str">
        <f>"КСК-00506725"</f>
        <v>КСК-00506725</v>
      </c>
      <c r="L440" t="str">
        <f t="shared" si="182"/>
        <v>МУП "Курскэлектротранс"</v>
      </c>
      <c r="M440" t="str">
        <f>"Неизвестно"</f>
        <v>Неизвестно</v>
      </c>
      <c r="N440" t="str">
        <f t="shared" si="164"/>
        <v>Да</v>
      </c>
      <c r="O440" t="str">
        <f>"[46/3199] М 5.6.11 - М 5.6.1"</f>
        <v>[46/3199] М 5.6.11 - М 5.6.1</v>
      </c>
      <c r="P440">
        <v>36.136502849999999</v>
      </c>
      <c r="Q440">
        <v>51.661410549999999</v>
      </c>
      <c r="R440" t="str">
        <f>""</f>
        <v/>
      </c>
    </row>
    <row r="441" spans="1:18" x14ac:dyDescent="0.25">
      <c r="A441">
        <v>907</v>
      </c>
      <c r="B441" t="str">
        <f t="shared" si="162"/>
        <v>Курск</v>
      </c>
      <c r="C441">
        <v>922052</v>
      </c>
      <c r="D441" t="str">
        <f t="shared" si="180"/>
        <v>Опора контактной сети</v>
      </c>
      <c r="E441" t="str">
        <f>"01/810 (002)"</f>
        <v>01/810 (002)</v>
      </c>
      <c r="F441" t="str">
        <f>""</f>
        <v/>
      </c>
      <c r="G441" t="str">
        <f t="shared" si="166"/>
        <v>_МС (CAB_MS)</v>
      </c>
      <c r="H441" t="str">
        <f t="shared" si="181"/>
        <v>МС 5.6</v>
      </c>
      <c r="I441" t="str">
        <f>"11.03.2021"</f>
        <v>11.03.2021</v>
      </c>
      <c r="J441" t="str">
        <f>""</f>
        <v/>
      </c>
      <c r="K441" t="str">
        <f>"КСК-00506725"</f>
        <v>КСК-00506725</v>
      </c>
      <c r="L441" t="str">
        <f t="shared" si="182"/>
        <v>МУП "Курскэлектротранс"</v>
      </c>
      <c r="M441" t="str">
        <f>"Неизвестно"</f>
        <v>Неизвестно</v>
      </c>
      <c r="N441" t="str">
        <f t="shared" si="164"/>
        <v>Да</v>
      </c>
      <c r="O441" t="str">
        <f>"[46/3199] М 5.6.11 - М 5.6.1"</f>
        <v>[46/3199] М 5.6.11 - М 5.6.1</v>
      </c>
      <c r="P441">
        <v>36.136671829999997</v>
      </c>
      <c r="Q441">
        <v>51.66165513</v>
      </c>
      <c r="R441" t="str">
        <f>""</f>
        <v/>
      </c>
    </row>
    <row r="442" spans="1:18" x14ac:dyDescent="0.25">
      <c r="A442">
        <v>907</v>
      </c>
      <c r="B442" t="str">
        <f t="shared" si="162"/>
        <v>Курск</v>
      </c>
      <c r="C442">
        <v>922051</v>
      </c>
      <c r="D442" t="str">
        <f t="shared" si="180"/>
        <v>Опора контактной сети</v>
      </c>
      <c r="E442" t="str">
        <f>"01/810 (001)"</f>
        <v>01/810 (001)</v>
      </c>
      <c r="F442" t="str">
        <f>""</f>
        <v/>
      </c>
      <c r="G442" t="str">
        <f t="shared" si="166"/>
        <v>_МС (CAB_MS)</v>
      </c>
      <c r="H442" t="str">
        <f t="shared" si="181"/>
        <v>МС 5.6</v>
      </c>
      <c r="I442" t="str">
        <f>"11.03.2021"</f>
        <v>11.03.2021</v>
      </c>
      <c r="J442" t="str">
        <f>""</f>
        <v/>
      </c>
      <c r="K442" t="str">
        <f>"КСК-00506725"</f>
        <v>КСК-00506725</v>
      </c>
      <c r="L442" t="str">
        <f t="shared" si="182"/>
        <v>МУП "Курскэлектротранс"</v>
      </c>
      <c r="M442" t="str">
        <f>"Неизвестно"</f>
        <v>Неизвестно</v>
      </c>
      <c r="N442" t="str">
        <f t="shared" si="164"/>
        <v>Да</v>
      </c>
      <c r="O442" t="str">
        <f>"[46/3199] М 5.6.11 - М 5.6.1"</f>
        <v>[46/3199] М 5.6.11 - М 5.6.1</v>
      </c>
      <c r="P442">
        <v>36.136808619999996</v>
      </c>
      <c r="Q442">
        <v>51.661866430000003</v>
      </c>
      <c r="R442" t="str">
        <f>""</f>
        <v/>
      </c>
    </row>
    <row r="443" spans="1:18" x14ac:dyDescent="0.25">
      <c r="A443">
        <v>907</v>
      </c>
      <c r="B443" t="str">
        <f t="shared" si="162"/>
        <v>Курск</v>
      </c>
      <c r="C443">
        <v>859928</v>
      </c>
      <c r="D443" t="str">
        <f t="shared" si="180"/>
        <v>Опора контактной сети</v>
      </c>
      <c r="E443" t="str">
        <f>"01/810 (44)"</f>
        <v>01/810 (44)</v>
      </c>
      <c r="F443" t="str">
        <f>""</f>
        <v/>
      </c>
      <c r="G443" t="str">
        <f t="shared" si="166"/>
        <v>_МС (CAB_MS)</v>
      </c>
      <c r="H443" t="str">
        <f t="shared" si="181"/>
        <v>МС 5.6</v>
      </c>
      <c r="I443" t="str">
        <f t="shared" ref="I443:I471" si="183">"23.05.2013"</f>
        <v>23.05.2013</v>
      </c>
      <c r="J443" t="str">
        <f>""</f>
        <v/>
      </c>
      <c r="K443" t="str">
        <f t="shared" ref="K443:K471" si="184">"ТУ №01/810"</f>
        <v>ТУ №01/810</v>
      </c>
      <c r="L443" t="str">
        <f t="shared" si="182"/>
        <v>МУП "Курскэлектротранс"</v>
      </c>
      <c r="M443" t="str">
        <f t="shared" ref="M443:M448" si="185">"Да"</f>
        <v>Да</v>
      </c>
      <c r="N443" t="str">
        <f t="shared" si="164"/>
        <v>Да</v>
      </c>
      <c r="O443" t="str">
        <f>"[46/2769] М 5.6.7 - М 5.6.8"</f>
        <v>[46/2769] М 5.6.7 - М 5.6.8</v>
      </c>
      <c r="P443">
        <v>36.129590790000002</v>
      </c>
      <c r="Q443">
        <v>51.650222030000002</v>
      </c>
      <c r="R443" t="str">
        <f>"20000004579156"</f>
        <v>20000004579156</v>
      </c>
    </row>
    <row r="444" spans="1:18" x14ac:dyDescent="0.25">
      <c r="A444">
        <v>907</v>
      </c>
      <c r="B444" t="str">
        <f t="shared" si="162"/>
        <v>Курск</v>
      </c>
      <c r="C444">
        <v>859927</v>
      </c>
      <c r="D444" t="str">
        <f t="shared" si="180"/>
        <v>Опора контактной сети</v>
      </c>
      <c r="E444" t="str">
        <f>"01/810 (43)"</f>
        <v>01/810 (43)</v>
      </c>
      <c r="F444" t="str">
        <f>""</f>
        <v/>
      </c>
      <c r="G444" t="str">
        <f t="shared" si="166"/>
        <v>_МС (CAB_MS)</v>
      </c>
      <c r="H444" t="str">
        <f t="shared" si="181"/>
        <v>МС 5.6</v>
      </c>
      <c r="I444" t="str">
        <f t="shared" si="183"/>
        <v>23.05.2013</v>
      </c>
      <c r="J444" t="str">
        <f>""</f>
        <v/>
      </c>
      <c r="K444" t="str">
        <f t="shared" si="184"/>
        <v>ТУ №01/810</v>
      </c>
      <c r="L444" t="str">
        <f t="shared" si="182"/>
        <v>МУП "Курскэлектротранс"</v>
      </c>
      <c r="M444" t="str">
        <f t="shared" si="185"/>
        <v>Да</v>
      </c>
      <c r="N444" t="str">
        <f t="shared" si="164"/>
        <v>Да</v>
      </c>
      <c r="O444" t="str">
        <f t="shared" ref="O444:O467" si="186">"[46/1880] М 5.6.1 - М 5.6.7"</f>
        <v>[46/1880] М 5.6.1 - М 5.6.7</v>
      </c>
      <c r="P444">
        <v>36.129669919999998</v>
      </c>
      <c r="Q444">
        <v>51.650709640000002</v>
      </c>
      <c r="R444" t="str">
        <f>"20000004579155"</f>
        <v>20000004579155</v>
      </c>
    </row>
    <row r="445" spans="1:18" x14ac:dyDescent="0.25">
      <c r="A445">
        <v>907</v>
      </c>
      <c r="B445" t="str">
        <f t="shared" si="162"/>
        <v>Курск</v>
      </c>
      <c r="C445">
        <v>859926</v>
      </c>
      <c r="D445" t="str">
        <f t="shared" si="180"/>
        <v>Опора контактной сети</v>
      </c>
      <c r="E445" t="str">
        <f>"01/810 (42)"</f>
        <v>01/810 (42)</v>
      </c>
      <c r="F445" t="str">
        <f>""</f>
        <v/>
      </c>
      <c r="G445" t="str">
        <f t="shared" si="166"/>
        <v>_МС (CAB_MS)</v>
      </c>
      <c r="H445" t="str">
        <f t="shared" si="181"/>
        <v>МС 5.6</v>
      </c>
      <c r="I445" t="str">
        <f t="shared" si="183"/>
        <v>23.05.2013</v>
      </c>
      <c r="J445" t="str">
        <f>""</f>
        <v/>
      </c>
      <c r="K445" t="str">
        <f t="shared" si="184"/>
        <v>ТУ №01/810</v>
      </c>
      <c r="L445" t="str">
        <f t="shared" si="182"/>
        <v>МУП "Курскэлектротранс"</v>
      </c>
      <c r="M445" t="str">
        <f t="shared" si="185"/>
        <v>Да</v>
      </c>
      <c r="N445" t="str">
        <f t="shared" si="164"/>
        <v>Да</v>
      </c>
      <c r="O445" t="str">
        <f t="shared" si="186"/>
        <v>[46/1880] М 5.6.1 - М 5.6.7</v>
      </c>
      <c r="P445">
        <v>36.130125219999996</v>
      </c>
      <c r="Q445">
        <v>51.651573339999999</v>
      </c>
      <c r="R445" t="str">
        <f>"20000004579154"</f>
        <v>20000004579154</v>
      </c>
    </row>
    <row r="446" spans="1:18" x14ac:dyDescent="0.25">
      <c r="A446">
        <v>907</v>
      </c>
      <c r="B446" t="str">
        <f t="shared" si="162"/>
        <v>Курск</v>
      </c>
      <c r="C446">
        <v>859925</v>
      </c>
      <c r="D446" t="str">
        <f t="shared" si="180"/>
        <v>Опора контактной сети</v>
      </c>
      <c r="E446" t="str">
        <f>"01/810 (41)"</f>
        <v>01/810 (41)</v>
      </c>
      <c r="F446" t="str">
        <f>""</f>
        <v/>
      </c>
      <c r="G446" t="str">
        <f t="shared" si="166"/>
        <v>_МС (CAB_MS)</v>
      </c>
      <c r="H446" t="str">
        <f t="shared" si="181"/>
        <v>МС 5.6</v>
      </c>
      <c r="I446" t="str">
        <f t="shared" si="183"/>
        <v>23.05.2013</v>
      </c>
      <c r="J446" t="str">
        <f>""</f>
        <v/>
      </c>
      <c r="K446" t="str">
        <f t="shared" si="184"/>
        <v>ТУ №01/810</v>
      </c>
      <c r="L446" t="str">
        <f t="shared" si="182"/>
        <v>МУП "Курскэлектротранс"</v>
      </c>
      <c r="M446" t="str">
        <f t="shared" si="185"/>
        <v>Да</v>
      </c>
      <c r="N446" t="str">
        <f t="shared" si="164"/>
        <v>Да</v>
      </c>
      <c r="O446" t="str">
        <f t="shared" si="186"/>
        <v>[46/1880] М 5.6.1 - М 5.6.7</v>
      </c>
      <c r="P446">
        <v>36.130253969999998</v>
      </c>
      <c r="Q446">
        <v>51.651940289999999</v>
      </c>
      <c r="R446" t="str">
        <f>"20000004579153"</f>
        <v>20000004579153</v>
      </c>
    </row>
    <row r="447" spans="1:18" x14ac:dyDescent="0.25">
      <c r="A447">
        <v>907</v>
      </c>
      <c r="B447" t="str">
        <f t="shared" si="162"/>
        <v>Курск</v>
      </c>
      <c r="C447">
        <v>859924</v>
      </c>
      <c r="D447" t="str">
        <f t="shared" si="180"/>
        <v>Опора контактной сети</v>
      </c>
      <c r="E447" t="str">
        <f>"01/810 (40)"</f>
        <v>01/810 (40)</v>
      </c>
      <c r="F447" t="str">
        <f>""</f>
        <v/>
      </c>
      <c r="G447" t="str">
        <f t="shared" si="166"/>
        <v>_МС (CAB_MS)</v>
      </c>
      <c r="H447" t="str">
        <f t="shared" si="181"/>
        <v>МС 5.6</v>
      </c>
      <c r="I447" t="str">
        <f t="shared" si="183"/>
        <v>23.05.2013</v>
      </c>
      <c r="J447" t="str">
        <f>""</f>
        <v/>
      </c>
      <c r="K447" t="str">
        <f t="shared" si="184"/>
        <v>ТУ №01/810</v>
      </c>
      <c r="L447" t="str">
        <f t="shared" si="182"/>
        <v>МУП "Курскэлектротранс"</v>
      </c>
      <c r="M447" t="str">
        <f t="shared" si="185"/>
        <v>Да</v>
      </c>
      <c r="N447" t="str">
        <f t="shared" si="164"/>
        <v>Да</v>
      </c>
      <c r="O447" t="str">
        <f t="shared" si="186"/>
        <v>[46/1880] М 5.6.1 - М 5.6.7</v>
      </c>
      <c r="P447">
        <v>36.130433680000003</v>
      </c>
      <c r="Q447">
        <v>51.652283930000003</v>
      </c>
      <c r="R447" t="str">
        <f>"20000004579152"</f>
        <v>20000004579152</v>
      </c>
    </row>
    <row r="448" spans="1:18" x14ac:dyDescent="0.25">
      <c r="A448">
        <v>907</v>
      </c>
      <c r="B448" t="str">
        <f t="shared" si="162"/>
        <v>Курск</v>
      </c>
      <c r="C448">
        <v>859923</v>
      </c>
      <c r="D448" t="str">
        <f t="shared" si="180"/>
        <v>Опора контактной сети</v>
      </c>
      <c r="E448" t="str">
        <f>"01/810 (39)"</f>
        <v>01/810 (39)</v>
      </c>
      <c r="F448" t="str">
        <f>""</f>
        <v/>
      </c>
      <c r="G448" t="str">
        <f t="shared" si="166"/>
        <v>_МС (CAB_MS)</v>
      </c>
      <c r="H448" t="str">
        <f t="shared" si="181"/>
        <v>МС 5.6</v>
      </c>
      <c r="I448" t="str">
        <f t="shared" si="183"/>
        <v>23.05.2013</v>
      </c>
      <c r="J448" t="str">
        <f>""</f>
        <v/>
      </c>
      <c r="K448" t="str">
        <f t="shared" si="184"/>
        <v>ТУ №01/810</v>
      </c>
      <c r="L448" t="str">
        <f t="shared" si="182"/>
        <v>МУП "Курскэлектротранс"</v>
      </c>
      <c r="M448" t="str">
        <f t="shared" si="185"/>
        <v>Да</v>
      </c>
      <c r="N448" t="str">
        <f t="shared" si="164"/>
        <v>Да</v>
      </c>
      <c r="O448" t="str">
        <f t="shared" si="186"/>
        <v>[46/1880] М 5.6.1 - М 5.6.7</v>
      </c>
      <c r="P448">
        <v>36.130645569999999</v>
      </c>
      <c r="Q448">
        <v>51.652620079999998</v>
      </c>
      <c r="R448" t="str">
        <f>"20000004579151"</f>
        <v>20000004579151</v>
      </c>
    </row>
    <row r="449" spans="1:18" x14ac:dyDescent="0.25">
      <c r="A449">
        <v>907</v>
      </c>
      <c r="B449" t="str">
        <f t="shared" si="162"/>
        <v>Курск</v>
      </c>
      <c r="C449">
        <v>859922</v>
      </c>
      <c r="D449" t="str">
        <f t="shared" si="180"/>
        <v>Опора контактной сети</v>
      </c>
      <c r="E449" t="str">
        <f>"01/810 (38)"</f>
        <v>01/810 (38)</v>
      </c>
      <c r="F449" t="str">
        <f>""</f>
        <v/>
      </c>
      <c r="G449" t="str">
        <f t="shared" si="166"/>
        <v>_МС (CAB_MS)</v>
      </c>
      <c r="H449" t="str">
        <f t="shared" si="181"/>
        <v>МС 5.6</v>
      </c>
      <c r="I449" t="str">
        <f t="shared" si="183"/>
        <v>23.05.2013</v>
      </c>
      <c r="J449" t="str">
        <f>""</f>
        <v/>
      </c>
      <c r="K449" t="str">
        <f t="shared" si="184"/>
        <v>ТУ №01/810</v>
      </c>
      <c r="L449" t="str">
        <f t="shared" si="182"/>
        <v>МУП "Курскэлектротранс"</v>
      </c>
      <c r="M449" t="str">
        <f>"Нет"</f>
        <v>Нет</v>
      </c>
      <c r="N449" t="str">
        <f t="shared" si="164"/>
        <v>Да</v>
      </c>
      <c r="O449" t="str">
        <f t="shared" si="186"/>
        <v>[46/1880] М 5.6.1 - М 5.6.7</v>
      </c>
      <c r="P449">
        <v>36.130854790000001</v>
      </c>
      <c r="Q449">
        <v>51.652944589999997</v>
      </c>
      <c r="R449" t="str">
        <f>"20000004579150"</f>
        <v>20000004579150</v>
      </c>
    </row>
    <row r="450" spans="1:18" x14ac:dyDescent="0.25">
      <c r="A450">
        <v>907</v>
      </c>
      <c r="B450" t="str">
        <f t="shared" ref="B450:B513" si="187">"Курск"</f>
        <v>Курск</v>
      </c>
      <c r="C450">
        <v>859921</v>
      </c>
      <c r="D450" t="str">
        <f t="shared" si="180"/>
        <v>Опора контактной сети</v>
      </c>
      <c r="E450" t="str">
        <f>"01/810 (37)"</f>
        <v>01/810 (37)</v>
      </c>
      <c r="F450" t="str">
        <f>""</f>
        <v/>
      </c>
      <c r="G450" t="str">
        <f t="shared" si="166"/>
        <v>_МС (CAB_MS)</v>
      </c>
      <c r="H450" t="str">
        <f t="shared" si="181"/>
        <v>МС 5.6</v>
      </c>
      <c r="I450" t="str">
        <f t="shared" si="183"/>
        <v>23.05.2013</v>
      </c>
      <c r="J450" t="str">
        <f>""</f>
        <v/>
      </c>
      <c r="K450" t="str">
        <f t="shared" si="184"/>
        <v>ТУ №01/810</v>
      </c>
      <c r="L450" t="str">
        <f t="shared" si="182"/>
        <v>МУП "Курскэлектротранс"</v>
      </c>
      <c r="M450" t="str">
        <f t="shared" ref="M450:M471" si="188">"Да"</f>
        <v>Да</v>
      </c>
      <c r="N450" t="str">
        <f t="shared" si="164"/>
        <v>Да</v>
      </c>
      <c r="O450" t="str">
        <f t="shared" si="186"/>
        <v>[46/1880] М 5.6.1 - М 5.6.7</v>
      </c>
      <c r="P450">
        <v>36.131069359999998</v>
      </c>
      <c r="Q450">
        <v>51.653284059999997</v>
      </c>
      <c r="R450" t="str">
        <f>"20000004579149"</f>
        <v>20000004579149</v>
      </c>
    </row>
    <row r="451" spans="1:18" x14ac:dyDescent="0.25">
      <c r="A451">
        <v>907</v>
      </c>
      <c r="B451" t="str">
        <f t="shared" si="187"/>
        <v>Курск</v>
      </c>
      <c r="C451">
        <v>859920</v>
      </c>
      <c r="D451" t="str">
        <f t="shared" si="180"/>
        <v>Опора контактной сети</v>
      </c>
      <c r="E451" t="str">
        <f>"01/810 (36)"</f>
        <v>01/810 (36)</v>
      </c>
      <c r="F451" t="str">
        <f>""</f>
        <v/>
      </c>
      <c r="G451" t="str">
        <f t="shared" si="166"/>
        <v>_МС (CAB_MS)</v>
      </c>
      <c r="H451" t="str">
        <f t="shared" si="181"/>
        <v>МС 5.6</v>
      </c>
      <c r="I451" t="str">
        <f t="shared" si="183"/>
        <v>23.05.2013</v>
      </c>
      <c r="J451" t="str">
        <f>""</f>
        <v/>
      </c>
      <c r="K451" t="str">
        <f t="shared" si="184"/>
        <v>ТУ №01/810</v>
      </c>
      <c r="L451" t="str">
        <f t="shared" si="182"/>
        <v>МУП "Курскэлектротранс"</v>
      </c>
      <c r="M451" t="str">
        <f t="shared" si="188"/>
        <v>Да</v>
      </c>
      <c r="N451" t="str">
        <f t="shared" si="164"/>
        <v>Да</v>
      </c>
      <c r="O451" t="str">
        <f t="shared" si="186"/>
        <v>[46/1880] М 5.6.1 - М 5.6.7</v>
      </c>
      <c r="P451">
        <v>36.131286619999997</v>
      </c>
      <c r="Q451">
        <v>51.65363851</v>
      </c>
      <c r="R451" t="str">
        <f>"20000004579148"</f>
        <v>20000004579148</v>
      </c>
    </row>
    <row r="452" spans="1:18" x14ac:dyDescent="0.25">
      <c r="A452">
        <v>907</v>
      </c>
      <c r="B452" t="str">
        <f t="shared" si="187"/>
        <v>Курск</v>
      </c>
      <c r="C452">
        <v>859919</v>
      </c>
      <c r="D452" t="str">
        <f t="shared" si="180"/>
        <v>Опора контактной сети</v>
      </c>
      <c r="E452" t="str">
        <f>"01/810 (35)"</f>
        <v>01/810 (35)</v>
      </c>
      <c r="F452" t="str">
        <f>""</f>
        <v/>
      </c>
      <c r="G452" t="str">
        <f t="shared" si="166"/>
        <v>_МС (CAB_MS)</v>
      </c>
      <c r="H452" t="str">
        <f t="shared" si="181"/>
        <v>МС 5.6</v>
      </c>
      <c r="I452" t="str">
        <f t="shared" si="183"/>
        <v>23.05.2013</v>
      </c>
      <c r="J452" t="str">
        <f>""</f>
        <v/>
      </c>
      <c r="K452" t="str">
        <f t="shared" si="184"/>
        <v>ТУ №01/810</v>
      </c>
      <c r="L452" t="str">
        <f t="shared" si="182"/>
        <v>МУП "Курскэлектротранс"</v>
      </c>
      <c r="M452" t="str">
        <f t="shared" si="188"/>
        <v>Да</v>
      </c>
      <c r="N452" t="str">
        <f t="shared" si="164"/>
        <v>Да</v>
      </c>
      <c r="O452" t="str">
        <f t="shared" si="186"/>
        <v>[46/1880] М 5.6.1 - М 5.6.7</v>
      </c>
      <c r="P452">
        <v>36.131507569999997</v>
      </c>
      <c r="Q452">
        <v>51.653997330000003</v>
      </c>
      <c r="R452" t="str">
        <f>"20000004579147"</f>
        <v>20000004579147</v>
      </c>
    </row>
    <row r="453" spans="1:18" x14ac:dyDescent="0.25">
      <c r="A453">
        <v>907</v>
      </c>
      <c r="B453" t="str">
        <f t="shared" si="187"/>
        <v>Курск</v>
      </c>
      <c r="C453">
        <v>859918</v>
      </c>
      <c r="D453" t="str">
        <f t="shared" si="180"/>
        <v>Опора контактной сети</v>
      </c>
      <c r="E453" t="str">
        <f>"01/810 (34)"</f>
        <v>01/810 (34)</v>
      </c>
      <c r="F453" t="str">
        <f>""</f>
        <v/>
      </c>
      <c r="G453" t="str">
        <f t="shared" si="166"/>
        <v>_МС (CAB_MS)</v>
      </c>
      <c r="H453" t="str">
        <f t="shared" si="181"/>
        <v>МС 5.6</v>
      </c>
      <c r="I453" t="str">
        <f t="shared" si="183"/>
        <v>23.05.2013</v>
      </c>
      <c r="J453" t="str">
        <f>""</f>
        <v/>
      </c>
      <c r="K453" t="str">
        <f t="shared" si="184"/>
        <v>ТУ №01/810</v>
      </c>
      <c r="L453" t="str">
        <f t="shared" si="182"/>
        <v>МУП "Курскэлектротранс"</v>
      </c>
      <c r="M453" t="str">
        <f t="shared" si="188"/>
        <v>Да</v>
      </c>
      <c r="N453" t="str">
        <f t="shared" si="164"/>
        <v>Да</v>
      </c>
      <c r="O453" t="str">
        <f t="shared" si="186"/>
        <v>[46/1880] М 5.6.1 - М 5.6.7</v>
      </c>
      <c r="P453">
        <v>36.131705050000001</v>
      </c>
      <c r="Q453">
        <v>51.654320779999999</v>
      </c>
      <c r="R453" t="str">
        <f>"20000004579146"</f>
        <v>20000004579146</v>
      </c>
    </row>
    <row r="454" spans="1:18" x14ac:dyDescent="0.25">
      <c r="A454">
        <v>907</v>
      </c>
      <c r="B454" t="str">
        <f t="shared" si="187"/>
        <v>Курск</v>
      </c>
      <c r="C454">
        <v>859917</v>
      </c>
      <c r="D454" t="str">
        <f t="shared" si="180"/>
        <v>Опора контактной сети</v>
      </c>
      <c r="E454" t="str">
        <f>"01/810 (33)"</f>
        <v>01/810 (33)</v>
      </c>
      <c r="F454" t="str">
        <f>""</f>
        <v/>
      </c>
      <c r="G454" t="str">
        <f t="shared" si="166"/>
        <v>_МС (CAB_MS)</v>
      </c>
      <c r="H454" t="str">
        <f t="shared" si="181"/>
        <v>МС 5.6</v>
      </c>
      <c r="I454" t="str">
        <f t="shared" si="183"/>
        <v>23.05.2013</v>
      </c>
      <c r="J454" t="str">
        <f>""</f>
        <v/>
      </c>
      <c r="K454" t="str">
        <f t="shared" si="184"/>
        <v>ТУ №01/810</v>
      </c>
      <c r="L454" t="str">
        <f t="shared" si="182"/>
        <v>МУП "Курскэлектротранс"</v>
      </c>
      <c r="M454" t="str">
        <f t="shared" si="188"/>
        <v>Да</v>
      </c>
      <c r="N454" t="str">
        <f t="shared" si="164"/>
        <v>Да</v>
      </c>
      <c r="O454" t="str">
        <f t="shared" si="186"/>
        <v>[46/1880] М 5.6.1 - М 5.6.7</v>
      </c>
      <c r="P454">
        <v>36.131924990000002</v>
      </c>
      <c r="Q454">
        <v>51.654663569999997</v>
      </c>
      <c r="R454" t="str">
        <f>"20000004579145"</f>
        <v>20000004579145</v>
      </c>
    </row>
    <row r="455" spans="1:18" x14ac:dyDescent="0.25">
      <c r="A455">
        <v>907</v>
      </c>
      <c r="B455" t="str">
        <f t="shared" si="187"/>
        <v>Курск</v>
      </c>
      <c r="C455">
        <v>859916</v>
      </c>
      <c r="D455" t="str">
        <f t="shared" si="180"/>
        <v>Опора контактной сети</v>
      </c>
      <c r="E455" t="str">
        <f>"01/810 (32)"</f>
        <v>01/810 (32)</v>
      </c>
      <c r="F455" t="str">
        <f>""</f>
        <v/>
      </c>
      <c r="G455" t="str">
        <f t="shared" si="166"/>
        <v>_МС (CAB_MS)</v>
      </c>
      <c r="H455" t="str">
        <f t="shared" si="181"/>
        <v>МС 5.6</v>
      </c>
      <c r="I455" t="str">
        <f t="shared" si="183"/>
        <v>23.05.2013</v>
      </c>
      <c r="J455" t="str">
        <f>""</f>
        <v/>
      </c>
      <c r="K455" t="str">
        <f t="shared" si="184"/>
        <v>ТУ №01/810</v>
      </c>
      <c r="L455" t="str">
        <f t="shared" si="182"/>
        <v>МУП "Курскэлектротранс"</v>
      </c>
      <c r="M455" t="str">
        <f t="shared" si="188"/>
        <v>Да</v>
      </c>
      <c r="N455" t="str">
        <f t="shared" si="164"/>
        <v>Да</v>
      </c>
      <c r="O455" t="str">
        <f t="shared" si="186"/>
        <v>[46/1880] М 5.6.1 - М 5.6.7</v>
      </c>
      <c r="P455">
        <v>36.132124480000002</v>
      </c>
      <c r="Q455">
        <v>51.654965799999999</v>
      </c>
      <c r="R455" t="str">
        <f>"20000004579144"</f>
        <v>20000004579144</v>
      </c>
    </row>
    <row r="456" spans="1:18" x14ac:dyDescent="0.25">
      <c r="A456">
        <v>907</v>
      </c>
      <c r="B456" t="str">
        <f t="shared" si="187"/>
        <v>Курск</v>
      </c>
      <c r="C456">
        <v>859915</v>
      </c>
      <c r="D456" t="str">
        <f t="shared" si="180"/>
        <v>Опора контактной сети</v>
      </c>
      <c r="E456" t="str">
        <f>"01/810 (31)"</f>
        <v>01/810 (31)</v>
      </c>
      <c r="F456" t="str">
        <f>""</f>
        <v/>
      </c>
      <c r="G456" t="str">
        <f t="shared" si="166"/>
        <v>_МС (CAB_MS)</v>
      </c>
      <c r="H456" t="str">
        <f t="shared" si="181"/>
        <v>МС 5.6</v>
      </c>
      <c r="I456" t="str">
        <f t="shared" si="183"/>
        <v>23.05.2013</v>
      </c>
      <c r="J456" t="str">
        <f>""</f>
        <v/>
      </c>
      <c r="K456" t="str">
        <f t="shared" si="184"/>
        <v>ТУ №01/810</v>
      </c>
      <c r="L456" t="str">
        <f t="shared" si="182"/>
        <v>МУП "Курскэлектротранс"</v>
      </c>
      <c r="M456" t="str">
        <f t="shared" si="188"/>
        <v>Да</v>
      </c>
      <c r="N456" t="str">
        <f t="shared" si="164"/>
        <v>Да</v>
      </c>
      <c r="O456" t="str">
        <f t="shared" si="186"/>
        <v>[46/1880] М 5.6.1 - М 5.6.7</v>
      </c>
      <c r="P456">
        <v>36.132327320000002</v>
      </c>
      <c r="Q456">
        <v>51.655272609999997</v>
      </c>
      <c r="R456" t="str">
        <f>"20000004579143"</f>
        <v>20000004579143</v>
      </c>
    </row>
    <row r="457" spans="1:18" x14ac:dyDescent="0.25">
      <c r="A457">
        <v>907</v>
      </c>
      <c r="B457" t="str">
        <f t="shared" si="187"/>
        <v>Курск</v>
      </c>
      <c r="C457">
        <v>859914</v>
      </c>
      <c r="D457" t="str">
        <f t="shared" si="180"/>
        <v>Опора контактной сети</v>
      </c>
      <c r="E457" t="str">
        <f>"01/810 (30)"</f>
        <v>01/810 (30)</v>
      </c>
      <c r="F457" t="str">
        <f>""</f>
        <v/>
      </c>
      <c r="G457" t="str">
        <f t="shared" si="166"/>
        <v>_МС (CAB_MS)</v>
      </c>
      <c r="H457" t="str">
        <f t="shared" si="181"/>
        <v>МС 5.6</v>
      </c>
      <c r="I457" t="str">
        <f t="shared" si="183"/>
        <v>23.05.2013</v>
      </c>
      <c r="J457" t="str">
        <f>""</f>
        <v/>
      </c>
      <c r="K457" t="str">
        <f t="shared" si="184"/>
        <v>ТУ №01/810</v>
      </c>
      <c r="L457" t="str">
        <f t="shared" si="182"/>
        <v>МУП "Курскэлектротранс"</v>
      </c>
      <c r="M457" t="str">
        <f t="shared" si="188"/>
        <v>Да</v>
      </c>
      <c r="N457" t="str">
        <f t="shared" si="164"/>
        <v>Да</v>
      </c>
      <c r="O457" t="str">
        <f t="shared" si="186"/>
        <v>[46/1880] М 5.6.1 - М 5.6.7</v>
      </c>
      <c r="P457">
        <v>36.132537540000001</v>
      </c>
      <c r="Q457">
        <v>51.655598130000001</v>
      </c>
      <c r="R457" t="str">
        <f>"20000004579142"</f>
        <v>20000004579142</v>
      </c>
    </row>
    <row r="458" spans="1:18" x14ac:dyDescent="0.25">
      <c r="A458">
        <v>907</v>
      </c>
      <c r="B458" t="str">
        <f t="shared" si="187"/>
        <v>Курск</v>
      </c>
      <c r="C458">
        <v>859913</v>
      </c>
      <c r="D458" t="str">
        <f t="shared" si="180"/>
        <v>Опора контактной сети</v>
      </c>
      <c r="E458" t="str">
        <f>"01/810 (29)"</f>
        <v>01/810 (29)</v>
      </c>
      <c r="F458" t="str">
        <f>""</f>
        <v/>
      </c>
      <c r="G458" t="str">
        <f t="shared" si="166"/>
        <v>_МС (CAB_MS)</v>
      </c>
      <c r="H458" t="str">
        <f t="shared" si="181"/>
        <v>МС 5.6</v>
      </c>
      <c r="I458" t="str">
        <f t="shared" si="183"/>
        <v>23.05.2013</v>
      </c>
      <c r="J458" t="str">
        <f>""</f>
        <v/>
      </c>
      <c r="K458" t="str">
        <f t="shared" si="184"/>
        <v>ТУ №01/810</v>
      </c>
      <c r="L458" t="str">
        <f t="shared" si="182"/>
        <v>МУП "Курскэлектротранс"</v>
      </c>
      <c r="M458" t="str">
        <f t="shared" si="188"/>
        <v>Да</v>
      </c>
      <c r="N458" t="str">
        <f t="shared" ref="N458:N521" si="189">"Да"</f>
        <v>Да</v>
      </c>
      <c r="O458" t="str">
        <f t="shared" si="186"/>
        <v>[46/1880] М 5.6.1 - М 5.6.7</v>
      </c>
      <c r="P458">
        <v>36.132729650000002</v>
      </c>
      <c r="Q458">
        <v>51.655914920000001</v>
      </c>
      <c r="R458" t="str">
        <f>"20000004579141"</f>
        <v>20000004579141</v>
      </c>
    </row>
    <row r="459" spans="1:18" x14ac:dyDescent="0.25">
      <c r="A459">
        <v>907</v>
      </c>
      <c r="B459" t="str">
        <f t="shared" si="187"/>
        <v>Курск</v>
      </c>
      <c r="C459">
        <v>859912</v>
      </c>
      <c r="D459" t="str">
        <f t="shared" si="180"/>
        <v>Опора контактной сети</v>
      </c>
      <c r="E459" t="str">
        <f>"01/810 (28)"</f>
        <v>01/810 (28)</v>
      </c>
      <c r="F459" t="str">
        <f>""</f>
        <v/>
      </c>
      <c r="G459" t="str">
        <f t="shared" si="166"/>
        <v>_МС (CAB_MS)</v>
      </c>
      <c r="H459" t="str">
        <f t="shared" si="181"/>
        <v>МС 5.6</v>
      </c>
      <c r="I459" t="str">
        <f t="shared" si="183"/>
        <v>23.05.2013</v>
      </c>
      <c r="J459" t="str">
        <f>""</f>
        <v/>
      </c>
      <c r="K459" t="str">
        <f t="shared" si="184"/>
        <v>ТУ №01/810</v>
      </c>
      <c r="L459" t="str">
        <f t="shared" si="182"/>
        <v>МУП "Курскэлектротранс"</v>
      </c>
      <c r="M459" t="str">
        <f t="shared" si="188"/>
        <v>Да</v>
      </c>
      <c r="N459" t="str">
        <f t="shared" si="189"/>
        <v>Да</v>
      </c>
      <c r="O459" t="str">
        <f t="shared" si="186"/>
        <v>[46/1880] М 5.6.1 - М 5.6.7</v>
      </c>
      <c r="P459">
        <v>36.132938860000003</v>
      </c>
      <c r="Q459">
        <v>51.656231069999997</v>
      </c>
      <c r="R459" t="str">
        <f>"20000004579140"</f>
        <v>20000004579140</v>
      </c>
    </row>
    <row r="460" spans="1:18" x14ac:dyDescent="0.25">
      <c r="A460">
        <v>907</v>
      </c>
      <c r="B460" t="str">
        <f t="shared" si="187"/>
        <v>Курск</v>
      </c>
      <c r="C460">
        <v>859911</v>
      </c>
      <c r="D460" t="str">
        <f t="shared" si="180"/>
        <v>Опора контактной сети</v>
      </c>
      <c r="E460" t="str">
        <f>"01/810 (27)"</f>
        <v>01/810 (27)</v>
      </c>
      <c r="F460" t="str">
        <f>""</f>
        <v/>
      </c>
      <c r="G460" t="str">
        <f t="shared" si="166"/>
        <v>_МС (CAB_MS)</v>
      </c>
      <c r="H460" t="str">
        <f t="shared" si="181"/>
        <v>МС 5.6</v>
      </c>
      <c r="I460" t="str">
        <f t="shared" si="183"/>
        <v>23.05.2013</v>
      </c>
      <c r="J460" t="str">
        <f>""</f>
        <v/>
      </c>
      <c r="K460" t="str">
        <f t="shared" si="184"/>
        <v>ТУ №01/810</v>
      </c>
      <c r="L460" t="str">
        <f t="shared" si="182"/>
        <v>МУП "Курскэлектротранс"</v>
      </c>
      <c r="M460" t="str">
        <f t="shared" si="188"/>
        <v>Да</v>
      </c>
      <c r="N460" t="str">
        <f t="shared" si="189"/>
        <v>Да</v>
      </c>
      <c r="O460" t="str">
        <f t="shared" si="186"/>
        <v>[46/1880] М 5.6.1 - М 5.6.7</v>
      </c>
      <c r="P460">
        <v>36.133164170000001</v>
      </c>
      <c r="Q460">
        <v>51.656583840000003</v>
      </c>
      <c r="R460" t="str">
        <f>"20000004579139"</f>
        <v>20000004579139</v>
      </c>
    </row>
    <row r="461" spans="1:18" x14ac:dyDescent="0.25">
      <c r="A461">
        <v>907</v>
      </c>
      <c r="B461" t="str">
        <f t="shared" si="187"/>
        <v>Курск</v>
      </c>
      <c r="C461">
        <v>859910</v>
      </c>
      <c r="D461" t="str">
        <f t="shared" si="180"/>
        <v>Опора контактной сети</v>
      </c>
      <c r="E461" t="str">
        <f>"01/810 (26)"</f>
        <v>01/810 (26)</v>
      </c>
      <c r="F461" t="str">
        <f>""</f>
        <v/>
      </c>
      <c r="G461" t="str">
        <f t="shared" si="166"/>
        <v>_МС (CAB_MS)</v>
      </c>
      <c r="H461" t="str">
        <f t="shared" si="181"/>
        <v>МС 5.6</v>
      </c>
      <c r="I461" t="str">
        <f t="shared" si="183"/>
        <v>23.05.2013</v>
      </c>
      <c r="J461" t="str">
        <f>""</f>
        <v/>
      </c>
      <c r="K461" t="str">
        <f t="shared" si="184"/>
        <v>ТУ №01/810</v>
      </c>
      <c r="L461" t="str">
        <f t="shared" si="182"/>
        <v>МУП "Курскэлектротранс"</v>
      </c>
      <c r="M461" t="str">
        <f t="shared" si="188"/>
        <v>Да</v>
      </c>
      <c r="N461" t="str">
        <f t="shared" si="189"/>
        <v>Да</v>
      </c>
      <c r="O461" t="str">
        <f t="shared" si="186"/>
        <v>[46/1880] М 5.6.1 - М 5.6.7</v>
      </c>
      <c r="P461">
        <v>36.133394840000001</v>
      </c>
      <c r="Q461">
        <v>51.656906650000003</v>
      </c>
      <c r="R461" t="str">
        <f>"20000004579138"</f>
        <v>20000004579138</v>
      </c>
    </row>
    <row r="462" spans="1:18" x14ac:dyDescent="0.25">
      <c r="A462">
        <v>907</v>
      </c>
      <c r="B462" t="str">
        <f t="shared" si="187"/>
        <v>Курск</v>
      </c>
      <c r="C462">
        <v>859909</v>
      </c>
      <c r="D462" t="str">
        <f t="shared" si="180"/>
        <v>Опора контактной сети</v>
      </c>
      <c r="E462" t="str">
        <f>"01/810 (25)"</f>
        <v>01/810 (25)</v>
      </c>
      <c r="F462" t="str">
        <f>""</f>
        <v/>
      </c>
      <c r="G462" t="str">
        <f t="shared" si="166"/>
        <v>_МС (CAB_MS)</v>
      </c>
      <c r="H462" t="str">
        <f t="shared" si="181"/>
        <v>МС 5.6</v>
      </c>
      <c r="I462" t="str">
        <f t="shared" si="183"/>
        <v>23.05.2013</v>
      </c>
      <c r="J462" t="str">
        <f>""</f>
        <v/>
      </c>
      <c r="K462" t="str">
        <f t="shared" si="184"/>
        <v>ТУ №01/810</v>
      </c>
      <c r="L462" t="str">
        <f t="shared" si="182"/>
        <v>МУП "Курскэлектротранс"</v>
      </c>
      <c r="M462" t="str">
        <f t="shared" si="188"/>
        <v>Да</v>
      </c>
      <c r="N462" t="str">
        <f t="shared" si="189"/>
        <v>Да</v>
      </c>
      <c r="O462" t="str">
        <f t="shared" si="186"/>
        <v>[46/1880] М 5.6.1 - М 5.6.7</v>
      </c>
      <c r="P462">
        <v>36.133609409999998</v>
      </c>
      <c r="Q462">
        <v>51.657229450000003</v>
      </c>
      <c r="R462" t="str">
        <f>"20000004579137"</f>
        <v>20000004579137</v>
      </c>
    </row>
    <row r="463" spans="1:18" x14ac:dyDescent="0.25">
      <c r="A463">
        <v>907</v>
      </c>
      <c r="B463" t="str">
        <f t="shared" si="187"/>
        <v>Курск</v>
      </c>
      <c r="C463">
        <v>859908</v>
      </c>
      <c r="D463" t="str">
        <f t="shared" si="180"/>
        <v>Опора контактной сети</v>
      </c>
      <c r="E463" t="str">
        <f>"01/810 (24)"</f>
        <v>01/810 (24)</v>
      </c>
      <c r="F463" t="str">
        <f>""</f>
        <v/>
      </c>
      <c r="G463" t="str">
        <f t="shared" si="166"/>
        <v>_МС (CAB_MS)</v>
      </c>
      <c r="H463" t="str">
        <f t="shared" si="181"/>
        <v>МС 5.6</v>
      </c>
      <c r="I463" t="str">
        <f t="shared" si="183"/>
        <v>23.05.2013</v>
      </c>
      <c r="J463" t="str">
        <f>""</f>
        <v/>
      </c>
      <c r="K463" t="str">
        <f t="shared" si="184"/>
        <v>ТУ №01/810</v>
      </c>
      <c r="L463" t="str">
        <f t="shared" si="182"/>
        <v>МУП "Курскэлектротранс"</v>
      </c>
      <c r="M463" t="str">
        <f t="shared" si="188"/>
        <v>Да</v>
      </c>
      <c r="N463" t="str">
        <f t="shared" si="189"/>
        <v>Да</v>
      </c>
      <c r="O463" t="str">
        <f t="shared" si="186"/>
        <v>[46/1880] М 5.6.1 - М 5.6.7</v>
      </c>
      <c r="P463">
        <v>36.133826669999998</v>
      </c>
      <c r="Q463">
        <v>51.657540609999998</v>
      </c>
      <c r="R463" t="str">
        <f>"20000004579136"</f>
        <v>20000004579136</v>
      </c>
    </row>
    <row r="464" spans="1:18" x14ac:dyDescent="0.25">
      <c r="A464">
        <v>907</v>
      </c>
      <c r="B464" t="str">
        <f t="shared" si="187"/>
        <v>Курск</v>
      </c>
      <c r="C464">
        <v>859907</v>
      </c>
      <c r="D464" t="str">
        <f t="shared" ref="D464:D471" si="190">"Опора контактной сети"</f>
        <v>Опора контактной сети</v>
      </c>
      <c r="E464" t="str">
        <f>"01/810 (23)"</f>
        <v>01/810 (23)</v>
      </c>
      <c r="F464" t="str">
        <f>""</f>
        <v/>
      </c>
      <c r="G464" t="str">
        <f t="shared" ref="G464:G471" si="191">"_МС (CAB_MS)"</f>
        <v>_МС (CAB_MS)</v>
      </c>
      <c r="H464" t="str">
        <f t="shared" ref="H464:H471" si="192">"МС 5.6"</f>
        <v>МС 5.6</v>
      </c>
      <c r="I464" t="str">
        <f t="shared" si="183"/>
        <v>23.05.2013</v>
      </c>
      <c r="J464" t="str">
        <f>""</f>
        <v/>
      </c>
      <c r="K464" t="str">
        <f t="shared" si="184"/>
        <v>ТУ №01/810</v>
      </c>
      <c r="L464" t="str">
        <f t="shared" ref="L464:L471" si="193">"МУП ""Курскэлектротранс"""</f>
        <v>МУП "Курскэлектротранс"</v>
      </c>
      <c r="M464" t="str">
        <f t="shared" si="188"/>
        <v>Да</v>
      </c>
      <c r="N464" t="str">
        <f t="shared" si="189"/>
        <v>Да</v>
      </c>
      <c r="O464" t="str">
        <f t="shared" si="186"/>
        <v>[46/1880] М 5.6.1 - М 5.6.7</v>
      </c>
      <c r="P464">
        <v>36.134017110000002</v>
      </c>
      <c r="Q464">
        <v>51.65783845</v>
      </c>
      <c r="R464" t="str">
        <f>"20000004579135"</f>
        <v>20000004579135</v>
      </c>
    </row>
    <row r="465" spans="1:18" x14ac:dyDescent="0.25">
      <c r="A465">
        <v>907</v>
      </c>
      <c r="B465" t="str">
        <f t="shared" si="187"/>
        <v>Курск</v>
      </c>
      <c r="C465">
        <v>859906</v>
      </c>
      <c r="D465" t="str">
        <f t="shared" si="190"/>
        <v>Опора контактной сети</v>
      </c>
      <c r="E465" t="str">
        <f>"01/810 (22)"</f>
        <v>01/810 (22)</v>
      </c>
      <c r="F465" t="str">
        <f>""</f>
        <v/>
      </c>
      <c r="G465" t="str">
        <f t="shared" si="191"/>
        <v>_МС (CAB_MS)</v>
      </c>
      <c r="H465" t="str">
        <f t="shared" si="192"/>
        <v>МС 5.6</v>
      </c>
      <c r="I465" t="str">
        <f t="shared" si="183"/>
        <v>23.05.2013</v>
      </c>
      <c r="J465" t="str">
        <f>""</f>
        <v/>
      </c>
      <c r="K465" t="str">
        <f t="shared" si="184"/>
        <v>ТУ №01/810</v>
      </c>
      <c r="L465" t="str">
        <f t="shared" si="193"/>
        <v>МУП "Курскэлектротранс"</v>
      </c>
      <c r="M465" t="str">
        <f t="shared" si="188"/>
        <v>Да</v>
      </c>
      <c r="N465" t="str">
        <f t="shared" si="189"/>
        <v>Да</v>
      </c>
      <c r="O465" t="str">
        <f t="shared" si="186"/>
        <v>[46/1880] М 5.6.1 - М 5.6.7</v>
      </c>
      <c r="P465">
        <v>36.134226320000003</v>
      </c>
      <c r="Q465">
        <v>51.658129639999999</v>
      </c>
      <c r="R465" t="str">
        <f>"20000004579134"</f>
        <v>20000004579134</v>
      </c>
    </row>
    <row r="466" spans="1:18" x14ac:dyDescent="0.25">
      <c r="A466">
        <v>907</v>
      </c>
      <c r="B466" t="str">
        <f t="shared" si="187"/>
        <v>Курск</v>
      </c>
      <c r="C466">
        <v>859905</v>
      </c>
      <c r="D466" t="str">
        <f t="shared" si="190"/>
        <v>Опора контактной сети</v>
      </c>
      <c r="E466" t="str">
        <f>"01/810 (21)"</f>
        <v>01/810 (21)</v>
      </c>
      <c r="F466" t="str">
        <f>""</f>
        <v/>
      </c>
      <c r="G466" t="str">
        <f t="shared" si="191"/>
        <v>_МС (CAB_MS)</v>
      </c>
      <c r="H466" t="str">
        <f t="shared" si="192"/>
        <v>МС 5.6</v>
      </c>
      <c r="I466" t="str">
        <f t="shared" si="183"/>
        <v>23.05.2013</v>
      </c>
      <c r="J466" t="str">
        <f>""</f>
        <v/>
      </c>
      <c r="K466" t="str">
        <f t="shared" si="184"/>
        <v>ТУ №01/810</v>
      </c>
      <c r="L466" t="str">
        <f t="shared" si="193"/>
        <v>МУП "Курскэлектротранс"</v>
      </c>
      <c r="M466" t="str">
        <f t="shared" si="188"/>
        <v>Да</v>
      </c>
      <c r="N466" t="str">
        <f t="shared" si="189"/>
        <v>Да</v>
      </c>
      <c r="O466" t="str">
        <f t="shared" si="186"/>
        <v>[46/1880] М 5.6.1 - М 5.6.7</v>
      </c>
      <c r="P466">
        <v>36.134384570000002</v>
      </c>
      <c r="Q466">
        <v>51.658364249999998</v>
      </c>
      <c r="R466" t="str">
        <f>"20000004579133"</f>
        <v>20000004579133</v>
      </c>
    </row>
    <row r="467" spans="1:18" x14ac:dyDescent="0.25">
      <c r="A467">
        <v>907</v>
      </c>
      <c r="B467" t="str">
        <f t="shared" si="187"/>
        <v>Курск</v>
      </c>
      <c r="C467">
        <v>859904</v>
      </c>
      <c r="D467" t="str">
        <f t="shared" si="190"/>
        <v>Опора контактной сети</v>
      </c>
      <c r="E467" t="str">
        <f>"01/810 (20)"</f>
        <v>01/810 (20)</v>
      </c>
      <c r="F467" t="str">
        <f>""</f>
        <v/>
      </c>
      <c r="G467" t="str">
        <f t="shared" si="191"/>
        <v>_МС (CAB_MS)</v>
      </c>
      <c r="H467" t="str">
        <f t="shared" si="192"/>
        <v>МС 5.6</v>
      </c>
      <c r="I467" t="str">
        <f t="shared" si="183"/>
        <v>23.05.2013</v>
      </c>
      <c r="J467" t="str">
        <f>""</f>
        <v/>
      </c>
      <c r="K467" t="str">
        <f t="shared" si="184"/>
        <v>ТУ №01/810</v>
      </c>
      <c r="L467" t="str">
        <f t="shared" si="193"/>
        <v>МУП "Курскэлектротранс"</v>
      </c>
      <c r="M467" t="str">
        <f t="shared" si="188"/>
        <v>Да</v>
      </c>
      <c r="N467" t="str">
        <f t="shared" si="189"/>
        <v>Да</v>
      </c>
      <c r="O467" t="str">
        <f t="shared" si="186"/>
        <v>[46/1880] М 5.6.1 - М 5.6.7</v>
      </c>
      <c r="P467">
        <v>36.134569640000002</v>
      </c>
      <c r="Q467">
        <v>51.65856891</v>
      </c>
      <c r="R467" t="str">
        <f>"20000004579132"</f>
        <v>20000004579132</v>
      </c>
    </row>
    <row r="468" spans="1:18" x14ac:dyDescent="0.25">
      <c r="A468">
        <v>907</v>
      </c>
      <c r="B468" t="str">
        <f t="shared" si="187"/>
        <v>Курск</v>
      </c>
      <c r="C468">
        <v>859903</v>
      </c>
      <c r="D468" t="str">
        <f t="shared" si="190"/>
        <v>Опора контактной сети</v>
      </c>
      <c r="E468" t="str">
        <f>"01/810 (19)"</f>
        <v>01/810 (19)</v>
      </c>
      <c r="F468" t="str">
        <f>""</f>
        <v/>
      </c>
      <c r="G468" t="str">
        <f t="shared" si="191"/>
        <v>_МС (CAB_MS)</v>
      </c>
      <c r="H468" t="str">
        <f t="shared" si="192"/>
        <v>МС 5.6</v>
      </c>
      <c r="I468" t="str">
        <f t="shared" si="183"/>
        <v>23.05.2013</v>
      </c>
      <c r="J468" t="str">
        <f>""</f>
        <v/>
      </c>
      <c r="K468" t="str">
        <f t="shared" si="184"/>
        <v>ТУ №01/810</v>
      </c>
      <c r="L468" t="str">
        <f t="shared" si="193"/>
        <v>МУП "Курскэлектротранс"</v>
      </c>
      <c r="M468" t="str">
        <f t="shared" si="188"/>
        <v>Да</v>
      </c>
      <c r="N468" t="str">
        <f t="shared" si="189"/>
        <v>Да</v>
      </c>
      <c r="O468" t="str">
        <f>"[46/3199] М 5.6.11 - М 5.6.1"</f>
        <v>[46/3199] М 5.6.11 - М 5.6.1</v>
      </c>
      <c r="P468">
        <v>36.134806349999998</v>
      </c>
      <c r="Q468">
        <v>51.658793539999998</v>
      </c>
      <c r="R468" t="str">
        <f>"20000004579131"</f>
        <v>20000004579131</v>
      </c>
    </row>
    <row r="469" spans="1:18" x14ac:dyDescent="0.25">
      <c r="A469">
        <v>907</v>
      </c>
      <c r="B469" t="str">
        <f t="shared" si="187"/>
        <v>Курск</v>
      </c>
      <c r="C469">
        <v>859902</v>
      </c>
      <c r="D469" t="str">
        <f t="shared" si="190"/>
        <v>Опора контактной сети</v>
      </c>
      <c r="E469" t="str">
        <f>"01/810 (17)"</f>
        <v>01/810 (17)</v>
      </c>
      <c r="F469" t="str">
        <f>""</f>
        <v/>
      </c>
      <c r="G469" t="str">
        <f t="shared" si="191"/>
        <v>_МС (CAB_MS)</v>
      </c>
      <c r="H469" t="str">
        <f t="shared" si="192"/>
        <v>МС 5.6</v>
      </c>
      <c r="I469" t="str">
        <f t="shared" si="183"/>
        <v>23.05.2013</v>
      </c>
      <c r="J469" t="str">
        <f>""</f>
        <v/>
      </c>
      <c r="K469" t="str">
        <f t="shared" si="184"/>
        <v>ТУ №01/810</v>
      </c>
      <c r="L469" t="str">
        <f t="shared" si="193"/>
        <v>МУП "Курскэлектротранс"</v>
      </c>
      <c r="M469" t="str">
        <f t="shared" si="188"/>
        <v>Да</v>
      </c>
      <c r="N469" t="str">
        <f t="shared" si="189"/>
        <v>Да</v>
      </c>
      <c r="O469" t="str">
        <f>"[46/3199] М 5.6.11 - М 5.6.1"</f>
        <v>[46/3199] М 5.6.11 - М 5.6.1</v>
      </c>
      <c r="P469">
        <v>36.135331389999997</v>
      </c>
      <c r="Q469">
        <v>51.659669569999998</v>
      </c>
      <c r="R469" t="str">
        <f>"20000004579130"</f>
        <v>20000004579130</v>
      </c>
    </row>
    <row r="470" spans="1:18" x14ac:dyDescent="0.25">
      <c r="A470">
        <v>907</v>
      </c>
      <c r="B470" t="str">
        <f t="shared" si="187"/>
        <v>Курск</v>
      </c>
      <c r="C470">
        <v>859901</v>
      </c>
      <c r="D470" t="str">
        <f t="shared" si="190"/>
        <v>Опора контактной сети</v>
      </c>
      <c r="E470" t="str">
        <f>"01/810 (18)"</f>
        <v>01/810 (18)</v>
      </c>
      <c r="F470" t="str">
        <f>""</f>
        <v/>
      </c>
      <c r="G470" t="str">
        <f t="shared" si="191"/>
        <v>_МС (CAB_MS)</v>
      </c>
      <c r="H470" t="str">
        <f t="shared" si="192"/>
        <v>МС 5.6</v>
      </c>
      <c r="I470" t="str">
        <f t="shared" si="183"/>
        <v>23.05.2013</v>
      </c>
      <c r="J470" t="str">
        <f>""</f>
        <v/>
      </c>
      <c r="K470" t="str">
        <f t="shared" si="184"/>
        <v>ТУ №01/810</v>
      </c>
      <c r="L470" t="str">
        <f t="shared" si="193"/>
        <v>МУП "Курскэлектротранс"</v>
      </c>
      <c r="M470" t="str">
        <f t="shared" si="188"/>
        <v>Да</v>
      </c>
      <c r="N470" t="str">
        <f t="shared" si="189"/>
        <v>Да</v>
      </c>
      <c r="O470" t="str">
        <f>"[46/3199] М 5.6.11 - М 5.6.1"</f>
        <v>[46/3199] М 5.6.11 - М 5.6.1</v>
      </c>
      <c r="P470">
        <v>36.135132910000003</v>
      </c>
      <c r="Q470">
        <v>51.659359260000002</v>
      </c>
      <c r="R470" t="str">
        <f>"20000004579129"</f>
        <v>20000004579129</v>
      </c>
    </row>
    <row r="471" spans="1:18" x14ac:dyDescent="0.25">
      <c r="A471">
        <v>907</v>
      </c>
      <c r="B471" t="str">
        <f t="shared" si="187"/>
        <v>Курск</v>
      </c>
      <c r="C471">
        <v>859899</v>
      </c>
      <c r="D471" t="str">
        <f t="shared" si="190"/>
        <v>Опора контактной сети</v>
      </c>
      <c r="E471" t="str">
        <f>"01/810 (16)"</f>
        <v>01/810 (16)</v>
      </c>
      <c r="F471" t="str">
        <f>""</f>
        <v/>
      </c>
      <c r="G471" t="str">
        <f t="shared" si="191"/>
        <v>_МС (CAB_MS)</v>
      </c>
      <c r="H471" t="str">
        <f t="shared" si="192"/>
        <v>МС 5.6</v>
      </c>
      <c r="I471" t="str">
        <f t="shared" si="183"/>
        <v>23.05.2013</v>
      </c>
      <c r="J471" t="str">
        <f>""</f>
        <v/>
      </c>
      <c r="K471" t="str">
        <f t="shared" si="184"/>
        <v>ТУ №01/810</v>
      </c>
      <c r="L471" t="str">
        <f t="shared" si="193"/>
        <v>МУП "Курскэлектротранс"</v>
      </c>
      <c r="M471" t="str">
        <f t="shared" si="188"/>
        <v>Да</v>
      </c>
      <c r="N471" t="str">
        <f t="shared" si="189"/>
        <v>Да</v>
      </c>
      <c r="O471" t="str">
        <f>"[46/3199] М 5.6.11 - М 5.6.1"</f>
        <v>[46/3199] М 5.6.11 - М 5.6.1</v>
      </c>
      <c r="P471">
        <v>36.135509419999998</v>
      </c>
      <c r="Q471">
        <v>51.659935990000001</v>
      </c>
      <c r="R471" t="str">
        <f>"20000004579128"</f>
        <v>20000004579128</v>
      </c>
    </row>
    <row r="472" spans="1:18" x14ac:dyDescent="0.25">
      <c r="A472">
        <v>907</v>
      </c>
      <c r="B472" t="str">
        <f t="shared" si="187"/>
        <v>Курск</v>
      </c>
      <c r="C472">
        <v>920757</v>
      </c>
      <c r="D472" t="str">
        <f t="shared" ref="D472:D503" si="194">"Опора"</f>
        <v>Опора</v>
      </c>
      <c r="E472" t="str">
        <f>"КИ 111 (0153)"</f>
        <v>КИ 111 (0153)</v>
      </c>
      <c r="F472" t="str">
        <f>""</f>
        <v/>
      </c>
      <c r="G472" t="str">
        <f t="shared" ref="G472:G503" si="195">"_ТС (CAB_TS)"</f>
        <v>_ТС (CAB_TS)</v>
      </c>
      <c r="H472" t="str">
        <f t="shared" ref="H472:H503" si="196">"ТС"</f>
        <v>ТС</v>
      </c>
      <c r="I472" t="str">
        <f>"26.12.2020"</f>
        <v>26.12.2020</v>
      </c>
      <c r="J472" t="str">
        <f>""</f>
        <v/>
      </c>
      <c r="K472" t="str">
        <f>"АКТ №4654"</f>
        <v>АКТ №4654</v>
      </c>
      <c r="L472" t="str">
        <f t="shared" ref="L472:L503" si="197">"Комитет по управлению муниципальным имуществом города Курска"</f>
        <v>Комитет по управлению муниципальным имуществом города Курска</v>
      </c>
      <c r="M472" t="str">
        <f>"Неизвестно"</f>
        <v>Неизвестно</v>
      </c>
      <c r="N472" t="str">
        <f t="shared" si="189"/>
        <v>Да</v>
      </c>
      <c r="O472" t="str">
        <f>"[46/3167] Т 6.2 - Т 6.9"</f>
        <v>[46/3167] Т 6.2 - Т 6.9</v>
      </c>
      <c r="P472">
        <v>36.207279300000003</v>
      </c>
      <c r="Q472">
        <v>51.72076818</v>
      </c>
      <c r="R472" t="str">
        <f>"20000006263065"</f>
        <v>20000006263065</v>
      </c>
    </row>
    <row r="473" spans="1:18" x14ac:dyDescent="0.25">
      <c r="A473">
        <v>907</v>
      </c>
      <c r="B473" t="str">
        <f t="shared" si="187"/>
        <v>Курск</v>
      </c>
      <c r="C473">
        <v>920756</v>
      </c>
      <c r="D473" t="str">
        <f t="shared" si="194"/>
        <v>Опора</v>
      </c>
      <c r="E473" t="str">
        <f>"КИ 111 (0152)"</f>
        <v>КИ 111 (0152)</v>
      </c>
      <c r="F473" t="str">
        <f>""</f>
        <v/>
      </c>
      <c r="G473" t="str">
        <f t="shared" si="195"/>
        <v>_ТС (CAB_TS)</v>
      </c>
      <c r="H473" t="str">
        <f t="shared" si="196"/>
        <v>ТС</v>
      </c>
      <c r="I473" t="str">
        <f>"26.12.2020"</f>
        <v>26.12.2020</v>
      </c>
      <c r="J473" t="str">
        <f>""</f>
        <v/>
      </c>
      <c r="K473" t="str">
        <f>"АКТ №4654"</f>
        <v>АКТ №4654</v>
      </c>
      <c r="L473" t="str">
        <f t="shared" si="197"/>
        <v>Комитет по управлению муниципальным имуществом города Курска</v>
      </c>
      <c r="M473" t="str">
        <f>"Неизвестно"</f>
        <v>Неизвестно</v>
      </c>
      <c r="N473" t="str">
        <f t="shared" si="189"/>
        <v>Да</v>
      </c>
      <c r="O473" t="str">
        <f>"[46/3167] Т 6.2 - Т 6.9"</f>
        <v>[46/3167] Т 6.2 - Т 6.9</v>
      </c>
      <c r="P473">
        <v>36.207735280000001</v>
      </c>
      <c r="Q473">
        <v>51.720894459999997</v>
      </c>
      <c r="R473" t="str">
        <f>"20000006263064"</f>
        <v>20000006263064</v>
      </c>
    </row>
    <row r="474" spans="1:18" x14ac:dyDescent="0.25">
      <c r="A474">
        <v>907</v>
      </c>
      <c r="B474" t="str">
        <f t="shared" si="187"/>
        <v>Курск</v>
      </c>
      <c r="C474">
        <v>920755</v>
      </c>
      <c r="D474" t="str">
        <f t="shared" si="194"/>
        <v>Опора</v>
      </c>
      <c r="E474" t="str">
        <f>"КИ 111 (0151)"</f>
        <v>КИ 111 (0151)</v>
      </c>
      <c r="F474" t="str">
        <f>""</f>
        <v/>
      </c>
      <c r="G474" t="str">
        <f t="shared" si="195"/>
        <v>_ТС (CAB_TS)</v>
      </c>
      <c r="H474" t="str">
        <f t="shared" si="196"/>
        <v>ТС</v>
      </c>
      <c r="I474" t="str">
        <f>"26.12.2020"</f>
        <v>26.12.2020</v>
      </c>
      <c r="J474" t="str">
        <f>""</f>
        <v/>
      </c>
      <c r="K474" t="str">
        <f>"АКТ №4654"</f>
        <v>АКТ №4654</v>
      </c>
      <c r="L474" t="str">
        <f t="shared" si="197"/>
        <v>Комитет по управлению муниципальным имуществом города Курска</v>
      </c>
      <c r="M474" t="str">
        <f>"Неизвестно"</f>
        <v>Неизвестно</v>
      </c>
      <c r="N474" t="str">
        <f t="shared" si="189"/>
        <v>Да</v>
      </c>
      <c r="O474" t="str">
        <f>"[46/3167] Т 6.2 - Т 6.9"</f>
        <v>[46/3167] Т 6.2 - Т 6.9</v>
      </c>
      <c r="P474">
        <v>36.208188569999997</v>
      </c>
      <c r="Q474">
        <v>51.721014099999998</v>
      </c>
      <c r="R474" t="str">
        <f>"20000006263063"</f>
        <v>20000006263063</v>
      </c>
    </row>
    <row r="475" spans="1:18" x14ac:dyDescent="0.25">
      <c r="A475">
        <v>907</v>
      </c>
      <c r="B475" t="str">
        <f t="shared" si="187"/>
        <v>Курск</v>
      </c>
      <c r="C475">
        <v>920754</v>
      </c>
      <c r="D475" t="str">
        <f t="shared" si="194"/>
        <v>Опора</v>
      </c>
      <c r="E475" t="str">
        <f>"КИ 111 (0150)"</f>
        <v>КИ 111 (0150)</v>
      </c>
      <c r="F475" t="str">
        <f>""</f>
        <v/>
      </c>
      <c r="G475" t="str">
        <f t="shared" si="195"/>
        <v>_ТС (CAB_TS)</v>
      </c>
      <c r="H475" t="str">
        <f t="shared" si="196"/>
        <v>ТС</v>
      </c>
      <c r="I475" t="str">
        <f>"26.12.2020"</f>
        <v>26.12.2020</v>
      </c>
      <c r="J475" t="str">
        <f>""</f>
        <v/>
      </c>
      <c r="K475" t="str">
        <f>"АКТ №4654"</f>
        <v>АКТ №4654</v>
      </c>
      <c r="L475" t="str">
        <f t="shared" si="197"/>
        <v>Комитет по управлению муниципальным имуществом города Курска</v>
      </c>
      <c r="M475" t="str">
        <f>"Неизвестно"</f>
        <v>Неизвестно</v>
      </c>
      <c r="N475" t="str">
        <f t="shared" si="189"/>
        <v>Да</v>
      </c>
      <c r="O475" t="str">
        <f>"[46/3167] Т 6.2 - Т 6.9"</f>
        <v>[46/3167] Т 6.2 - Т 6.9</v>
      </c>
      <c r="P475">
        <v>36.208510439999998</v>
      </c>
      <c r="Q475">
        <v>51.721107150000002</v>
      </c>
      <c r="R475" t="str">
        <f>"20000006263062"</f>
        <v>20000006263062</v>
      </c>
    </row>
    <row r="476" spans="1:18" x14ac:dyDescent="0.25">
      <c r="A476">
        <v>907</v>
      </c>
      <c r="B476" t="str">
        <f t="shared" si="187"/>
        <v>Курск</v>
      </c>
      <c r="C476">
        <v>920753</v>
      </c>
      <c r="D476" t="str">
        <f t="shared" si="194"/>
        <v>Опора</v>
      </c>
      <c r="E476" t="str">
        <f>"КИ 111 (0149)"</f>
        <v>КИ 111 (0149)</v>
      </c>
      <c r="F476" t="str">
        <f>""</f>
        <v/>
      </c>
      <c r="G476" t="str">
        <f t="shared" si="195"/>
        <v>_ТС (CAB_TS)</v>
      </c>
      <c r="H476" t="str">
        <f t="shared" si="196"/>
        <v>ТС</v>
      </c>
      <c r="I476" t="str">
        <f>"26.12.2020"</f>
        <v>26.12.2020</v>
      </c>
      <c r="J476" t="str">
        <f>""</f>
        <v/>
      </c>
      <c r="K476" t="str">
        <f>"АКТ №4654"</f>
        <v>АКТ №4654</v>
      </c>
      <c r="L476" t="str">
        <f t="shared" si="197"/>
        <v>Комитет по управлению муниципальным имуществом города Курска</v>
      </c>
      <c r="M476" t="str">
        <f>"Неизвестно"</f>
        <v>Неизвестно</v>
      </c>
      <c r="N476" t="str">
        <f t="shared" si="189"/>
        <v>Да</v>
      </c>
      <c r="O476" t="str">
        <f>"[46/3167] Т 6.2 - Т 6.9"</f>
        <v>[46/3167] Т 6.2 - Т 6.9</v>
      </c>
      <c r="P476">
        <v>36.208794750000003</v>
      </c>
      <c r="Q476">
        <v>51.72119189</v>
      </c>
      <c r="R476" t="str">
        <f>"20000006263061"</f>
        <v>20000006263061</v>
      </c>
    </row>
    <row r="477" spans="1:18" x14ac:dyDescent="0.25">
      <c r="A477">
        <v>907</v>
      </c>
      <c r="B477" t="str">
        <f t="shared" si="187"/>
        <v>Курск</v>
      </c>
      <c r="C477">
        <v>857473</v>
      </c>
      <c r="D477" t="str">
        <f t="shared" si="194"/>
        <v>Опора</v>
      </c>
      <c r="E477" t="str">
        <f>"КИ 4653 (330)"</f>
        <v>КИ 4653 (330)</v>
      </c>
      <c r="F477" t="str">
        <f>""</f>
        <v/>
      </c>
      <c r="G477" t="str">
        <f t="shared" si="195"/>
        <v>_ТС (CAB_TS)</v>
      </c>
      <c r="H477" t="str">
        <f t="shared" si="196"/>
        <v>ТС</v>
      </c>
      <c r="I477" t="str">
        <f>"03.04.2013"</f>
        <v>03.04.2013</v>
      </c>
      <c r="J477" t="str">
        <f>""</f>
        <v/>
      </c>
      <c r="K477" t="str">
        <f>"АКТ №4653"</f>
        <v>АКТ №4653</v>
      </c>
      <c r="L477" t="str">
        <f t="shared" si="197"/>
        <v>Комитет по управлению муниципальным имуществом города Курска</v>
      </c>
      <c r="M477" t="str">
        <f>"Да"</f>
        <v>Да</v>
      </c>
      <c r="N477" t="str">
        <f t="shared" si="189"/>
        <v>Да</v>
      </c>
      <c r="O477" t="str">
        <f>"[46/1652] Т 7.3 - Т 7.4"</f>
        <v>[46/1652] Т 7.3 - Т 7.4</v>
      </c>
      <c r="P477">
        <v>36.215618620000001</v>
      </c>
      <c r="Q477">
        <v>51.755715709999997</v>
      </c>
      <c r="R477" t="str">
        <f>"20000006263012"</f>
        <v>20000006263012</v>
      </c>
    </row>
    <row r="478" spans="1:18" x14ac:dyDescent="0.25">
      <c r="A478">
        <v>907</v>
      </c>
      <c r="B478" t="str">
        <f t="shared" si="187"/>
        <v>Курск</v>
      </c>
      <c r="C478">
        <v>920075</v>
      </c>
      <c r="D478" t="str">
        <f t="shared" si="194"/>
        <v>Опора</v>
      </c>
      <c r="E478" t="str">
        <f>"КИ 111 (076)"</f>
        <v>КИ 111 (076)</v>
      </c>
      <c r="F478" t="str">
        <f>""</f>
        <v/>
      </c>
      <c r="G478" t="str">
        <f t="shared" si="195"/>
        <v>_ТС (CAB_TS)</v>
      </c>
      <c r="H478" t="str">
        <f t="shared" si="196"/>
        <v>ТС</v>
      </c>
      <c r="I478" t="str">
        <f t="shared" ref="I478:I509" si="198">"21.12.2020"</f>
        <v>21.12.2020</v>
      </c>
      <c r="J478" t="str">
        <f>""</f>
        <v/>
      </c>
      <c r="K478" t="str">
        <f t="shared" ref="K478:K509" si="199">"АКТ №4654"</f>
        <v>АКТ №4654</v>
      </c>
      <c r="L478" t="str">
        <f t="shared" si="197"/>
        <v>Комитет по управлению муниципальным имуществом города Курска</v>
      </c>
      <c r="M478" t="str">
        <f t="shared" ref="M478:M509" si="200">"Неизвестно"</f>
        <v>Неизвестно</v>
      </c>
      <c r="N478" t="str">
        <f t="shared" si="189"/>
        <v>Да</v>
      </c>
      <c r="O478" t="str">
        <f t="shared" ref="O478:O501" si="201">"[46/3168] Т 6.3 - Т 6.4"</f>
        <v>[46/3168] Т 6.3 - Т 6.4</v>
      </c>
      <c r="P478">
        <v>36.221950990000003</v>
      </c>
      <c r="Q478">
        <v>51.728424660000002</v>
      </c>
      <c r="R478" t="str">
        <f>"20000006262851"</f>
        <v>20000006262851</v>
      </c>
    </row>
    <row r="479" spans="1:18" x14ac:dyDescent="0.25">
      <c r="A479">
        <v>907</v>
      </c>
      <c r="B479" t="str">
        <f t="shared" si="187"/>
        <v>Курск</v>
      </c>
      <c r="C479">
        <v>920074</v>
      </c>
      <c r="D479" t="str">
        <f t="shared" si="194"/>
        <v>Опора</v>
      </c>
      <c r="E479" t="str">
        <f>"КИ 111 (077)"</f>
        <v>КИ 111 (077)</v>
      </c>
      <c r="F479" t="str">
        <f>""</f>
        <v/>
      </c>
      <c r="G479" t="str">
        <f t="shared" si="195"/>
        <v>_ТС (CAB_TS)</v>
      </c>
      <c r="H479" t="str">
        <f t="shared" si="196"/>
        <v>ТС</v>
      </c>
      <c r="I479" t="str">
        <f t="shared" si="198"/>
        <v>21.12.2020</v>
      </c>
      <c r="J479" t="str">
        <f>""</f>
        <v/>
      </c>
      <c r="K479" t="str">
        <f t="shared" si="199"/>
        <v>АКТ №4654</v>
      </c>
      <c r="L479" t="str">
        <f t="shared" si="197"/>
        <v>Комитет по управлению муниципальным имуществом города Курска</v>
      </c>
      <c r="M479" t="str">
        <f t="shared" si="200"/>
        <v>Неизвестно</v>
      </c>
      <c r="N479" t="str">
        <f t="shared" si="189"/>
        <v>Да</v>
      </c>
      <c r="O479" t="str">
        <f t="shared" si="201"/>
        <v>[46/3168] Т 6.3 - Т 6.4</v>
      </c>
      <c r="P479">
        <v>36.222227259999997</v>
      </c>
      <c r="Q479">
        <v>51.728701690000001</v>
      </c>
      <c r="R479" t="str">
        <f>"20000006262850"</f>
        <v>20000006262850</v>
      </c>
    </row>
    <row r="480" spans="1:18" x14ac:dyDescent="0.25">
      <c r="A480">
        <v>907</v>
      </c>
      <c r="B480" t="str">
        <f t="shared" si="187"/>
        <v>Курск</v>
      </c>
      <c r="C480">
        <v>920073</v>
      </c>
      <c r="D480" t="str">
        <f t="shared" si="194"/>
        <v>Опора</v>
      </c>
      <c r="E480" t="str">
        <f>"КИ 111 (078)"</f>
        <v>КИ 111 (078)</v>
      </c>
      <c r="F480" t="str">
        <f>""</f>
        <v/>
      </c>
      <c r="G480" t="str">
        <f t="shared" si="195"/>
        <v>_ТС (CAB_TS)</v>
      </c>
      <c r="H480" t="str">
        <f t="shared" si="196"/>
        <v>ТС</v>
      </c>
      <c r="I480" t="str">
        <f t="shared" si="198"/>
        <v>21.12.2020</v>
      </c>
      <c r="J480" t="str">
        <f>""</f>
        <v/>
      </c>
      <c r="K480" t="str">
        <f t="shared" si="199"/>
        <v>АКТ №4654</v>
      </c>
      <c r="L480" t="str">
        <f t="shared" si="197"/>
        <v>Комитет по управлению муниципальным имуществом города Курска</v>
      </c>
      <c r="M480" t="str">
        <f t="shared" si="200"/>
        <v>Неизвестно</v>
      </c>
      <c r="N480" t="str">
        <f t="shared" si="189"/>
        <v>Да</v>
      </c>
      <c r="O480" t="str">
        <f t="shared" si="201"/>
        <v>[46/3168] Т 6.3 - Т 6.4</v>
      </c>
      <c r="P480">
        <v>36.22251559</v>
      </c>
      <c r="Q480">
        <v>51.728978300000001</v>
      </c>
      <c r="R480" t="str">
        <f>"20000006262849"</f>
        <v>20000006262849</v>
      </c>
    </row>
    <row r="481" spans="1:18" x14ac:dyDescent="0.25">
      <c r="A481">
        <v>907</v>
      </c>
      <c r="B481" t="str">
        <f t="shared" si="187"/>
        <v>Курск</v>
      </c>
      <c r="C481">
        <v>920072</v>
      </c>
      <c r="D481" t="str">
        <f t="shared" si="194"/>
        <v>Опора</v>
      </c>
      <c r="E481" t="str">
        <f>"КИ 111 (079)"</f>
        <v>КИ 111 (079)</v>
      </c>
      <c r="F481" t="str">
        <f>""</f>
        <v/>
      </c>
      <c r="G481" t="str">
        <f t="shared" si="195"/>
        <v>_ТС (CAB_TS)</v>
      </c>
      <c r="H481" t="str">
        <f t="shared" si="196"/>
        <v>ТС</v>
      </c>
      <c r="I481" t="str">
        <f t="shared" si="198"/>
        <v>21.12.2020</v>
      </c>
      <c r="J481" t="str">
        <f>""</f>
        <v/>
      </c>
      <c r="K481" t="str">
        <f t="shared" si="199"/>
        <v>АКТ №4654</v>
      </c>
      <c r="L481" t="str">
        <f t="shared" si="197"/>
        <v>Комитет по управлению муниципальным имуществом города Курска</v>
      </c>
      <c r="M481" t="str">
        <f t="shared" si="200"/>
        <v>Неизвестно</v>
      </c>
      <c r="N481" t="str">
        <f t="shared" si="189"/>
        <v>Да</v>
      </c>
      <c r="O481" t="str">
        <f t="shared" si="201"/>
        <v>[46/3168] Т 6.3 - Т 6.4</v>
      </c>
      <c r="P481">
        <v>36.222777110000003</v>
      </c>
      <c r="Q481">
        <v>51.72923746</v>
      </c>
      <c r="R481" t="str">
        <f>"20000006262848"</f>
        <v>20000006262848</v>
      </c>
    </row>
    <row r="482" spans="1:18" x14ac:dyDescent="0.25">
      <c r="A482">
        <v>907</v>
      </c>
      <c r="B482" t="str">
        <f t="shared" si="187"/>
        <v>Курск</v>
      </c>
      <c r="C482">
        <v>920071</v>
      </c>
      <c r="D482" t="str">
        <f t="shared" si="194"/>
        <v>Опора</v>
      </c>
      <c r="E482" t="str">
        <f>"КИ 111 (080)"</f>
        <v>КИ 111 (080)</v>
      </c>
      <c r="F482" t="str">
        <f>""</f>
        <v/>
      </c>
      <c r="G482" t="str">
        <f t="shared" si="195"/>
        <v>_ТС (CAB_TS)</v>
      </c>
      <c r="H482" t="str">
        <f t="shared" si="196"/>
        <v>ТС</v>
      </c>
      <c r="I482" t="str">
        <f t="shared" si="198"/>
        <v>21.12.2020</v>
      </c>
      <c r="J482" t="str">
        <f>""</f>
        <v/>
      </c>
      <c r="K482" t="str">
        <f t="shared" si="199"/>
        <v>АКТ №4654</v>
      </c>
      <c r="L482" t="str">
        <f t="shared" si="197"/>
        <v>Комитет по управлению муниципальным имуществом города Курска</v>
      </c>
      <c r="M482" t="str">
        <f t="shared" si="200"/>
        <v>Неизвестно</v>
      </c>
      <c r="N482" t="str">
        <f t="shared" si="189"/>
        <v>Да</v>
      </c>
      <c r="O482" t="str">
        <f t="shared" si="201"/>
        <v>[46/3168] Т 6.3 - Т 6.4</v>
      </c>
      <c r="P482">
        <v>36.223031919999997</v>
      </c>
      <c r="Q482">
        <v>51.72949663</v>
      </c>
      <c r="R482" t="str">
        <f>"20000006262847"</f>
        <v>20000006262847</v>
      </c>
    </row>
    <row r="483" spans="1:18" x14ac:dyDescent="0.25">
      <c r="A483">
        <v>907</v>
      </c>
      <c r="B483" t="str">
        <f t="shared" si="187"/>
        <v>Курск</v>
      </c>
      <c r="C483">
        <v>920070</v>
      </c>
      <c r="D483" t="str">
        <f t="shared" si="194"/>
        <v>Опора</v>
      </c>
      <c r="E483" t="str">
        <f>"КИ 111 (081)"</f>
        <v>КИ 111 (081)</v>
      </c>
      <c r="F483" t="str">
        <f>""</f>
        <v/>
      </c>
      <c r="G483" t="str">
        <f t="shared" si="195"/>
        <v>_ТС (CAB_TS)</v>
      </c>
      <c r="H483" t="str">
        <f t="shared" si="196"/>
        <v>ТС</v>
      </c>
      <c r="I483" t="str">
        <f t="shared" si="198"/>
        <v>21.12.2020</v>
      </c>
      <c r="J483" t="str">
        <f>""</f>
        <v/>
      </c>
      <c r="K483" t="str">
        <f t="shared" si="199"/>
        <v>АКТ №4654</v>
      </c>
      <c r="L483" t="str">
        <f t="shared" si="197"/>
        <v>Комитет по управлению муниципальным имуществом города Курска</v>
      </c>
      <c r="M483" t="str">
        <f t="shared" si="200"/>
        <v>Неизвестно</v>
      </c>
      <c r="N483" t="str">
        <f t="shared" si="189"/>
        <v>Да</v>
      </c>
      <c r="O483" t="str">
        <f t="shared" si="201"/>
        <v>[46/3168] Т 6.3 - Т 6.4</v>
      </c>
      <c r="P483">
        <v>36.223270630000002</v>
      </c>
      <c r="Q483">
        <v>51.729764090000003</v>
      </c>
      <c r="R483" t="str">
        <f>"20000006262846"</f>
        <v>20000006262846</v>
      </c>
    </row>
    <row r="484" spans="1:18" x14ac:dyDescent="0.25">
      <c r="A484">
        <v>907</v>
      </c>
      <c r="B484" t="str">
        <f t="shared" si="187"/>
        <v>Курск</v>
      </c>
      <c r="C484">
        <v>920069</v>
      </c>
      <c r="D484" t="str">
        <f t="shared" si="194"/>
        <v>Опора</v>
      </c>
      <c r="E484" t="str">
        <f>"КИ 111 (082)"</f>
        <v>КИ 111 (082)</v>
      </c>
      <c r="F484" t="str">
        <f>""</f>
        <v/>
      </c>
      <c r="G484" t="str">
        <f t="shared" si="195"/>
        <v>_ТС (CAB_TS)</v>
      </c>
      <c r="H484" t="str">
        <f t="shared" si="196"/>
        <v>ТС</v>
      </c>
      <c r="I484" t="str">
        <f t="shared" si="198"/>
        <v>21.12.2020</v>
      </c>
      <c r="J484" t="str">
        <f>""</f>
        <v/>
      </c>
      <c r="K484" t="str">
        <f t="shared" si="199"/>
        <v>АКТ №4654</v>
      </c>
      <c r="L484" t="str">
        <f t="shared" si="197"/>
        <v>Комитет по управлению муниципальным имуществом города Курска</v>
      </c>
      <c r="M484" t="str">
        <f t="shared" si="200"/>
        <v>Неизвестно</v>
      </c>
      <c r="N484" t="str">
        <f t="shared" si="189"/>
        <v>Да</v>
      </c>
      <c r="O484" t="str">
        <f t="shared" si="201"/>
        <v>[46/3168] Т 6.3 - Т 6.4</v>
      </c>
      <c r="P484">
        <v>36.223513369999999</v>
      </c>
      <c r="Q484">
        <v>51.730051490000001</v>
      </c>
      <c r="R484" t="str">
        <f>"20000006262845"</f>
        <v>20000006262845</v>
      </c>
    </row>
    <row r="485" spans="1:18" x14ac:dyDescent="0.25">
      <c r="A485">
        <v>907</v>
      </c>
      <c r="B485" t="str">
        <f t="shared" si="187"/>
        <v>Курск</v>
      </c>
      <c r="C485">
        <v>920068</v>
      </c>
      <c r="D485" t="str">
        <f t="shared" si="194"/>
        <v>Опора</v>
      </c>
      <c r="E485" t="str">
        <f>"КИ 111 (083)"</f>
        <v>КИ 111 (083)</v>
      </c>
      <c r="F485" t="str">
        <f>""</f>
        <v/>
      </c>
      <c r="G485" t="str">
        <f t="shared" si="195"/>
        <v>_ТС (CAB_TS)</v>
      </c>
      <c r="H485" t="str">
        <f t="shared" si="196"/>
        <v>ТС</v>
      </c>
      <c r="I485" t="str">
        <f t="shared" si="198"/>
        <v>21.12.2020</v>
      </c>
      <c r="J485" t="str">
        <f>""</f>
        <v/>
      </c>
      <c r="K485" t="str">
        <f t="shared" si="199"/>
        <v>АКТ №4654</v>
      </c>
      <c r="L485" t="str">
        <f t="shared" si="197"/>
        <v>Комитет по управлению муниципальным имуществом города Курска</v>
      </c>
      <c r="M485" t="str">
        <f t="shared" si="200"/>
        <v>Неизвестно</v>
      </c>
      <c r="N485" t="str">
        <f t="shared" si="189"/>
        <v>Да</v>
      </c>
      <c r="O485" t="str">
        <f t="shared" si="201"/>
        <v>[46/3168] Т 6.3 - Т 6.4</v>
      </c>
      <c r="P485">
        <v>36.223710519999997</v>
      </c>
      <c r="Q485">
        <v>51.730358000000003</v>
      </c>
      <c r="R485" t="str">
        <f>"20000006262844"</f>
        <v>20000006262844</v>
      </c>
    </row>
    <row r="486" spans="1:18" x14ac:dyDescent="0.25">
      <c r="A486">
        <v>907</v>
      </c>
      <c r="B486" t="str">
        <f t="shared" si="187"/>
        <v>Курск</v>
      </c>
      <c r="C486">
        <v>920067</v>
      </c>
      <c r="D486" t="str">
        <f t="shared" si="194"/>
        <v>Опора</v>
      </c>
      <c r="E486" t="str">
        <f>"КИ 111 (084)"</f>
        <v>КИ 111 (084)</v>
      </c>
      <c r="F486" t="str">
        <f>""</f>
        <v/>
      </c>
      <c r="G486" t="str">
        <f t="shared" si="195"/>
        <v>_ТС (CAB_TS)</v>
      </c>
      <c r="H486" t="str">
        <f t="shared" si="196"/>
        <v>ТС</v>
      </c>
      <c r="I486" t="str">
        <f t="shared" si="198"/>
        <v>21.12.2020</v>
      </c>
      <c r="J486" t="str">
        <f>""</f>
        <v/>
      </c>
      <c r="K486" t="str">
        <f t="shared" si="199"/>
        <v>АКТ №4654</v>
      </c>
      <c r="L486" t="str">
        <f t="shared" si="197"/>
        <v>Комитет по управлению муниципальным имуществом города Курска</v>
      </c>
      <c r="M486" t="str">
        <f t="shared" si="200"/>
        <v>Неизвестно</v>
      </c>
      <c r="N486" t="str">
        <f t="shared" si="189"/>
        <v>Да</v>
      </c>
      <c r="O486" t="str">
        <f t="shared" si="201"/>
        <v>[46/3168] Т 6.3 - Т 6.4</v>
      </c>
      <c r="P486">
        <v>36.223875470000003</v>
      </c>
      <c r="Q486">
        <v>51.730660350000001</v>
      </c>
      <c r="R486" t="str">
        <f>"20000006262843"</f>
        <v>20000006262843</v>
      </c>
    </row>
    <row r="487" spans="1:18" x14ac:dyDescent="0.25">
      <c r="A487">
        <v>907</v>
      </c>
      <c r="B487" t="str">
        <f t="shared" si="187"/>
        <v>Курск</v>
      </c>
      <c r="C487">
        <v>920066</v>
      </c>
      <c r="D487" t="str">
        <f t="shared" si="194"/>
        <v>Опора</v>
      </c>
      <c r="E487" t="str">
        <f>"КИ 111 (085)"</f>
        <v>КИ 111 (085)</v>
      </c>
      <c r="F487" t="str">
        <f>""</f>
        <v/>
      </c>
      <c r="G487" t="str">
        <f t="shared" si="195"/>
        <v>_ТС (CAB_TS)</v>
      </c>
      <c r="H487" t="str">
        <f t="shared" si="196"/>
        <v>ТС</v>
      </c>
      <c r="I487" t="str">
        <f t="shared" si="198"/>
        <v>21.12.2020</v>
      </c>
      <c r="J487" t="str">
        <f>""</f>
        <v/>
      </c>
      <c r="K487" t="str">
        <f t="shared" si="199"/>
        <v>АКТ №4654</v>
      </c>
      <c r="L487" t="str">
        <f t="shared" si="197"/>
        <v>Комитет по управлению муниципальным имуществом города Курска</v>
      </c>
      <c r="M487" t="str">
        <f t="shared" si="200"/>
        <v>Неизвестно</v>
      </c>
      <c r="N487" t="str">
        <f t="shared" si="189"/>
        <v>Да</v>
      </c>
      <c r="O487" t="str">
        <f t="shared" si="201"/>
        <v>[46/3168] Т 6.3 - Т 6.4</v>
      </c>
      <c r="P487">
        <v>36.224032379999997</v>
      </c>
      <c r="Q487">
        <v>51.730961860000001</v>
      </c>
      <c r="R487" t="str">
        <f>"20000006262842"</f>
        <v>20000006262842</v>
      </c>
    </row>
    <row r="488" spans="1:18" x14ac:dyDescent="0.25">
      <c r="A488">
        <v>907</v>
      </c>
      <c r="B488" t="str">
        <f t="shared" si="187"/>
        <v>Курск</v>
      </c>
      <c r="C488">
        <v>920065</v>
      </c>
      <c r="D488" t="str">
        <f t="shared" si="194"/>
        <v>Опора</v>
      </c>
      <c r="E488" t="str">
        <f>"КИ 111 (086)"</f>
        <v>КИ 111 (086)</v>
      </c>
      <c r="F488" t="str">
        <f>""</f>
        <v/>
      </c>
      <c r="G488" t="str">
        <f t="shared" si="195"/>
        <v>_ТС (CAB_TS)</v>
      </c>
      <c r="H488" t="str">
        <f t="shared" si="196"/>
        <v>ТС</v>
      </c>
      <c r="I488" t="str">
        <f t="shared" si="198"/>
        <v>21.12.2020</v>
      </c>
      <c r="J488" t="str">
        <f>""</f>
        <v/>
      </c>
      <c r="K488" t="str">
        <f t="shared" si="199"/>
        <v>АКТ №4654</v>
      </c>
      <c r="L488" t="str">
        <f t="shared" si="197"/>
        <v>Комитет по управлению муниципальным имуществом города Курска</v>
      </c>
      <c r="M488" t="str">
        <f t="shared" si="200"/>
        <v>Неизвестно</v>
      </c>
      <c r="N488" t="str">
        <f t="shared" si="189"/>
        <v>Да</v>
      </c>
      <c r="O488" t="str">
        <f t="shared" si="201"/>
        <v>[46/3168] Т 6.3 - Т 6.4</v>
      </c>
      <c r="P488">
        <v>36.224165149999997</v>
      </c>
      <c r="Q488">
        <v>51.731271679999999</v>
      </c>
      <c r="R488" t="str">
        <f>"20000006262841"</f>
        <v>20000006262841</v>
      </c>
    </row>
    <row r="489" spans="1:18" x14ac:dyDescent="0.25">
      <c r="A489">
        <v>907</v>
      </c>
      <c r="B489" t="str">
        <f t="shared" si="187"/>
        <v>Курск</v>
      </c>
      <c r="C489">
        <v>920064</v>
      </c>
      <c r="D489" t="str">
        <f t="shared" si="194"/>
        <v>Опора</v>
      </c>
      <c r="E489" t="str">
        <f>"КИ 111 (087)"</f>
        <v>КИ 111 (087)</v>
      </c>
      <c r="F489" t="str">
        <f>""</f>
        <v/>
      </c>
      <c r="G489" t="str">
        <f t="shared" si="195"/>
        <v>_ТС (CAB_TS)</v>
      </c>
      <c r="H489" t="str">
        <f t="shared" si="196"/>
        <v>ТС</v>
      </c>
      <c r="I489" t="str">
        <f t="shared" si="198"/>
        <v>21.12.2020</v>
      </c>
      <c r="J489" t="str">
        <f>""</f>
        <v/>
      </c>
      <c r="K489" t="str">
        <f t="shared" si="199"/>
        <v>АКТ №4654</v>
      </c>
      <c r="L489" t="str">
        <f t="shared" si="197"/>
        <v>Комитет по управлению муниципальным имуществом города Курска</v>
      </c>
      <c r="M489" t="str">
        <f t="shared" si="200"/>
        <v>Неизвестно</v>
      </c>
      <c r="N489" t="str">
        <f t="shared" si="189"/>
        <v>Да</v>
      </c>
      <c r="O489" t="str">
        <f t="shared" si="201"/>
        <v>[46/3168] Т 6.3 - Т 6.4</v>
      </c>
      <c r="P489">
        <v>36.224287189999998</v>
      </c>
      <c r="Q489">
        <v>51.731564890000001</v>
      </c>
      <c r="R489" t="str">
        <f>"20000006262840"</f>
        <v>20000006262840</v>
      </c>
    </row>
    <row r="490" spans="1:18" x14ac:dyDescent="0.25">
      <c r="A490">
        <v>907</v>
      </c>
      <c r="B490" t="str">
        <f t="shared" si="187"/>
        <v>Курск</v>
      </c>
      <c r="C490">
        <v>920063</v>
      </c>
      <c r="D490" t="str">
        <f t="shared" si="194"/>
        <v>Опора</v>
      </c>
      <c r="E490" t="str">
        <f>"КИ 111 (088)"</f>
        <v>КИ 111 (088)</v>
      </c>
      <c r="F490" t="str">
        <f>""</f>
        <v/>
      </c>
      <c r="G490" t="str">
        <f t="shared" si="195"/>
        <v>_ТС (CAB_TS)</v>
      </c>
      <c r="H490" t="str">
        <f t="shared" si="196"/>
        <v>ТС</v>
      </c>
      <c r="I490" t="str">
        <f t="shared" si="198"/>
        <v>21.12.2020</v>
      </c>
      <c r="J490" t="str">
        <f>""</f>
        <v/>
      </c>
      <c r="K490" t="str">
        <f t="shared" si="199"/>
        <v>АКТ №4654</v>
      </c>
      <c r="L490" t="str">
        <f t="shared" si="197"/>
        <v>Комитет по управлению муниципальным имуществом города Курска</v>
      </c>
      <c r="M490" t="str">
        <f t="shared" si="200"/>
        <v>Неизвестно</v>
      </c>
      <c r="N490" t="str">
        <f t="shared" si="189"/>
        <v>Да</v>
      </c>
      <c r="O490" t="str">
        <f t="shared" si="201"/>
        <v>[46/3168] Т 6.3 - Т 6.4</v>
      </c>
      <c r="P490">
        <v>36.224394480000001</v>
      </c>
      <c r="Q490">
        <v>51.731881350000002</v>
      </c>
      <c r="R490" t="str">
        <f>"20000006262839"</f>
        <v>20000006262839</v>
      </c>
    </row>
    <row r="491" spans="1:18" x14ac:dyDescent="0.25">
      <c r="A491">
        <v>907</v>
      </c>
      <c r="B491" t="str">
        <f t="shared" si="187"/>
        <v>Курск</v>
      </c>
      <c r="C491">
        <v>920062</v>
      </c>
      <c r="D491" t="str">
        <f t="shared" si="194"/>
        <v>Опора</v>
      </c>
      <c r="E491" t="str">
        <f>"КИ 111 (089)"</f>
        <v>КИ 111 (089)</v>
      </c>
      <c r="F491" t="str">
        <f>""</f>
        <v/>
      </c>
      <c r="G491" t="str">
        <f t="shared" si="195"/>
        <v>_ТС (CAB_TS)</v>
      </c>
      <c r="H491" t="str">
        <f t="shared" si="196"/>
        <v>ТС</v>
      </c>
      <c r="I491" t="str">
        <f t="shared" si="198"/>
        <v>21.12.2020</v>
      </c>
      <c r="J491" t="str">
        <f>""</f>
        <v/>
      </c>
      <c r="K491" t="str">
        <f t="shared" si="199"/>
        <v>АКТ №4654</v>
      </c>
      <c r="L491" t="str">
        <f t="shared" si="197"/>
        <v>Комитет по управлению муниципальным имуществом города Курска</v>
      </c>
      <c r="M491" t="str">
        <f t="shared" si="200"/>
        <v>Неизвестно</v>
      </c>
      <c r="N491" t="str">
        <f t="shared" si="189"/>
        <v>Да</v>
      </c>
      <c r="O491" t="str">
        <f t="shared" si="201"/>
        <v>[46/3168] Т 6.3 - Т 6.4</v>
      </c>
      <c r="P491">
        <v>36.224509820000002</v>
      </c>
      <c r="Q491">
        <v>51.73219864</v>
      </c>
      <c r="R491" t="str">
        <f>"20000006262838"</f>
        <v>20000006262838</v>
      </c>
    </row>
    <row r="492" spans="1:18" x14ac:dyDescent="0.25">
      <c r="A492">
        <v>907</v>
      </c>
      <c r="B492" t="str">
        <f t="shared" si="187"/>
        <v>Курск</v>
      </c>
      <c r="C492">
        <v>920061</v>
      </c>
      <c r="D492" t="str">
        <f t="shared" si="194"/>
        <v>Опора</v>
      </c>
      <c r="E492" t="str">
        <f>"КИ 111 (090)"</f>
        <v>КИ 111 (090)</v>
      </c>
      <c r="F492" t="str">
        <f>""</f>
        <v/>
      </c>
      <c r="G492" t="str">
        <f t="shared" si="195"/>
        <v>_ТС (CAB_TS)</v>
      </c>
      <c r="H492" t="str">
        <f t="shared" si="196"/>
        <v>ТС</v>
      </c>
      <c r="I492" t="str">
        <f t="shared" si="198"/>
        <v>21.12.2020</v>
      </c>
      <c r="J492" t="str">
        <f>""</f>
        <v/>
      </c>
      <c r="K492" t="str">
        <f t="shared" si="199"/>
        <v>АКТ №4654</v>
      </c>
      <c r="L492" t="str">
        <f t="shared" si="197"/>
        <v>Комитет по управлению муниципальным имуществом города Курска</v>
      </c>
      <c r="M492" t="str">
        <f t="shared" si="200"/>
        <v>Неизвестно</v>
      </c>
      <c r="N492" t="str">
        <f t="shared" si="189"/>
        <v>Да</v>
      </c>
      <c r="O492" t="str">
        <f t="shared" si="201"/>
        <v>[46/3168] Т 6.3 - Т 6.4</v>
      </c>
      <c r="P492">
        <v>36.224598329999999</v>
      </c>
      <c r="Q492">
        <v>51.732506790000002</v>
      </c>
      <c r="R492" t="str">
        <f>"20000006262837"</f>
        <v>20000006262837</v>
      </c>
    </row>
    <row r="493" spans="1:18" x14ac:dyDescent="0.25">
      <c r="A493">
        <v>907</v>
      </c>
      <c r="B493" t="str">
        <f t="shared" si="187"/>
        <v>Курск</v>
      </c>
      <c r="C493">
        <v>920060</v>
      </c>
      <c r="D493" t="str">
        <f t="shared" si="194"/>
        <v>Опора</v>
      </c>
      <c r="E493" t="str">
        <f>"КИ 111 (091)"</f>
        <v>КИ 111 (091)</v>
      </c>
      <c r="F493" t="str">
        <f>""</f>
        <v/>
      </c>
      <c r="G493" t="str">
        <f t="shared" si="195"/>
        <v>_ТС (CAB_TS)</v>
      </c>
      <c r="H493" t="str">
        <f t="shared" si="196"/>
        <v>ТС</v>
      </c>
      <c r="I493" t="str">
        <f t="shared" si="198"/>
        <v>21.12.2020</v>
      </c>
      <c r="J493" t="str">
        <f>""</f>
        <v/>
      </c>
      <c r="K493" t="str">
        <f t="shared" si="199"/>
        <v>АКТ №4654</v>
      </c>
      <c r="L493" t="str">
        <f t="shared" si="197"/>
        <v>Комитет по управлению муниципальным имуществом города Курска</v>
      </c>
      <c r="M493" t="str">
        <f t="shared" si="200"/>
        <v>Неизвестно</v>
      </c>
      <c r="N493" t="str">
        <f t="shared" si="189"/>
        <v>Да</v>
      </c>
      <c r="O493" t="str">
        <f t="shared" si="201"/>
        <v>[46/3168] Т 6.3 - Т 6.4</v>
      </c>
      <c r="P493">
        <v>36.224681480000001</v>
      </c>
      <c r="Q493">
        <v>51.73281411</v>
      </c>
      <c r="R493" t="str">
        <f>"20000006262836"</f>
        <v>20000006262836</v>
      </c>
    </row>
    <row r="494" spans="1:18" x14ac:dyDescent="0.25">
      <c r="A494">
        <v>907</v>
      </c>
      <c r="B494" t="str">
        <f t="shared" si="187"/>
        <v>Курск</v>
      </c>
      <c r="C494">
        <v>920059</v>
      </c>
      <c r="D494" t="str">
        <f t="shared" si="194"/>
        <v>Опора</v>
      </c>
      <c r="E494" t="str">
        <f>"КИ 111 (092)"</f>
        <v>КИ 111 (092)</v>
      </c>
      <c r="F494" t="str">
        <f>""</f>
        <v/>
      </c>
      <c r="G494" t="str">
        <f t="shared" si="195"/>
        <v>_ТС (CAB_TS)</v>
      </c>
      <c r="H494" t="str">
        <f t="shared" si="196"/>
        <v>ТС</v>
      </c>
      <c r="I494" t="str">
        <f t="shared" si="198"/>
        <v>21.12.2020</v>
      </c>
      <c r="J494" t="str">
        <f>""</f>
        <v/>
      </c>
      <c r="K494" t="str">
        <f t="shared" si="199"/>
        <v>АКТ №4654</v>
      </c>
      <c r="L494" t="str">
        <f t="shared" si="197"/>
        <v>Комитет по управлению муниципальным имуществом города Курска</v>
      </c>
      <c r="M494" t="str">
        <f t="shared" si="200"/>
        <v>Неизвестно</v>
      </c>
      <c r="N494" t="str">
        <f t="shared" si="189"/>
        <v>Да</v>
      </c>
      <c r="O494" t="str">
        <f t="shared" si="201"/>
        <v>[46/3168] Т 6.3 - Т 6.4</v>
      </c>
      <c r="P494">
        <v>36.224764630000003</v>
      </c>
      <c r="Q494">
        <v>51.733118930000003</v>
      </c>
      <c r="R494" t="str">
        <f>"20000006262835"</f>
        <v>20000006262835</v>
      </c>
    </row>
    <row r="495" spans="1:18" x14ac:dyDescent="0.25">
      <c r="A495">
        <v>907</v>
      </c>
      <c r="B495" t="str">
        <f t="shared" si="187"/>
        <v>Курск</v>
      </c>
      <c r="C495">
        <v>920058</v>
      </c>
      <c r="D495" t="str">
        <f t="shared" si="194"/>
        <v>Опора</v>
      </c>
      <c r="E495" t="str">
        <f>"КИ 111 (093)"</f>
        <v>КИ 111 (093)</v>
      </c>
      <c r="F495" t="str">
        <f>""</f>
        <v/>
      </c>
      <c r="G495" t="str">
        <f t="shared" si="195"/>
        <v>_ТС (CAB_TS)</v>
      </c>
      <c r="H495" t="str">
        <f t="shared" si="196"/>
        <v>ТС</v>
      </c>
      <c r="I495" t="str">
        <f t="shared" si="198"/>
        <v>21.12.2020</v>
      </c>
      <c r="J495" t="str">
        <f>""</f>
        <v/>
      </c>
      <c r="K495" t="str">
        <f t="shared" si="199"/>
        <v>АКТ №4654</v>
      </c>
      <c r="L495" t="str">
        <f t="shared" si="197"/>
        <v>Комитет по управлению муниципальным имуществом города Курска</v>
      </c>
      <c r="M495" t="str">
        <f t="shared" si="200"/>
        <v>Неизвестно</v>
      </c>
      <c r="N495" t="str">
        <f t="shared" si="189"/>
        <v>Да</v>
      </c>
      <c r="O495" t="str">
        <f t="shared" si="201"/>
        <v>[46/3168] Т 6.3 - Т 6.4</v>
      </c>
      <c r="P495">
        <v>36.224838390000002</v>
      </c>
      <c r="Q495">
        <v>51.733431230000001</v>
      </c>
      <c r="R495" t="str">
        <f>"20000006262834"</f>
        <v>20000006262834</v>
      </c>
    </row>
    <row r="496" spans="1:18" x14ac:dyDescent="0.25">
      <c r="A496">
        <v>907</v>
      </c>
      <c r="B496" t="str">
        <f t="shared" si="187"/>
        <v>Курск</v>
      </c>
      <c r="C496">
        <v>920057</v>
      </c>
      <c r="D496" t="str">
        <f t="shared" si="194"/>
        <v>Опора</v>
      </c>
      <c r="E496" t="str">
        <f>"КИ 111 (094)"</f>
        <v>КИ 111 (094)</v>
      </c>
      <c r="F496" t="str">
        <f>""</f>
        <v/>
      </c>
      <c r="G496" t="str">
        <f t="shared" si="195"/>
        <v>_ТС (CAB_TS)</v>
      </c>
      <c r="H496" t="str">
        <f t="shared" si="196"/>
        <v>ТС</v>
      </c>
      <c r="I496" t="str">
        <f t="shared" si="198"/>
        <v>21.12.2020</v>
      </c>
      <c r="J496" t="str">
        <f>""</f>
        <v/>
      </c>
      <c r="K496" t="str">
        <f t="shared" si="199"/>
        <v>АКТ №4654</v>
      </c>
      <c r="L496" t="str">
        <f t="shared" si="197"/>
        <v>Комитет по управлению муниципальным имуществом города Курска</v>
      </c>
      <c r="M496" t="str">
        <f t="shared" si="200"/>
        <v>Неизвестно</v>
      </c>
      <c r="N496" t="str">
        <f t="shared" si="189"/>
        <v>Да</v>
      </c>
      <c r="O496" t="str">
        <f t="shared" si="201"/>
        <v>[46/3168] Т 6.3 - Т 6.4</v>
      </c>
      <c r="P496">
        <v>36.224925560000003</v>
      </c>
      <c r="Q496">
        <v>51.733743519999997</v>
      </c>
      <c r="R496" t="str">
        <f>"20000006262833"</f>
        <v>20000006262833</v>
      </c>
    </row>
    <row r="497" spans="1:18" x14ac:dyDescent="0.25">
      <c r="A497">
        <v>907</v>
      </c>
      <c r="B497" t="str">
        <f t="shared" si="187"/>
        <v>Курск</v>
      </c>
      <c r="C497">
        <v>920056</v>
      </c>
      <c r="D497" t="str">
        <f t="shared" si="194"/>
        <v>Опора</v>
      </c>
      <c r="E497" t="str">
        <f>"КИ 111 (095)"</f>
        <v>КИ 111 (095)</v>
      </c>
      <c r="F497" t="str">
        <f>""</f>
        <v/>
      </c>
      <c r="G497" t="str">
        <f t="shared" si="195"/>
        <v>_ТС (CAB_TS)</v>
      </c>
      <c r="H497" t="str">
        <f t="shared" si="196"/>
        <v>ТС</v>
      </c>
      <c r="I497" t="str">
        <f t="shared" si="198"/>
        <v>21.12.2020</v>
      </c>
      <c r="J497" t="str">
        <f>""</f>
        <v/>
      </c>
      <c r="K497" t="str">
        <f t="shared" si="199"/>
        <v>АКТ №4654</v>
      </c>
      <c r="L497" t="str">
        <f t="shared" si="197"/>
        <v>Комитет по управлению муниципальным имуществом города Курска</v>
      </c>
      <c r="M497" t="str">
        <f t="shared" si="200"/>
        <v>Неизвестно</v>
      </c>
      <c r="N497" t="str">
        <f t="shared" si="189"/>
        <v>Да</v>
      </c>
      <c r="O497" t="str">
        <f t="shared" si="201"/>
        <v>[46/3168] Т 6.3 - Т 6.4</v>
      </c>
      <c r="P497">
        <v>36.225022119999998</v>
      </c>
      <c r="Q497">
        <v>51.734067439999997</v>
      </c>
      <c r="R497" t="str">
        <f>"20000006262832"</f>
        <v>20000006262832</v>
      </c>
    </row>
    <row r="498" spans="1:18" x14ac:dyDescent="0.25">
      <c r="A498">
        <v>907</v>
      </c>
      <c r="B498" t="str">
        <f t="shared" si="187"/>
        <v>Курск</v>
      </c>
      <c r="C498">
        <v>920055</v>
      </c>
      <c r="D498" t="str">
        <f t="shared" si="194"/>
        <v>Опора</v>
      </c>
      <c r="E498" t="str">
        <f>"КИ 111 (096)"</f>
        <v>КИ 111 (096)</v>
      </c>
      <c r="F498" t="str">
        <f>""</f>
        <v/>
      </c>
      <c r="G498" t="str">
        <f t="shared" si="195"/>
        <v>_ТС (CAB_TS)</v>
      </c>
      <c r="H498" t="str">
        <f t="shared" si="196"/>
        <v>ТС</v>
      </c>
      <c r="I498" t="str">
        <f t="shared" si="198"/>
        <v>21.12.2020</v>
      </c>
      <c r="J498" t="str">
        <f>""</f>
        <v/>
      </c>
      <c r="K498" t="str">
        <f t="shared" si="199"/>
        <v>АКТ №4654</v>
      </c>
      <c r="L498" t="str">
        <f t="shared" si="197"/>
        <v>Комитет по управлению муниципальным имуществом города Курска</v>
      </c>
      <c r="M498" t="str">
        <f t="shared" si="200"/>
        <v>Неизвестно</v>
      </c>
      <c r="N498" t="str">
        <f t="shared" si="189"/>
        <v>Да</v>
      </c>
      <c r="O498" t="str">
        <f t="shared" si="201"/>
        <v>[46/3168] Т 6.3 - Т 6.4</v>
      </c>
      <c r="P498">
        <v>36.225121360000003</v>
      </c>
      <c r="Q498">
        <v>51.734397170000001</v>
      </c>
      <c r="R498" t="str">
        <f>"20000006262831"</f>
        <v>20000006262831</v>
      </c>
    </row>
    <row r="499" spans="1:18" x14ac:dyDescent="0.25">
      <c r="A499">
        <v>907</v>
      </c>
      <c r="B499" t="str">
        <f t="shared" si="187"/>
        <v>Курск</v>
      </c>
      <c r="C499">
        <v>920054</v>
      </c>
      <c r="D499" t="str">
        <f t="shared" si="194"/>
        <v>Опора</v>
      </c>
      <c r="E499" t="str">
        <f>"КИ 111 (097)"</f>
        <v>КИ 111 (097)</v>
      </c>
      <c r="F499" t="str">
        <f>""</f>
        <v/>
      </c>
      <c r="G499" t="str">
        <f t="shared" si="195"/>
        <v>_ТС (CAB_TS)</v>
      </c>
      <c r="H499" t="str">
        <f t="shared" si="196"/>
        <v>ТС</v>
      </c>
      <c r="I499" t="str">
        <f t="shared" si="198"/>
        <v>21.12.2020</v>
      </c>
      <c r="J499" t="str">
        <f>""</f>
        <v/>
      </c>
      <c r="K499" t="str">
        <f t="shared" si="199"/>
        <v>АКТ №4654</v>
      </c>
      <c r="L499" t="str">
        <f t="shared" si="197"/>
        <v>Комитет по управлению муниципальным имуществом города Курска</v>
      </c>
      <c r="M499" t="str">
        <f t="shared" si="200"/>
        <v>Неизвестно</v>
      </c>
      <c r="N499" t="str">
        <f t="shared" si="189"/>
        <v>Да</v>
      </c>
      <c r="O499" t="str">
        <f t="shared" si="201"/>
        <v>[46/3168] Т 6.3 - Т 6.4</v>
      </c>
      <c r="P499">
        <v>36.225218589999997</v>
      </c>
      <c r="Q499">
        <v>51.734730640000002</v>
      </c>
      <c r="R499" t="str">
        <f>"20000006262830"</f>
        <v>20000006262830</v>
      </c>
    </row>
    <row r="500" spans="1:18" x14ac:dyDescent="0.25">
      <c r="A500">
        <v>907</v>
      </c>
      <c r="B500" t="str">
        <f t="shared" si="187"/>
        <v>Курск</v>
      </c>
      <c r="C500">
        <v>920053</v>
      </c>
      <c r="D500" t="str">
        <f t="shared" si="194"/>
        <v>Опора</v>
      </c>
      <c r="E500" t="str">
        <f>"КИ 111 (098)"</f>
        <v>КИ 111 (098)</v>
      </c>
      <c r="F500" t="str">
        <f>""</f>
        <v/>
      </c>
      <c r="G500" t="str">
        <f t="shared" si="195"/>
        <v>_ТС (CAB_TS)</v>
      </c>
      <c r="H500" t="str">
        <f t="shared" si="196"/>
        <v>ТС</v>
      </c>
      <c r="I500" t="str">
        <f t="shared" si="198"/>
        <v>21.12.2020</v>
      </c>
      <c r="J500" t="str">
        <f>""</f>
        <v/>
      </c>
      <c r="K500" t="str">
        <f t="shared" si="199"/>
        <v>АКТ №4654</v>
      </c>
      <c r="L500" t="str">
        <f t="shared" si="197"/>
        <v>Комитет по управлению муниципальным имуществом города Курска</v>
      </c>
      <c r="M500" t="str">
        <f t="shared" si="200"/>
        <v>Неизвестно</v>
      </c>
      <c r="N500" t="str">
        <f t="shared" si="189"/>
        <v>Да</v>
      </c>
      <c r="O500" t="str">
        <f t="shared" si="201"/>
        <v>[46/3168] Т 6.3 - Т 6.4</v>
      </c>
      <c r="P500">
        <v>36.225305089999999</v>
      </c>
      <c r="Q500">
        <v>51.735024660000001</v>
      </c>
      <c r="R500" t="str">
        <f>"20000006262829"</f>
        <v>20000006262829</v>
      </c>
    </row>
    <row r="501" spans="1:18" x14ac:dyDescent="0.25">
      <c r="A501">
        <v>907</v>
      </c>
      <c r="B501" t="str">
        <f t="shared" si="187"/>
        <v>Курск</v>
      </c>
      <c r="C501">
        <v>920052</v>
      </c>
      <c r="D501" t="str">
        <f t="shared" si="194"/>
        <v>Опора</v>
      </c>
      <c r="E501" t="str">
        <f>"КИ 111 (099)"</f>
        <v>КИ 111 (099)</v>
      </c>
      <c r="F501" t="str">
        <f>""</f>
        <v/>
      </c>
      <c r="G501" t="str">
        <f t="shared" si="195"/>
        <v>_ТС (CAB_TS)</v>
      </c>
      <c r="H501" t="str">
        <f t="shared" si="196"/>
        <v>ТС</v>
      </c>
      <c r="I501" t="str">
        <f t="shared" si="198"/>
        <v>21.12.2020</v>
      </c>
      <c r="J501" t="str">
        <f>""</f>
        <v/>
      </c>
      <c r="K501" t="str">
        <f t="shared" si="199"/>
        <v>АКТ №4654</v>
      </c>
      <c r="L501" t="str">
        <f t="shared" si="197"/>
        <v>Комитет по управлению муниципальным имуществом города Курска</v>
      </c>
      <c r="M501" t="str">
        <f t="shared" si="200"/>
        <v>Неизвестно</v>
      </c>
      <c r="N501" t="str">
        <f t="shared" si="189"/>
        <v>Да</v>
      </c>
      <c r="O501" t="str">
        <f t="shared" si="201"/>
        <v>[46/3168] Т 6.3 - Т 6.4</v>
      </c>
      <c r="P501">
        <v>36.225386899999997</v>
      </c>
      <c r="Q501">
        <v>51.735380130000003</v>
      </c>
      <c r="R501" t="str">
        <f>"20000006262828"</f>
        <v>20000006262828</v>
      </c>
    </row>
    <row r="502" spans="1:18" x14ac:dyDescent="0.25">
      <c r="A502">
        <v>907</v>
      </c>
      <c r="B502" t="str">
        <f t="shared" si="187"/>
        <v>Курск</v>
      </c>
      <c r="C502">
        <v>920051</v>
      </c>
      <c r="D502" t="str">
        <f t="shared" si="194"/>
        <v>Опора</v>
      </c>
      <c r="E502" t="str">
        <f>"КИ 111 (0100)"</f>
        <v>КИ 111 (0100)</v>
      </c>
      <c r="F502" t="str">
        <f>""</f>
        <v/>
      </c>
      <c r="G502" t="str">
        <f t="shared" si="195"/>
        <v>_ТС (CAB_TS)</v>
      </c>
      <c r="H502" t="str">
        <f t="shared" si="196"/>
        <v>ТС</v>
      </c>
      <c r="I502" t="str">
        <f t="shared" si="198"/>
        <v>21.12.2020</v>
      </c>
      <c r="J502" t="str">
        <f>""</f>
        <v/>
      </c>
      <c r="K502" t="str">
        <f t="shared" si="199"/>
        <v>АКТ №4654</v>
      </c>
      <c r="L502" t="str">
        <f t="shared" si="197"/>
        <v>Комитет по управлению муниципальным имуществом города Курска</v>
      </c>
      <c r="M502" t="str">
        <f t="shared" si="200"/>
        <v>Неизвестно</v>
      </c>
      <c r="N502" t="str">
        <f t="shared" si="189"/>
        <v>Да</v>
      </c>
      <c r="O502" t="str">
        <f t="shared" ref="O502:O509" si="202">"[46/3169] Т 6.4 - Т 6.5"</f>
        <v>[46/3169] Т 6.4 - Т 6.5</v>
      </c>
      <c r="P502">
        <v>36.225470049999998</v>
      </c>
      <c r="Q502">
        <v>51.73563884</v>
      </c>
      <c r="R502" t="str">
        <f>"20000006262827"</f>
        <v>20000006262827</v>
      </c>
    </row>
    <row r="503" spans="1:18" x14ac:dyDescent="0.25">
      <c r="A503">
        <v>907</v>
      </c>
      <c r="B503" t="str">
        <f t="shared" si="187"/>
        <v>Курск</v>
      </c>
      <c r="C503">
        <v>920050</v>
      </c>
      <c r="D503" t="str">
        <f t="shared" si="194"/>
        <v>Опора</v>
      </c>
      <c r="E503" t="str">
        <f>"КИ 111 (0101)"</f>
        <v>КИ 111 (0101)</v>
      </c>
      <c r="F503" t="str">
        <f>""</f>
        <v/>
      </c>
      <c r="G503" t="str">
        <f t="shared" si="195"/>
        <v>_ТС (CAB_TS)</v>
      </c>
      <c r="H503" t="str">
        <f t="shared" si="196"/>
        <v>ТС</v>
      </c>
      <c r="I503" t="str">
        <f t="shared" si="198"/>
        <v>21.12.2020</v>
      </c>
      <c r="J503" t="str">
        <f>""</f>
        <v/>
      </c>
      <c r="K503" t="str">
        <f t="shared" si="199"/>
        <v>АКТ №4654</v>
      </c>
      <c r="L503" t="str">
        <f t="shared" si="197"/>
        <v>Комитет по управлению муниципальным имуществом города Курска</v>
      </c>
      <c r="M503" t="str">
        <f t="shared" si="200"/>
        <v>Неизвестно</v>
      </c>
      <c r="N503" t="str">
        <f t="shared" si="189"/>
        <v>Да</v>
      </c>
      <c r="O503" t="str">
        <f t="shared" si="202"/>
        <v>[46/3169] Т 6.4 - Т 6.5</v>
      </c>
      <c r="P503">
        <v>36.225565260000003</v>
      </c>
      <c r="Q503">
        <v>51.735961920000001</v>
      </c>
      <c r="R503" t="str">
        <f>"20000006262826"</f>
        <v>20000006262826</v>
      </c>
    </row>
    <row r="504" spans="1:18" x14ac:dyDescent="0.25">
      <c r="A504">
        <v>907</v>
      </c>
      <c r="B504" t="str">
        <f t="shared" si="187"/>
        <v>Курск</v>
      </c>
      <c r="C504">
        <v>920049</v>
      </c>
      <c r="D504" t="str">
        <f t="shared" ref="D504:D527" si="203">"Опора"</f>
        <v>Опора</v>
      </c>
      <c r="E504" t="str">
        <f>"КИ 111 (0102)"</f>
        <v>КИ 111 (0102)</v>
      </c>
      <c r="F504" t="str">
        <f>""</f>
        <v/>
      </c>
      <c r="G504" t="str">
        <f t="shared" ref="G504:G535" si="204">"_ТС (CAB_TS)"</f>
        <v>_ТС (CAB_TS)</v>
      </c>
      <c r="H504" t="str">
        <f t="shared" ref="H504:H535" si="205">"ТС"</f>
        <v>ТС</v>
      </c>
      <c r="I504" t="str">
        <f t="shared" si="198"/>
        <v>21.12.2020</v>
      </c>
      <c r="J504" t="str">
        <f>""</f>
        <v/>
      </c>
      <c r="K504" t="str">
        <f t="shared" si="199"/>
        <v>АКТ №4654</v>
      </c>
      <c r="L504" t="str">
        <f t="shared" ref="L504:L527" si="206">"Комитет по управлению муниципальным имуществом города Курска"</f>
        <v>Комитет по управлению муниципальным имуществом города Курска</v>
      </c>
      <c r="M504" t="str">
        <f t="shared" si="200"/>
        <v>Неизвестно</v>
      </c>
      <c r="N504" t="str">
        <f t="shared" si="189"/>
        <v>Да</v>
      </c>
      <c r="O504" t="str">
        <f t="shared" si="202"/>
        <v>[46/3169] Т 6.4 - Т 6.5</v>
      </c>
      <c r="P504">
        <v>36.225647070000001</v>
      </c>
      <c r="Q504">
        <v>51.736265060000001</v>
      </c>
      <c r="R504" t="str">
        <f>"20000006262875"</f>
        <v>20000006262875</v>
      </c>
    </row>
    <row r="505" spans="1:18" x14ac:dyDescent="0.25">
      <c r="A505">
        <v>907</v>
      </c>
      <c r="B505" t="str">
        <f t="shared" si="187"/>
        <v>Курск</v>
      </c>
      <c r="C505">
        <v>920048</v>
      </c>
      <c r="D505" t="str">
        <f t="shared" si="203"/>
        <v>Опора</v>
      </c>
      <c r="E505" t="str">
        <f>"КИ 111 (0103)"</f>
        <v>КИ 111 (0103)</v>
      </c>
      <c r="F505" t="str">
        <f>""</f>
        <v/>
      </c>
      <c r="G505" t="str">
        <f t="shared" si="204"/>
        <v>_ТС (CAB_TS)</v>
      </c>
      <c r="H505" t="str">
        <f t="shared" si="205"/>
        <v>ТС</v>
      </c>
      <c r="I505" t="str">
        <f t="shared" si="198"/>
        <v>21.12.2020</v>
      </c>
      <c r="J505" t="str">
        <f>""</f>
        <v/>
      </c>
      <c r="K505" t="str">
        <f t="shared" si="199"/>
        <v>АКТ №4654</v>
      </c>
      <c r="L505" t="str">
        <f t="shared" si="206"/>
        <v>Комитет по управлению муниципальным имуществом города Курска</v>
      </c>
      <c r="M505" t="str">
        <f t="shared" si="200"/>
        <v>Неизвестно</v>
      </c>
      <c r="N505" t="str">
        <f t="shared" si="189"/>
        <v>Да</v>
      </c>
      <c r="O505" t="str">
        <f t="shared" si="202"/>
        <v>[46/3169] Т 6.4 - Т 6.5</v>
      </c>
      <c r="P505">
        <v>36.225727540000001</v>
      </c>
      <c r="Q505">
        <v>51.736570690000001</v>
      </c>
      <c r="R505" t="str">
        <f>"20000006262747"</f>
        <v>20000006262747</v>
      </c>
    </row>
    <row r="506" spans="1:18" x14ac:dyDescent="0.25">
      <c r="A506">
        <v>907</v>
      </c>
      <c r="B506" t="str">
        <f t="shared" si="187"/>
        <v>Курск</v>
      </c>
      <c r="C506">
        <v>920047</v>
      </c>
      <c r="D506" t="str">
        <f t="shared" si="203"/>
        <v>Опора</v>
      </c>
      <c r="E506" t="str">
        <f>"КИ 111 (0104)"</f>
        <v>КИ 111 (0104)</v>
      </c>
      <c r="F506" t="str">
        <f>""</f>
        <v/>
      </c>
      <c r="G506" t="str">
        <f t="shared" si="204"/>
        <v>_ТС (CAB_TS)</v>
      </c>
      <c r="H506" t="str">
        <f t="shared" si="205"/>
        <v>ТС</v>
      </c>
      <c r="I506" t="str">
        <f t="shared" si="198"/>
        <v>21.12.2020</v>
      </c>
      <c r="J506" t="str">
        <f>""</f>
        <v/>
      </c>
      <c r="K506" t="str">
        <f t="shared" si="199"/>
        <v>АКТ №4654</v>
      </c>
      <c r="L506" t="str">
        <f t="shared" si="206"/>
        <v>Комитет по управлению муниципальным имуществом города Курска</v>
      </c>
      <c r="M506" t="str">
        <f t="shared" si="200"/>
        <v>Неизвестно</v>
      </c>
      <c r="N506" t="str">
        <f t="shared" si="189"/>
        <v>Да</v>
      </c>
      <c r="O506" t="str">
        <f t="shared" si="202"/>
        <v>[46/3169] Т 6.4 - Т 6.5</v>
      </c>
      <c r="P506">
        <v>36.225833489999999</v>
      </c>
      <c r="Q506">
        <v>51.736899569999999</v>
      </c>
      <c r="R506" t="str">
        <f>"20000006262746"</f>
        <v>20000006262746</v>
      </c>
    </row>
    <row r="507" spans="1:18" x14ac:dyDescent="0.25">
      <c r="A507">
        <v>907</v>
      </c>
      <c r="B507" t="str">
        <f t="shared" si="187"/>
        <v>Курск</v>
      </c>
      <c r="C507">
        <v>920046</v>
      </c>
      <c r="D507" t="str">
        <f t="shared" si="203"/>
        <v>Опора</v>
      </c>
      <c r="E507" t="str">
        <f>"КИ 111 (0105)"</f>
        <v>КИ 111 (0105)</v>
      </c>
      <c r="F507" t="str">
        <f>""</f>
        <v/>
      </c>
      <c r="G507" t="str">
        <f t="shared" si="204"/>
        <v>_ТС (CAB_TS)</v>
      </c>
      <c r="H507" t="str">
        <f t="shared" si="205"/>
        <v>ТС</v>
      </c>
      <c r="I507" t="str">
        <f t="shared" si="198"/>
        <v>21.12.2020</v>
      </c>
      <c r="J507" t="str">
        <f>""</f>
        <v/>
      </c>
      <c r="K507" t="str">
        <f t="shared" si="199"/>
        <v>АКТ №4654</v>
      </c>
      <c r="L507" t="str">
        <f t="shared" si="206"/>
        <v>Комитет по управлению муниципальным имуществом города Курска</v>
      </c>
      <c r="M507" t="str">
        <f t="shared" si="200"/>
        <v>Неизвестно</v>
      </c>
      <c r="N507" t="str">
        <f t="shared" si="189"/>
        <v>Да</v>
      </c>
      <c r="O507" t="str">
        <f t="shared" si="202"/>
        <v>[46/3169] Т 6.4 - Т 6.5</v>
      </c>
      <c r="P507">
        <v>36.225917979999998</v>
      </c>
      <c r="Q507">
        <v>51.737201050000003</v>
      </c>
      <c r="R507" t="str">
        <f>"20000006262745"</f>
        <v>20000006262745</v>
      </c>
    </row>
    <row r="508" spans="1:18" x14ac:dyDescent="0.25">
      <c r="A508">
        <v>907</v>
      </c>
      <c r="B508" t="str">
        <f t="shared" si="187"/>
        <v>Курск</v>
      </c>
      <c r="C508">
        <v>920045</v>
      </c>
      <c r="D508" t="str">
        <f t="shared" si="203"/>
        <v>Опора</v>
      </c>
      <c r="E508" t="str">
        <f>"КИ 111 (0106)"</f>
        <v>КИ 111 (0106)</v>
      </c>
      <c r="F508" t="str">
        <f>""</f>
        <v/>
      </c>
      <c r="G508" t="str">
        <f t="shared" si="204"/>
        <v>_ТС (CAB_TS)</v>
      </c>
      <c r="H508" t="str">
        <f t="shared" si="205"/>
        <v>ТС</v>
      </c>
      <c r="I508" t="str">
        <f t="shared" si="198"/>
        <v>21.12.2020</v>
      </c>
      <c r="J508" t="str">
        <f>""</f>
        <v/>
      </c>
      <c r="K508" t="str">
        <f t="shared" si="199"/>
        <v>АКТ №4654</v>
      </c>
      <c r="L508" t="str">
        <f t="shared" si="206"/>
        <v>Комитет по управлению муниципальным имуществом города Курска</v>
      </c>
      <c r="M508" t="str">
        <f t="shared" si="200"/>
        <v>Неизвестно</v>
      </c>
      <c r="N508" t="str">
        <f t="shared" si="189"/>
        <v>Да</v>
      </c>
      <c r="O508" t="str">
        <f t="shared" si="202"/>
        <v>[46/3169] Т 6.4 - Т 6.5</v>
      </c>
      <c r="P508">
        <v>36.226034650000003</v>
      </c>
      <c r="Q508">
        <v>51.737528259999998</v>
      </c>
      <c r="R508" t="str">
        <f>"20000006262744"</f>
        <v>20000006262744</v>
      </c>
    </row>
    <row r="509" spans="1:18" x14ac:dyDescent="0.25">
      <c r="A509">
        <v>907</v>
      </c>
      <c r="B509" t="str">
        <f t="shared" si="187"/>
        <v>Курск</v>
      </c>
      <c r="C509">
        <v>920044</v>
      </c>
      <c r="D509" t="str">
        <f t="shared" si="203"/>
        <v>Опора</v>
      </c>
      <c r="E509" t="str">
        <f>"КИ 111 (0107)"</f>
        <v>КИ 111 (0107)</v>
      </c>
      <c r="F509" t="str">
        <f>""</f>
        <v/>
      </c>
      <c r="G509" t="str">
        <f t="shared" si="204"/>
        <v>_ТС (CAB_TS)</v>
      </c>
      <c r="H509" t="str">
        <f t="shared" si="205"/>
        <v>ТС</v>
      </c>
      <c r="I509" t="str">
        <f t="shared" si="198"/>
        <v>21.12.2020</v>
      </c>
      <c r="J509" t="str">
        <f>""</f>
        <v/>
      </c>
      <c r="K509" t="str">
        <f t="shared" si="199"/>
        <v>АКТ №4654</v>
      </c>
      <c r="L509" t="str">
        <f t="shared" si="206"/>
        <v>Комитет по управлению муниципальным имуществом города Курска</v>
      </c>
      <c r="M509" t="str">
        <f t="shared" si="200"/>
        <v>Неизвестно</v>
      </c>
      <c r="N509" t="str">
        <f t="shared" si="189"/>
        <v>Да</v>
      </c>
      <c r="O509" t="str">
        <f t="shared" si="202"/>
        <v>[46/3169] Т 6.4 - Т 6.5</v>
      </c>
      <c r="P509">
        <v>36.22623179</v>
      </c>
      <c r="Q509">
        <v>51.737815619999999</v>
      </c>
      <c r="R509" t="str">
        <f>"20000006262743"</f>
        <v>20000006262743</v>
      </c>
    </row>
    <row r="510" spans="1:18" x14ac:dyDescent="0.25">
      <c r="A510">
        <v>907</v>
      </c>
      <c r="B510" t="str">
        <f t="shared" si="187"/>
        <v>Курск</v>
      </c>
      <c r="C510">
        <v>857485</v>
      </c>
      <c r="D510" t="str">
        <f t="shared" si="203"/>
        <v>Опора</v>
      </c>
      <c r="E510" t="str">
        <f>"КИ 4653 (342)"</f>
        <v>КИ 4653 (342)</v>
      </c>
      <c r="F510" t="str">
        <f>""</f>
        <v/>
      </c>
      <c r="G510" t="str">
        <f t="shared" si="204"/>
        <v>_ТС (CAB_TS)</v>
      </c>
      <c r="H510" t="str">
        <f t="shared" si="205"/>
        <v>ТС</v>
      </c>
      <c r="I510" t="str">
        <f t="shared" ref="I510:I527" si="207">"03.04.2013"</f>
        <v>03.04.2013</v>
      </c>
      <c r="J510" t="str">
        <f>""</f>
        <v/>
      </c>
      <c r="K510" t="str">
        <f t="shared" ref="K510:K527" si="208">"АКТ №4653"</f>
        <v>АКТ №4653</v>
      </c>
      <c r="L510" t="str">
        <f t="shared" si="206"/>
        <v>Комитет по управлению муниципальным имуществом города Курска</v>
      </c>
      <c r="M510" t="str">
        <f t="shared" ref="M510:M527" si="209">"Да"</f>
        <v>Да</v>
      </c>
      <c r="N510" t="str">
        <f t="shared" si="189"/>
        <v>Да</v>
      </c>
      <c r="O510" t="str">
        <f t="shared" ref="O510:O520" si="210">"[46/1652] Т 7.3 - Т 7.4"</f>
        <v>[46/1652] Т 7.3 - Т 7.4</v>
      </c>
      <c r="P510">
        <v>36.218160359999999</v>
      </c>
      <c r="Q510">
        <v>51.758229800000002</v>
      </c>
      <c r="R510" t="str">
        <f>"20000006263023"</f>
        <v>20000006263023</v>
      </c>
    </row>
    <row r="511" spans="1:18" x14ac:dyDescent="0.25">
      <c r="A511">
        <v>907</v>
      </c>
      <c r="B511" t="str">
        <f t="shared" si="187"/>
        <v>Курск</v>
      </c>
      <c r="C511">
        <v>857484</v>
      </c>
      <c r="D511" t="str">
        <f t="shared" si="203"/>
        <v>Опора</v>
      </c>
      <c r="E511" t="str">
        <f>"КИ 4653 (341)"</f>
        <v>КИ 4653 (341)</v>
      </c>
      <c r="F511" t="str">
        <f>""</f>
        <v/>
      </c>
      <c r="G511" t="str">
        <f t="shared" si="204"/>
        <v>_ТС (CAB_TS)</v>
      </c>
      <c r="H511" t="str">
        <f t="shared" si="205"/>
        <v>ТС</v>
      </c>
      <c r="I511" t="str">
        <f t="shared" si="207"/>
        <v>03.04.2013</v>
      </c>
      <c r="J511" t="str">
        <f>""</f>
        <v/>
      </c>
      <c r="K511" t="str">
        <f t="shared" si="208"/>
        <v>АКТ №4653</v>
      </c>
      <c r="L511" t="str">
        <f t="shared" si="206"/>
        <v>Комитет по управлению муниципальным имуществом города Курска</v>
      </c>
      <c r="M511" t="str">
        <f t="shared" si="209"/>
        <v>Да</v>
      </c>
      <c r="N511" t="str">
        <f t="shared" si="189"/>
        <v>Да</v>
      </c>
      <c r="O511" t="str">
        <f t="shared" si="210"/>
        <v>[46/1652] Т 7.3 - Т 7.4</v>
      </c>
      <c r="P511">
        <v>36.217997080000004</v>
      </c>
      <c r="Q511">
        <v>51.758025590000003</v>
      </c>
      <c r="R511" t="str">
        <f>"20000006263022"</f>
        <v>20000006263022</v>
      </c>
    </row>
    <row r="512" spans="1:18" x14ac:dyDescent="0.25">
      <c r="A512">
        <v>907</v>
      </c>
      <c r="B512" t="str">
        <f t="shared" si="187"/>
        <v>Курск</v>
      </c>
      <c r="C512">
        <v>857483</v>
      </c>
      <c r="D512" t="str">
        <f t="shared" si="203"/>
        <v>Опора</v>
      </c>
      <c r="E512" t="str">
        <f>"КИ 4653 (340)"</f>
        <v>КИ 4653 (340)</v>
      </c>
      <c r="F512" t="str">
        <f>""</f>
        <v/>
      </c>
      <c r="G512" t="str">
        <f t="shared" si="204"/>
        <v>_ТС (CAB_TS)</v>
      </c>
      <c r="H512" t="str">
        <f t="shared" si="205"/>
        <v>ТС</v>
      </c>
      <c r="I512" t="str">
        <f t="shared" si="207"/>
        <v>03.04.2013</v>
      </c>
      <c r="J512" t="str">
        <f>""</f>
        <v/>
      </c>
      <c r="K512" t="str">
        <f t="shared" si="208"/>
        <v>АКТ №4653</v>
      </c>
      <c r="L512" t="str">
        <f t="shared" si="206"/>
        <v>Комитет по управлению муниципальным имуществом города Курска</v>
      </c>
      <c r="M512" t="str">
        <f t="shared" si="209"/>
        <v>Да</v>
      </c>
      <c r="N512" t="str">
        <f t="shared" si="189"/>
        <v>Да</v>
      </c>
      <c r="O512" t="str">
        <f t="shared" si="210"/>
        <v>[46/1652] Т 7.3 - Т 7.4</v>
      </c>
      <c r="P512">
        <v>36.217779819999997</v>
      </c>
      <c r="Q512">
        <v>51.757766590000003</v>
      </c>
      <c r="R512" t="str">
        <f>"20000006263021"</f>
        <v>20000006263021</v>
      </c>
    </row>
    <row r="513" spans="1:18" x14ac:dyDescent="0.25">
      <c r="A513">
        <v>907</v>
      </c>
      <c r="B513" t="str">
        <f t="shared" si="187"/>
        <v>Курск</v>
      </c>
      <c r="C513">
        <v>857482</v>
      </c>
      <c r="D513" t="str">
        <f t="shared" si="203"/>
        <v>Опора</v>
      </c>
      <c r="E513" t="str">
        <f>"КИ 4653 (339)"</f>
        <v>КИ 4653 (339)</v>
      </c>
      <c r="F513" t="str">
        <f>""</f>
        <v/>
      </c>
      <c r="G513" t="str">
        <f t="shared" si="204"/>
        <v>_ТС (CAB_TS)</v>
      </c>
      <c r="H513" t="str">
        <f t="shared" si="205"/>
        <v>ТС</v>
      </c>
      <c r="I513" t="str">
        <f t="shared" si="207"/>
        <v>03.04.2013</v>
      </c>
      <c r="J513" t="str">
        <f>""</f>
        <v/>
      </c>
      <c r="K513" t="str">
        <f t="shared" si="208"/>
        <v>АКТ №4653</v>
      </c>
      <c r="L513" t="str">
        <f t="shared" si="206"/>
        <v>Комитет по управлению муниципальным имуществом города Курска</v>
      </c>
      <c r="M513" t="str">
        <f t="shared" si="209"/>
        <v>Да</v>
      </c>
      <c r="N513" t="str">
        <f t="shared" si="189"/>
        <v>Да</v>
      </c>
      <c r="O513" t="str">
        <f t="shared" si="210"/>
        <v>[46/1652] Т 7.3 - Т 7.4</v>
      </c>
      <c r="P513">
        <v>36.217471359999998</v>
      </c>
      <c r="Q513">
        <v>51.757552420000003</v>
      </c>
      <c r="R513" t="str">
        <f>"20000006263020"</f>
        <v>20000006263020</v>
      </c>
    </row>
    <row r="514" spans="1:18" x14ac:dyDescent="0.25">
      <c r="A514">
        <v>907</v>
      </c>
      <c r="B514" t="str">
        <f t="shared" ref="B514:B577" si="211">"Курск"</f>
        <v>Курск</v>
      </c>
      <c r="C514">
        <v>857479</v>
      </c>
      <c r="D514" t="str">
        <f t="shared" si="203"/>
        <v>Опора</v>
      </c>
      <c r="E514" t="str">
        <f>"КИ 4653 (336)"</f>
        <v>КИ 4653 (336)</v>
      </c>
      <c r="F514" t="str">
        <f>""</f>
        <v/>
      </c>
      <c r="G514" t="str">
        <f t="shared" si="204"/>
        <v>_ТС (CAB_TS)</v>
      </c>
      <c r="H514" t="str">
        <f t="shared" si="205"/>
        <v>ТС</v>
      </c>
      <c r="I514" t="str">
        <f t="shared" si="207"/>
        <v>03.04.2013</v>
      </c>
      <c r="J514" t="str">
        <f>""</f>
        <v/>
      </c>
      <c r="K514" t="str">
        <f t="shared" si="208"/>
        <v>АКТ №4653</v>
      </c>
      <c r="L514" t="str">
        <f t="shared" si="206"/>
        <v>Комитет по управлению муниципальным имуществом города Курска</v>
      </c>
      <c r="M514" t="str">
        <f t="shared" si="209"/>
        <v>Да</v>
      </c>
      <c r="N514" t="str">
        <f t="shared" si="189"/>
        <v>Да</v>
      </c>
      <c r="O514" t="str">
        <f t="shared" si="210"/>
        <v>[46/1652] Т 7.3 - Т 7.4</v>
      </c>
      <c r="P514">
        <v>36.217008679999999</v>
      </c>
      <c r="Q514">
        <v>51.756931479999999</v>
      </c>
      <c r="R514" t="str">
        <f>"20000006263018"</f>
        <v>20000006263018</v>
      </c>
    </row>
    <row r="515" spans="1:18" x14ac:dyDescent="0.25">
      <c r="A515">
        <v>907</v>
      </c>
      <c r="B515" t="str">
        <f t="shared" si="211"/>
        <v>Курск</v>
      </c>
      <c r="C515">
        <v>857478</v>
      </c>
      <c r="D515" t="str">
        <f t="shared" si="203"/>
        <v>Опора</v>
      </c>
      <c r="E515" t="str">
        <f>"КИ 4653 (335)"</f>
        <v>КИ 4653 (335)</v>
      </c>
      <c r="F515" t="str">
        <f>""</f>
        <v/>
      </c>
      <c r="G515" t="str">
        <f t="shared" si="204"/>
        <v>_ТС (CAB_TS)</v>
      </c>
      <c r="H515" t="str">
        <f t="shared" si="205"/>
        <v>ТС</v>
      </c>
      <c r="I515" t="str">
        <f t="shared" si="207"/>
        <v>03.04.2013</v>
      </c>
      <c r="J515" t="str">
        <f>""</f>
        <v/>
      </c>
      <c r="K515" t="str">
        <f t="shared" si="208"/>
        <v>АКТ №4653</v>
      </c>
      <c r="L515" t="str">
        <f t="shared" si="206"/>
        <v>Комитет по управлению муниципальным имуществом города Курска</v>
      </c>
      <c r="M515" t="str">
        <f t="shared" si="209"/>
        <v>Да</v>
      </c>
      <c r="N515" t="str">
        <f t="shared" si="189"/>
        <v>Да</v>
      </c>
      <c r="O515" t="str">
        <f t="shared" si="210"/>
        <v>[46/1652] Т 7.3 - Т 7.4</v>
      </c>
      <c r="P515">
        <v>36.216937600000001</v>
      </c>
      <c r="Q515">
        <v>51.756726430000001</v>
      </c>
      <c r="R515" t="str">
        <f>"20000006263017"</f>
        <v>20000006263017</v>
      </c>
    </row>
    <row r="516" spans="1:18" x14ac:dyDescent="0.25">
      <c r="A516">
        <v>907</v>
      </c>
      <c r="B516" t="str">
        <f t="shared" si="211"/>
        <v>Курск</v>
      </c>
      <c r="C516">
        <v>857477</v>
      </c>
      <c r="D516" t="str">
        <f t="shared" si="203"/>
        <v>Опора</v>
      </c>
      <c r="E516" t="str">
        <f>"КИ 4653 (334)"</f>
        <v>КИ 4653 (334)</v>
      </c>
      <c r="F516" t="str">
        <f>""</f>
        <v/>
      </c>
      <c r="G516" t="str">
        <f t="shared" si="204"/>
        <v>_ТС (CAB_TS)</v>
      </c>
      <c r="H516" t="str">
        <f t="shared" si="205"/>
        <v>ТС</v>
      </c>
      <c r="I516" t="str">
        <f t="shared" si="207"/>
        <v>03.04.2013</v>
      </c>
      <c r="J516" t="str">
        <f>""</f>
        <v/>
      </c>
      <c r="K516" t="str">
        <f t="shared" si="208"/>
        <v>АКТ №4653</v>
      </c>
      <c r="L516" t="str">
        <f t="shared" si="206"/>
        <v>Комитет по управлению муниципальным имуществом города Курска</v>
      </c>
      <c r="M516" t="str">
        <f t="shared" si="209"/>
        <v>Да</v>
      </c>
      <c r="N516" t="str">
        <f t="shared" si="189"/>
        <v>Да</v>
      </c>
      <c r="O516" t="str">
        <f t="shared" si="210"/>
        <v>[46/1652] Т 7.3 - Т 7.4</v>
      </c>
      <c r="P516">
        <v>36.216809859999998</v>
      </c>
      <c r="Q516">
        <v>51.756484649999997</v>
      </c>
      <c r="R516" t="str">
        <f>"20000006263016"</f>
        <v>20000006263016</v>
      </c>
    </row>
    <row r="517" spans="1:18" x14ac:dyDescent="0.25">
      <c r="A517">
        <v>907</v>
      </c>
      <c r="B517" t="str">
        <f t="shared" si="211"/>
        <v>Курск</v>
      </c>
      <c r="C517">
        <v>857476</v>
      </c>
      <c r="D517" t="str">
        <f t="shared" si="203"/>
        <v>Опора</v>
      </c>
      <c r="E517" t="str">
        <f>"КИ 4653 (333)"</f>
        <v>КИ 4653 (333)</v>
      </c>
      <c r="F517" t="str">
        <f>""</f>
        <v/>
      </c>
      <c r="G517" t="str">
        <f t="shared" si="204"/>
        <v>_ТС (CAB_TS)</v>
      </c>
      <c r="H517" t="str">
        <f t="shared" si="205"/>
        <v>ТС</v>
      </c>
      <c r="I517" t="str">
        <f t="shared" si="207"/>
        <v>03.04.2013</v>
      </c>
      <c r="J517" t="str">
        <f>""</f>
        <v/>
      </c>
      <c r="K517" t="str">
        <f t="shared" si="208"/>
        <v>АКТ №4653</v>
      </c>
      <c r="L517" t="str">
        <f t="shared" si="206"/>
        <v>Комитет по управлению муниципальным имуществом города Курска</v>
      </c>
      <c r="M517" t="str">
        <f t="shared" si="209"/>
        <v>Да</v>
      </c>
      <c r="N517" t="str">
        <f t="shared" si="189"/>
        <v>Да</v>
      </c>
      <c r="O517" t="str">
        <f t="shared" si="210"/>
        <v>[46/1652] Т 7.3 - Т 7.4</v>
      </c>
      <c r="P517">
        <v>36.216498719999997</v>
      </c>
      <c r="Q517">
        <v>51.756337500000001</v>
      </c>
      <c r="R517" t="str">
        <f>"20000006263015"</f>
        <v>20000006263015</v>
      </c>
    </row>
    <row r="518" spans="1:18" x14ac:dyDescent="0.25">
      <c r="A518">
        <v>907</v>
      </c>
      <c r="B518" t="str">
        <f t="shared" si="211"/>
        <v>Курск</v>
      </c>
      <c r="C518">
        <v>857475</v>
      </c>
      <c r="D518" t="str">
        <f t="shared" si="203"/>
        <v>Опора</v>
      </c>
      <c r="E518" t="str">
        <f>"КИ 4653 (331)"</f>
        <v>КИ 4653 (331)</v>
      </c>
      <c r="F518" t="str">
        <f>""</f>
        <v/>
      </c>
      <c r="G518" t="str">
        <f t="shared" si="204"/>
        <v>_ТС (CAB_TS)</v>
      </c>
      <c r="H518" t="str">
        <f t="shared" si="205"/>
        <v>ТС</v>
      </c>
      <c r="I518" t="str">
        <f t="shared" si="207"/>
        <v>03.04.2013</v>
      </c>
      <c r="J518" t="str">
        <f>""</f>
        <v/>
      </c>
      <c r="K518" t="str">
        <f t="shared" si="208"/>
        <v>АКТ №4653</v>
      </c>
      <c r="L518" t="str">
        <f t="shared" si="206"/>
        <v>Комитет по управлению муниципальным имуществом города Курска</v>
      </c>
      <c r="M518" t="str">
        <f t="shared" si="209"/>
        <v>Да</v>
      </c>
      <c r="N518" t="str">
        <f t="shared" si="189"/>
        <v>Да</v>
      </c>
      <c r="O518" t="str">
        <f t="shared" si="210"/>
        <v>[46/1652] Т 7.3 - Т 7.4</v>
      </c>
      <c r="P518">
        <v>36.215935129999998</v>
      </c>
      <c r="Q518">
        <v>51.755892750000001</v>
      </c>
      <c r="R518" t="str">
        <f>"20000006263014"</f>
        <v>20000006263014</v>
      </c>
    </row>
    <row r="519" spans="1:18" x14ac:dyDescent="0.25">
      <c r="A519">
        <v>907</v>
      </c>
      <c r="B519" t="str">
        <f t="shared" si="211"/>
        <v>Курск</v>
      </c>
      <c r="C519">
        <v>857474</v>
      </c>
      <c r="D519" t="str">
        <f t="shared" si="203"/>
        <v>Опора</v>
      </c>
      <c r="E519" t="str">
        <f>"КИ 4653 (332)"</f>
        <v>КИ 4653 (332)</v>
      </c>
      <c r="F519" t="str">
        <f>""</f>
        <v/>
      </c>
      <c r="G519" t="str">
        <f t="shared" si="204"/>
        <v>_ТС (CAB_TS)</v>
      </c>
      <c r="H519" t="str">
        <f t="shared" si="205"/>
        <v>ТС</v>
      </c>
      <c r="I519" t="str">
        <f t="shared" si="207"/>
        <v>03.04.2013</v>
      </c>
      <c r="J519" t="str">
        <f>""</f>
        <v/>
      </c>
      <c r="K519" t="str">
        <f t="shared" si="208"/>
        <v>АКТ №4653</v>
      </c>
      <c r="L519" t="str">
        <f t="shared" si="206"/>
        <v>Комитет по управлению муниципальным имуществом города Курска</v>
      </c>
      <c r="M519" t="str">
        <f t="shared" si="209"/>
        <v>Да</v>
      </c>
      <c r="N519" t="str">
        <f t="shared" si="189"/>
        <v>Да</v>
      </c>
      <c r="O519" t="str">
        <f t="shared" si="210"/>
        <v>[46/1652] Т 7.3 - Т 7.4</v>
      </c>
      <c r="P519">
        <v>36.216190599999997</v>
      </c>
      <c r="Q519">
        <v>51.75607497</v>
      </c>
      <c r="R519" t="str">
        <f>"20000006263013"</f>
        <v>20000006263013</v>
      </c>
    </row>
    <row r="520" spans="1:18" x14ac:dyDescent="0.25">
      <c r="A520">
        <v>907</v>
      </c>
      <c r="B520" t="str">
        <f t="shared" si="211"/>
        <v>Курск</v>
      </c>
      <c r="C520">
        <v>857472</v>
      </c>
      <c r="D520" t="str">
        <f t="shared" si="203"/>
        <v>Опора</v>
      </c>
      <c r="E520" t="str">
        <f>"КИ 4653 (329)"</f>
        <v>КИ 4653 (329)</v>
      </c>
      <c r="F520" t="str">
        <f>""</f>
        <v/>
      </c>
      <c r="G520" t="str">
        <f t="shared" si="204"/>
        <v>_ТС (CAB_TS)</v>
      </c>
      <c r="H520" t="str">
        <f t="shared" si="205"/>
        <v>ТС</v>
      </c>
      <c r="I520" t="str">
        <f t="shared" si="207"/>
        <v>03.04.2013</v>
      </c>
      <c r="J520" t="str">
        <f>""</f>
        <v/>
      </c>
      <c r="K520" t="str">
        <f t="shared" si="208"/>
        <v>АКТ №4653</v>
      </c>
      <c r="L520" t="str">
        <f t="shared" si="206"/>
        <v>Комитет по управлению муниципальным имуществом города Курска</v>
      </c>
      <c r="M520" t="str">
        <f t="shared" si="209"/>
        <v>Да</v>
      </c>
      <c r="N520" t="str">
        <f t="shared" si="189"/>
        <v>Да</v>
      </c>
      <c r="O520" t="str">
        <f t="shared" si="210"/>
        <v>[46/1652] Т 7.3 - Т 7.4</v>
      </c>
      <c r="P520">
        <v>36.215287709999998</v>
      </c>
      <c r="Q520">
        <v>51.755498420000002</v>
      </c>
      <c r="R520" t="str">
        <f>"20000006263011"</f>
        <v>20000006263011</v>
      </c>
    </row>
    <row r="521" spans="1:18" x14ac:dyDescent="0.25">
      <c r="A521">
        <v>907</v>
      </c>
      <c r="B521" t="str">
        <f t="shared" si="211"/>
        <v>Курск</v>
      </c>
      <c r="C521">
        <v>857471</v>
      </c>
      <c r="D521" t="str">
        <f t="shared" si="203"/>
        <v>Опора</v>
      </c>
      <c r="E521" t="str">
        <f>"КИ 4653 (328)"</f>
        <v>КИ 4653 (328)</v>
      </c>
      <c r="F521" t="str">
        <f>""</f>
        <v/>
      </c>
      <c r="G521" t="str">
        <f t="shared" si="204"/>
        <v>_ТС (CAB_TS)</v>
      </c>
      <c r="H521" t="str">
        <f t="shared" si="205"/>
        <v>ТС</v>
      </c>
      <c r="I521" t="str">
        <f t="shared" si="207"/>
        <v>03.04.2013</v>
      </c>
      <c r="J521" t="str">
        <f>""</f>
        <v/>
      </c>
      <c r="K521" t="str">
        <f t="shared" si="208"/>
        <v>АКТ №4653</v>
      </c>
      <c r="L521" t="str">
        <f t="shared" si="206"/>
        <v>Комитет по управлению муниципальным имуществом города Курска</v>
      </c>
      <c r="M521" t="str">
        <f t="shared" si="209"/>
        <v>Да</v>
      </c>
      <c r="N521" t="str">
        <f t="shared" si="189"/>
        <v>Да</v>
      </c>
      <c r="O521" t="str">
        <f>"[46/2252] Т 7.3 - М 3.5.3"</f>
        <v>[46/2252] Т 7.3 - М 3.5.3</v>
      </c>
      <c r="P521">
        <v>36.214968540000001</v>
      </c>
      <c r="Q521">
        <v>51.755281740000001</v>
      </c>
      <c r="R521" t="str">
        <f>"20000006263010"</f>
        <v>20000006263010</v>
      </c>
    </row>
    <row r="522" spans="1:18" x14ac:dyDescent="0.25">
      <c r="A522">
        <v>907</v>
      </c>
      <c r="B522" t="str">
        <f t="shared" si="211"/>
        <v>Курск</v>
      </c>
      <c r="C522">
        <v>857470</v>
      </c>
      <c r="D522" t="str">
        <f t="shared" si="203"/>
        <v>Опора</v>
      </c>
      <c r="E522" t="str">
        <f>"КИ 4653 (326)"</f>
        <v>КИ 4653 (326)</v>
      </c>
      <c r="F522" t="str">
        <f>""</f>
        <v/>
      </c>
      <c r="G522" t="str">
        <f t="shared" si="204"/>
        <v>_ТС (CAB_TS)</v>
      </c>
      <c r="H522" t="str">
        <f t="shared" si="205"/>
        <v>ТС</v>
      </c>
      <c r="I522" t="str">
        <f t="shared" si="207"/>
        <v>03.04.2013</v>
      </c>
      <c r="J522" t="str">
        <f>""</f>
        <v/>
      </c>
      <c r="K522" t="str">
        <f t="shared" si="208"/>
        <v>АКТ №4653</v>
      </c>
      <c r="L522" t="str">
        <f t="shared" si="206"/>
        <v>Комитет по управлению муниципальным имуществом города Курска</v>
      </c>
      <c r="M522" t="str">
        <f t="shared" si="209"/>
        <v>Да</v>
      </c>
      <c r="N522" t="str">
        <f t="shared" ref="N522:N585" si="212">"Да"</f>
        <v>Да</v>
      </c>
      <c r="O522" t="str">
        <f>"[46/2252] Т 7.3 - М 3.5.3, [46/1651] T 7.5 - Т 7.3"</f>
        <v>[46/2252] Т 7.3 - М 3.5.3, [46/1651] T 7.5 - Т 7.3</v>
      </c>
      <c r="P522">
        <v>36.214663090000002</v>
      </c>
      <c r="Q522">
        <v>51.755103460000001</v>
      </c>
      <c r="R522" t="str">
        <f>"20000006263009"</f>
        <v>20000006263009</v>
      </c>
    </row>
    <row r="523" spans="1:18" x14ac:dyDescent="0.25">
      <c r="A523">
        <v>907</v>
      </c>
      <c r="B523" t="str">
        <f t="shared" si="211"/>
        <v>Курск</v>
      </c>
      <c r="C523">
        <v>857468</v>
      </c>
      <c r="D523" t="str">
        <f t="shared" si="203"/>
        <v>Опора</v>
      </c>
      <c r="E523" t="str">
        <f>"КИ 4653 (325)"</f>
        <v>КИ 4653 (325)</v>
      </c>
      <c r="F523" t="str">
        <f>""</f>
        <v/>
      </c>
      <c r="G523" t="str">
        <f t="shared" si="204"/>
        <v>_ТС (CAB_TS)</v>
      </c>
      <c r="H523" t="str">
        <f t="shared" si="205"/>
        <v>ТС</v>
      </c>
      <c r="I523" t="str">
        <f t="shared" si="207"/>
        <v>03.04.2013</v>
      </c>
      <c r="J523" t="str">
        <f>""</f>
        <v/>
      </c>
      <c r="K523" t="str">
        <f t="shared" si="208"/>
        <v>АКТ №4653</v>
      </c>
      <c r="L523" t="str">
        <f t="shared" si="206"/>
        <v>Комитет по управлению муниципальным имуществом города Курска</v>
      </c>
      <c r="M523" t="str">
        <f t="shared" si="209"/>
        <v>Да</v>
      </c>
      <c r="N523" t="str">
        <f t="shared" si="212"/>
        <v>Да</v>
      </c>
      <c r="O523" t="str">
        <f>"[46/2252] Т 7.3 - М 3.5.3, [46/1651] T 7.5 - Т 7.3"</f>
        <v>[46/2252] Т 7.3 - М 3.5.3, [46/1651] T 7.5 - Т 7.3</v>
      </c>
      <c r="P523">
        <v>36.214386820000001</v>
      </c>
      <c r="Q523">
        <v>51.754925810000003</v>
      </c>
      <c r="R523" t="str">
        <f>"20000006263008"</f>
        <v>20000006263008</v>
      </c>
    </row>
    <row r="524" spans="1:18" x14ac:dyDescent="0.25">
      <c r="A524">
        <v>907</v>
      </c>
      <c r="B524" t="str">
        <f t="shared" si="211"/>
        <v>Курск</v>
      </c>
      <c r="C524">
        <v>857467</v>
      </c>
      <c r="D524" t="str">
        <f t="shared" si="203"/>
        <v>Опора</v>
      </c>
      <c r="E524" t="str">
        <f>"КИ 4653 (324)"</f>
        <v>КИ 4653 (324)</v>
      </c>
      <c r="F524" t="str">
        <f>""</f>
        <v/>
      </c>
      <c r="G524" t="str">
        <f t="shared" si="204"/>
        <v>_ТС (CAB_TS)</v>
      </c>
      <c r="H524" t="str">
        <f t="shared" si="205"/>
        <v>ТС</v>
      </c>
      <c r="I524" t="str">
        <f t="shared" si="207"/>
        <v>03.04.2013</v>
      </c>
      <c r="J524" t="str">
        <f>""</f>
        <v/>
      </c>
      <c r="K524" t="str">
        <f t="shared" si="208"/>
        <v>АКТ №4653</v>
      </c>
      <c r="L524" t="str">
        <f t="shared" si="206"/>
        <v>Комитет по управлению муниципальным имуществом города Курска</v>
      </c>
      <c r="M524" t="str">
        <f t="shared" si="209"/>
        <v>Да</v>
      </c>
      <c r="N524" t="str">
        <f t="shared" si="212"/>
        <v>Да</v>
      </c>
      <c r="O524" t="str">
        <f>"[46/2252] Т 7.3 - М 3.5.3, [46/1651] T 7.5 - Т 7.3"</f>
        <v>[46/2252] Т 7.3 - М 3.5.3, [46/1651] T 7.5 - Т 7.3</v>
      </c>
      <c r="P524">
        <v>36.214137379999997</v>
      </c>
      <c r="Q524">
        <v>51.754768069999997</v>
      </c>
      <c r="R524" t="str">
        <f>"20000006263007"</f>
        <v>20000006263007</v>
      </c>
    </row>
    <row r="525" spans="1:18" x14ac:dyDescent="0.25">
      <c r="A525">
        <v>907</v>
      </c>
      <c r="B525" t="str">
        <f t="shared" si="211"/>
        <v>Курск</v>
      </c>
      <c r="C525">
        <v>857466</v>
      </c>
      <c r="D525" t="str">
        <f t="shared" si="203"/>
        <v>Опора</v>
      </c>
      <c r="E525" t="str">
        <f>"КИ 4653 (323)"</f>
        <v>КИ 4653 (323)</v>
      </c>
      <c r="F525" t="str">
        <f>""</f>
        <v/>
      </c>
      <c r="G525" t="str">
        <f t="shared" si="204"/>
        <v>_ТС (CAB_TS)</v>
      </c>
      <c r="H525" t="str">
        <f t="shared" si="205"/>
        <v>ТС</v>
      </c>
      <c r="I525" t="str">
        <f t="shared" si="207"/>
        <v>03.04.2013</v>
      </c>
      <c r="J525" t="str">
        <f>""</f>
        <v/>
      </c>
      <c r="K525" t="str">
        <f t="shared" si="208"/>
        <v>АКТ №4653</v>
      </c>
      <c r="L525" t="str">
        <f t="shared" si="206"/>
        <v>Комитет по управлению муниципальным имуществом города Курска</v>
      </c>
      <c r="M525" t="str">
        <f t="shared" si="209"/>
        <v>Да</v>
      </c>
      <c r="N525" t="str">
        <f t="shared" si="212"/>
        <v>Да</v>
      </c>
      <c r="O525" t="str">
        <f>"[46/2252] Т 7.3 - М 3.5.3, [46/1651] T 7.5 - Т 7.3"</f>
        <v>[46/2252] Т 7.3 - М 3.5.3, [46/1651] T 7.5 - Т 7.3</v>
      </c>
      <c r="P525">
        <v>36.213676040000003</v>
      </c>
      <c r="Q525">
        <v>51.754485809999998</v>
      </c>
      <c r="R525" t="str">
        <f>"20000006263006"</f>
        <v>20000006263006</v>
      </c>
    </row>
    <row r="526" spans="1:18" x14ac:dyDescent="0.25">
      <c r="A526">
        <v>907</v>
      </c>
      <c r="B526" t="str">
        <f t="shared" si="211"/>
        <v>Курск</v>
      </c>
      <c r="C526">
        <v>857465</v>
      </c>
      <c r="D526" t="str">
        <f t="shared" si="203"/>
        <v>Опора</v>
      </c>
      <c r="E526" t="str">
        <f>"КИ 4653 (322)"</f>
        <v>КИ 4653 (322)</v>
      </c>
      <c r="F526" t="str">
        <f>""</f>
        <v/>
      </c>
      <c r="G526" t="str">
        <f t="shared" si="204"/>
        <v>_ТС (CAB_TS)</v>
      </c>
      <c r="H526" t="str">
        <f t="shared" si="205"/>
        <v>ТС</v>
      </c>
      <c r="I526" t="str">
        <f t="shared" si="207"/>
        <v>03.04.2013</v>
      </c>
      <c r="J526" t="str">
        <f>""</f>
        <v/>
      </c>
      <c r="K526" t="str">
        <f t="shared" si="208"/>
        <v>АКТ №4653</v>
      </c>
      <c r="L526" t="str">
        <f t="shared" si="206"/>
        <v>Комитет по управлению муниципальным имуществом города Курска</v>
      </c>
      <c r="M526" t="str">
        <f t="shared" si="209"/>
        <v>Да</v>
      </c>
      <c r="N526" t="str">
        <f t="shared" si="212"/>
        <v>Да</v>
      </c>
      <c r="O526" t="str">
        <f>"[46/2252] Т 7.3 - М 3.5.3, [46/1651] T 7.5 - Т 7.3"</f>
        <v>[46/2252] Т 7.3 - М 3.5.3, [46/1651] T 7.5 - Т 7.3</v>
      </c>
      <c r="P526">
        <v>36.213265659999998</v>
      </c>
      <c r="Q526">
        <v>51.754286569999998</v>
      </c>
      <c r="R526" t="str">
        <f>"20000006263005"</f>
        <v>20000006263005</v>
      </c>
    </row>
    <row r="527" spans="1:18" x14ac:dyDescent="0.25">
      <c r="A527">
        <v>907</v>
      </c>
      <c r="B527" t="str">
        <f t="shared" si="211"/>
        <v>Курск</v>
      </c>
      <c r="C527">
        <v>857464</v>
      </c>
      <c r="D527" t="str">
        <f t="shared" si="203"/>
        <v>Опора</v>
      </c>
      <c r="E527" t="str">
        <f>"КИ 4653 (321)"</f>
        <v>КИ 4653 (321)</v>
      </c>
      <c r="F527" t="str">
        <f>""</f>
        <v/>
      </c>
      <c r="G527" t="str">
        <f t="shared" si="204"/>
        <v>_ТС (CAB_TS)</v>
      </c>
      <c r="H527" t="str">
        <f t="shared" si="205"/>
        <v>ТС</v>
      </c>
      <c r="I527" t="str">
        <f t="shared" si="207"/>
        <v>03.04.2013</v>
      </c>
      <c r="J527" t="str">
        <f>""</f>
        <v/>
      </c>
      <c r="K527" t="str">
        <f t="shared" si="208"/>
        <v>АКТ №4653</v>
      </c>
      <c r="L527" t="str">
        <f t="shared" si="206"/>
        <v>Комитет по управлению муниципальным имуществом города Курска</v>
      </c>
      <c r="M527" t="str">
        <f t="shared" si="209"/>
        <v>Да</v>
      </c>
      <c r="N527" t="str">
        <f t="shared" si="212"/>
        <v>Да</v>
      </c>
      <c r="O527" t="str">
        <f>"[46/2252] Т 7.3 - М 3.5.3, [46/4628] М 3.5.4 - М 3.5.3, [46/1651] T 7.5 - Т 7.3"</f>
        <v>[46/2252] Т 7.3 - М 3.5.3, [46/4628] М 3.5.4 - М 3.5.3, [46/1651] T 7.5 - Т 7.3</v>
      </c>
      <c r="P527">
        <v>36.212929039999999</v>
      </c>
      <c r="Q527">
        <v>51.754102269999997</v>
      </c>
      <c r="R527" t="str">
        <f>"20000006263004"</f>
        <v>20000006263004</v>
      </c>
    </row>
    <row r="528" spans="1:18" x14ac:dyDescent="0.25">
      <c r="A528">
        <v>907</v>
      </c>
      <c r="B528" t="str">
        <f t="shared" si="211"/>
        <v>Курск</v>
      </c>
      <c r="C528">
        <v>921653</v>
      </c>
      <c r="D528" t="str">
        <f>"Опора контактной сети"</f>
        <v>Опора контактной сети</v>
      </c>
      <c r="E528" t="str">
        <f>"08/604 (6)"</f>
        <v>08/604 (6)</v>
      </c>
      <c r="F528" t="str">
        <f>""</f>
        <v/>
      </c>
      <c r="G528" t="str">
        <f t="shared" si="204"/>
        <v>_ТС (CAB_TS)</v>
      </c>
      <c r="H528" t="str">
        <f t="shared" si="205"/>
        <v>ТС</v>
      </c>
      <c r="I528" t="str">
        <f>"02.02.2021"</f>
        <v>02.02.2021</v>
      </c>
      <c r="J528" t="str">
        <f>""</f>
        <v/>
      </c>
      <c r="K528" t="str">
        <f>"КСК-00506725"</f>
        <v>КСК-00506725</v>
      </c>
      <c r="L528" t="str">
        <f>"МУП ""Курскэлектротранс"""</f>
        <v>МУП "Курскэлектротранс"</v>
      </c>
      <c r="M528" t="str">
        <f t="shared" ref="M528:M567" si="213">"Неизвестно"</f>
        <v>Неизвестно</v>
      </c>
      <c r="N528" t="str">
        <f t="shared" si="212"/>
        <v>Да</v>
      </c>
      <c r="O528" t="str">
        <f>"[46/2406] ТОК1.3 Курск, Добролюбова, 22 а п.  - Т3.8"</f>
        <v>[46/2406] ТОК1.3 Курск, Добролюбова, 22 а п.  - Т3.8</v>
      </c>
      <c r="P528">
        <v>36.188810949999997</v>
      </c>
      <c r="Q528">
        <v>51.722061940000003</v>
      </c>
      <c r="R528" t="str">
        <f>""</f>
        <v/>
      </c>
    </row>
    <row r="529" spans="1:18" x14ac:dyDescent="0.25">
      <c r="A529">
        <v>907</v>
      </c>
      <c r="B529" t="str">
        <f t="shared" si="211"/>
        <v>Курск</v>
      </c>
      <c r="C529">
        <v>920772</v>
      </c>
      <c r="D529" t="str">
        <f t="shared" ref="D529:D540" si="214">"Опора"</f>
        <v>Опора</v>
      </c>
      <c r="E529" t="str">
        <f>"КИ 111 (0165)"</f>
        <v>КИ 111 (0165)</v>
      </c>
      <c r="F529" t="str">
        <f>""</f>
        <v/>
      </c>
      <c r="G529" t="str">
        <f t="shared" si="204"/>
        <v>_ТС (CAB_TS)</v>
      </c>
      <c r="H529" t="str">
        <f t="shared" si="205"/>
        <v>ТС</v>
      </c>
      <c r="I529" t="str">
        <f t="shared" ref="I529:I540" si="215">"26.12.2020"</f>
        <v>26.12.2020</v>
      </c>
      <c r="J529" t="str">
        <f>""</f>
        <v/>
      </c>
      <c r="K529" t="str">
        <f t="shared" ref="K529:K540" si="216">"АКТ №4654"</f>
        <v>АКТ №4654</v>
      </c>
      <c r="L529" t="str">
        <f t="shared" ref="L529:L540" si="217">"Комитет по управлению муниципальным имуществом города Курска"</f>
        <v>Комитет по управлению муниципальным имуществом города Курска</v>
      </c>
      <c r="M529" t="str">
        <f t="shared" si="213"/>
        <v>Неизвестно</v>
      </c>
      <c r="N529" t="str">
        <f t="shared" si="212"/>
        <v>Да</v>
      </c>
      <c r="O529" t="str">
        <f t="shared" ref="O529:O540" si="218">"[46/3167] Т 6.2 - Т 6.9"</f>
        <v>[46/3167] Т 6.2 - Т 6.9</v>
      </c>
      <c r="P529">
        <v>36.20252911</v>
      </c>
      <c r="Q529">
        <v>51.718999150000002</v>
      </c>
      <c r="R529" t="str">
        <f>"20000006263077"</f>
        <v>20000006263077</v>
      </c>
    </row>
    <row r="530" spans="1:18" x14ac:dyDescent="0.25">
      <c r="A530">
        <v>907</v>
      </c>
      <c r="B530" t="str">
        <f t="shared" si="211"/>
        <v>Курск</v>
      </c>
      <c r="C530">
        <v>920768</v>
      </c>
      <c r="D530" t="str">
        <f t="shared" si="214"/>
        <v>Опора</v>
      </c>
      <c r="E530" t="str">
        <f>"КИ 111 (0164)"</f>
        <v>КИ 111 (0164)</v>
      </c>
      <c r="F530" t="str">
        <f>""</f>
        <v/>
      </c>
      <c r="G530" t="str">
        <f t="shared" si="204"/>
        <v>_ТС (CAB_TS)</v>
      </c>
      <c r="H530" t="str">
        <f t="shared" si="205"/>
        <v>ТС</v>
      </c>
      <c r="I530" t="str">
        <f t="shared" si="215"/>
        <v>26.12.2020</v>
      </c>
      <c r="J530" t="str">
        <f>""</f>
        <v/>
      </c>
      <c r="K530" t="str">
        <f t="shared" si="216"/>
        <v>АКТ №4654</v>
      </c>
      <c r="L530" t="str">
        <f t="shared" si="217"/>
        <v>Комитет по управлению муниципальным имуществом города Курска</v>
      </c>
      <c r="M530" t="str">
        <f t="shared" si="213"/>
        <v>Неизвестно</v>
      </c>
      <c r="N530" t="str">
        <f t="shared" si="212"/>
        <v>Да</v>
      </c>
      <c r="O530" t="str">
        <f t="shared" si="218"/>
        <v>[46/3167] Т 6.2 - Т 6.9</v>
      </c>
      <c r="P530">
        <v>36.202722229999999</v>
      </c>
      <c r="Q530">
        <v>51.719170920000003</v>
      </c>
      <c r="R530" t="str">
        <f>"20000006263076"</f>
        <v>20000006263076</v>
      </c>
    </row>
    <row r="531" spans="1:18" x14ac:dyDescent="0.25">
      <c r="A531">
        <v>907</v>
      </c>
      <c r="B531" t="str">
        <f t="shared" si="211"/>
        <v>Курск</v>
      </c>
      <c r="C531">
        <v>920767</v>
      </c>
      <c r="D531" t="str">
        <f t="shared" si="214"/>
        <v>Опора</v>
      </c>
      <c r="E531" t="str">
        <f>"КИ 111 (0163)"</f>
        <v>КИ 111 (0163)</v>
      </c>
      <c r="F531" t="str">
        <f>""</f>
        <v/>
      </c>
      <c r="G531" t="str">
        <f t="shared" si="204"/>
        <v>_ТС (CAB_TS)</v>
      </c>
      <c r="H531" t="str">
        <f t="shared" si="205"/>
        <v>ТС</v>
      </c>
      <c r="I531" t="str">
        <f t="shared" si="215"/>
        <v>26.12.2020</v>
      </c>
      <c r="J531" t="str">
        <f>""</f>
        <v/>
      </c>
      <c r="K531" t="str">
        <f t="shared" si="216"/>
        <v>АКТ №4654</v>
      </c>
      <c r="L531" t="str">
        <f t="shared" si="217"/>
        <v>Комитет по управлению муниципальным имуществом города Курска</v>
      </c>
      <c r="M531" t="str">
        <f t="shared" si="213"/>
        <v>Неизвестно</v>
      </c>
      <c r="N531" t="str">
        <f t="shared" si="212"/>
        <v>Да</v>
      </c>
      <c r="O531" t="str">
        <f t="shared" si="218"/>
        <v>[46/3167] Т 6.2 - Т 6.9</v>
      </c>
      <c r="P531">
        <v>36.20306824</v>
      </c>
      <c r="Q531">
        <v>51.719373650000001</v>
      </c>
      <c r="R531" t="str">
        <f>"20000006263075"</f>
        <v>20000006263075</v>
      </c>
    </row>
    <row r="532" spans="1:18" x14ac:dyDescent="0.25">
      <c r="A532">
        <v>907</v>
      </c>
      <c r="B532" t="str">
        <f t="shared" si="211"/>
        <v>Курск</v>
      </c>
      <c r="C532">
        <v>920766</v>
      </c>
      <c r="D532" t="str">
        <f t="shared" si="214"/>
        <v>Опора</v>
      </c>
      <c r="E532" t="str">
        <f>"КИ 111 (0162)"</f>
        <v>КИ 111 (0162)</v>
      </c>
      <c r="F532" t="str">
        <f>""</f>
        <v/>
      </c>
      <c r="G532" t="str">
        <f t="shared" si="204"/>
        <v>_ТС (CAB_TS)</v>
      </c>
      <c r="H532" t="str">
        <f t="shared" si="205"/>
        <v>ТС</v>
      </c>
      <c r="I532" t="str">
        <f t="shared" si="215"/>
        <v>26.12.2020</v>
      </c>
      <c r="J532" t="str">
        <f>""</f>
        <v/>
      </c>
      <c r="K532" t="str">
        <f t="shared" si="216"/>
        <v>АКТ №4654</v>
      </c>
      <c r="L532" t="str">
        <f t="shared" si="217"/>
        <v>Комитет по управлению муниципальным имуществом города Курска</v>
      </c>
      <c r="M532" t="str">
        <f t="shared" si="213"/>
        <v>Неизвестно</v>
      </c>
      <c r="N532" t="str">
        <f t="shared" si="212"/>
        <v>Да</v>
      </c>
      <c r="O532" t="str">
        <f t="shared" si="218"/>
        <v>[46/3167] Т 6.2 - Т 6.9</v>
      </c>
      <c r="P532">
        <v>36.203501420000002</v>
      </c>
      <c r="Q532">
        <v>51.719542310000001</v>
      </c>
      <c r="R532" t="str">
        <f>"20000006263074"</f>
        <v>20000006263074</v>
      </c>
    </row>
    <row r="533" spans="1:18" x14ac:dyDescent="0.25">
      <c r="A533">
        <v>907</v>
      </c>
      <c r="B533" t="str">
        <f t="shared" si="211"/>
        <v>Курск</v>
      </c>
      <c r="C533">
        <v>920765</v>
      </c>
      <c r="D533" t="str">
        <f t="shared" si="214"/>
        <v>Опора</v>
      </c>
      <c r="E533" t="str">
        <f>"КИ 111 (0161)"</f>
        <v>КИ 111 (0161)</v>
      </c>
      <c r="F533" t="str">
        <f>""</f>
        <v/>
      </c>
      <c r="G533" t="str">
        <f t="shared" si="204"/>
        <v>_ТС (CAB_TS)</v>
      </c>
      <c r="H533" t="str">
        <f t="shared" si="205"/>
        <v>ТС</v>
      </c>
      <c r="I533" t="str">
        <f t="shared" si="215"/>
        <v>26.12.2020</v>
      </c>
      <c r="J533" t="str">
        <f>""</f>
        <v/>
      </c>
      <c r="K533" t="str">
        <f t="shared" si="216"/>
        <v>АКТ №4654</v>
      </c>
      <c r="L533" t="str">
        <f t="shared" si="217"/>
        <v>Комитет по управлению муниципальным имуществом города Курска</v>
      </c>
      <c r="M533" t="str">
        <f t="shared" si="213"/>
        <v>Неизвестно</v>
      </c>
      <c r="N533" t="str">
        <f t="shared" si="212"/>
        <v>Да</v>
      </c>
      <c r="O533" t="str">
        <f t="shared" si="218"/>
        <v>[46/3167] Т 6.2 - Т 6.9</v>
      </c>
      <c r="P533">
        <v>36.203943979999998</v>
      </c>
      <c r="Q533">
        <v>51.71969103</v>
      </c>
      <c r="R533" t="str">
        <f>"20000006263073"</f>
        <v>20000006263073</v>
      </c>
    </row>
    <row r="534" spans="1:18" x14ac:dyDescent="0.25">
      <c r="A534">
        <v>907</v>
      </c>
      <c r="B534" t="str">
        <f t="shared" si="211"/>
        <v>Курск</v>
      </c>
      <c r="C534">
        <v>920764</v>
      </c>
      <c r="D534" t="str">
        <f t="shared" si="214"/>
        <v>Опора</v>
      </c>
      <c r="E534" t="str">
        <f>"КИ 111 (0160)"</f>
        <v>КИ 111 (0160)</v>
      </c>
      <c r="F534" t="str">
        <f>""</f>
        <v/>
      </c>
      <c r="G534" t="str">
        <f t="shared" si="204"/>
        <v>_ТС (CAB_TS)</v>
      </c>
      <c r="H534" t="str">
        <f t="shared" si="205"/>
        <v>ТС</v>
      </c>
      <c r="I534" t="str">
        <f t="shared" si="215"/>
        <v>26.12.2020</v>
      </c>
      <c r="J534" t="str">
        <f>""</f>
        <v/>
      </c>
      <c r="K534" t="str">
        <f t="shared" si="216"/>
        <v>АКТ №4654</v>
      </c>
      <c r="L534" t="str">
        <f t="shared" si="217"/>
        <v>Комитет по управлению муниципальным имуществом города Курска</v>
      </c>
      <c r="M534" t="str">
        <f t="shared" si="213"/>
        <v>Неизвестно</v>
      </c>
      <c r="N534" t="str">
        <f t="shared" si="212"/>
        <v>Да</v>
      </c>
      <c r="O534" t="str">
        <f t="shared" si="218"/>
        <v>[46/3167] Т 6.2 - Т 6.9</v>
      </c>
      <c r="P534">
        <v>36.204032490000003</v>
      </c>
      <c r="Q534">
        <v>51.719870479999997</v>
      </c>
      <c r="R534" t="str">
        <f>"20000006263072"</f>
        <v>20000006263072</v>
      </c>
    </row>
    <row r="535" spans="1:18" x14ac:dyDescent="0.25">
      <c r="A535">
        <v>907</v>
      </c>
      <c r="B535" t="str">
        <f t="shared" si="211"/>
        <v>Курск</v>
      </c>
      <c r="C535">
        <v>920763</v>
      </c>
      <c r="D535" t="str">
        <f t="shared" si="214"/>
        <v>Опора</v>
      </c>
      <c r="E535" t="str">
        <f>"КИ 111 (0159)"</f>
        <v>КИ 111 (0159)</v>
      </c>
      <c r="F535" t="str">
        <f>""</f>
        <v/>
      </c>
      <c r="G535" t="str">
        <f t="shared" si="204"/>
        <v>_ТС (CAB_TS)</v>
      </c>
      <c r="H535" t="str">
        <f t="shared" si="205"/>
        <v>ТС</v>
      </c>
      <c r="I535" t="str">
        <f t="shared" si="215"/>
        <v>26.12.2020</v>
      </c>
      <c r="J535" t="str">
        <f>""</f>
        <v/>
      </c>
      <c r="K535" t="str">
        <f t="shared" si="216"/>
        <v>АКТ №4654</v>
      </c>
      <c r="L535" t="str">
        <f t="shared" si="217"/>
        <v>Комитет по управлению муниципальным имуществом города Курска</v>
      </c>
      <c r="M535" t="str">
        <f t="shared" si="213"/>
        <v>Неизвестно</v>
      </c>
      <c r="N535" t="str">
        <f t="shared" si="212"/>
        <v>Да</v>
      </c>
      <c r="O535" t="str">
        <f t="shared" si="218"/>
        <v>[46/3167] Т 6.2 - Т 6.9</v>
      </c>
      <c r="P535">
        <v>36.204491150000003</v>
      </c>
      <c r="Q535">
        <v>51.720005899999997</v>
      </c>
      <c r="R535" t="str">
        <f>"20000006263071"</f>
        <v>20000006263071</v>
      </c>
    </row>
    <row r="536" spans="1:18" x14ac:dyDescent="0.25">
      <c r="A536">
        <v>907</v>
      </c>
      <c r="B536" t="str">
        <f t="shared" si="211"/>
        <v>Курск</v>
      </c>
      <c r="C536">
        <v>920762</v>
      </c>
      <c r="D536" t="str">
        <f t="shared" si="214"/>
        <v>Опора</v>
      </c>
      <c r="E536" t="str">
        <f>"КИ 111 (0158)"</f>
        <v>КИ 111 (0158)</v>
      </c>
      <c r="F536" t="str">
        <f>""</f>
        <v/>
      </c>
      <c r="G536" t="str">
        <f t="shared" ref="G536:G567" si="219">"_ТС (CAB_TS)"</f>
        <v>_ТС (CAB_TS)</v>
      </c>
      <c r="H536" t="str">
        <f t="shared" ref="H536:H567" si="220">"ТС"</f>
        <v>ТС</v>
      </c>
      <c r="I536" t="str">
        <f t="shared" si="215"/>
        <v>26.12.2020</v>
      </c>
      <c r="J536" t="str">
        <f>""</f>
        <v/>
      </c>
      <c r="K536" t="str">
        <f t="shared" si="216"/>
        <v>АКТ №4654</v>
      </c>
      <c r="L536" t="str">
        <f t="shared" si="217"/>
        <v>Комитет по управлению муниципальным имуществом города Курска</v>
      </c>
      <c r="M536" t="str">
        <f t="shared" si="213"/>
        <v>Неизвестно</v>
      </c>
      <c r="N536" t="str">
        <f t="shared" si="212"/>
        <v>Да</v>
      </c>
      <c r="O536" t="str">
        <f t="shared" si="218"/>
        <v>[46/3167] Т 6.2 - Т 6.9</v>
      </c>
      <c r="P536">
        <v>36.204956510000002</v>
      </c>
      <c r="Q536">
        <v>51.720132190000001</v>
      </c>
      <c r="R536" t="str">
        <f>"20000006263070"</f>
        <v>20000006263070</v>
      </c>
    </row>
    <row r="537" spans="1:18" x14ac:dyDescent="0.25">
      <c r="A537">
        <v>907</v>
      </c>
      <c r="B537" t="str">
        <f t="shared" si="211"/>
        <v>Курск</v>
      </c>
      <c r="C537">
        <v>920761</v>
      </c>
      <c r="D537" t="str">
        <f t="shared" si="214"/>
        <v>Опора</v>
      </c>
      <c r="E537" t="str">
        <f>"КИ 111 (0157)"</f>
        <v>КИ 111 (0157)</v>
      </c>
      <c r="F537" t="str">
        <f>""</f>
        <v/>
      </c>
      <c r="G537" t="str">
        <f t="shared" si="219"/>
        <v>_ТС (CAB_TS)</v>
      </c>
      <c r="H537" t="str">
        <f t="shared" si="220"/>
        <v>ТС</v>
      </c>
      <c r="I537" t="str">
        <f t="shared" si="215"/>
        <v>26.12.2020</v>
      </c>
      <c r="J537" t="str">
        <f>""</f>
        <v/>
      </c>
      <c r="K537" t="str">
        <f t="shared" si="216"/>
        <v>АКТ №4654</v>
      </c>
      <c r="L537" t="str">
        <f t="shared" si="217"/>
        <v>Комитет по управлению муниципальным имуществом города Курска</v>
      </c>
      <c r="M537" t="str">
        <f t="shared" si="213"/>
        <v>Неизвестно</v>
      </c>
      <c r="N537" t="str">
        <f t="shared" si="212"/>
        <v>Да</v>
      </c>
      <c r="O537" t="str">
        <f t="shared" si="218"/>
        <v>[46/3167] Т 6.2 - Т 6.9</v>
      </c>
      <c r="P537">
        <v>36.205421870000002</v>
      </c>
      <c r="Q537">
        <v>51.720259300000002</v>
      </c>
      <c r="R537" t="str">
        <f>"20000006263069"</f>
        <v>20000006263069</v>
      </c>
    </row>
    <row r="538" spans="1:18" x14ac:dyDescent="0.25">
      <c r="A538">
        <v>907</v>
      </c>
      <c r="B538" t="str">
        <f t="shared" si="211"/>
        <v>Курск</v>
      </c>
      <c r="C538">
        <v>920760</v>
      </c>
      <c r="D538" t="str">
        <f t="shared" si="214"/>
        <v>Опора</v>
      </c>
      <c r="E538" t="str">
        <f>"КИ 111 (0156)"</f>
        <v>КИ 111 (0156)</v>
      </c>
      <c r="F538" t="str">
        <f>""</f>
        <v/>
      </c>
      <c r="G538" t="str">
        <f t="shared" si="219"/>
        <v>_ТС (CAB_TS)</v>
      </c>
      <c r="H538" t="str">
        <f t="shared" si="220"/>
        <v>ТС</v>
      </c>
      <c r="I538" t="str">
        <f t="shared" si="215"/>
        <v>26.12.2020</v>
      </c>
      <c r="J538" t="str">
        <f>""</f>
        <v/>
      </c>
      <c r="K538" t="str">
        <f t="shared" si="216"/>
        <v>АКТ №4654</v>
      </c>
      <c r="L538" t="str">
        <f t="shared" si="217"/>
        <v>Комитет по управлению муниципальным имуществом города Курска</v>
      </c>
      <c r="M538" t="str">
        <f t="shared" si="213"/>
        <v>Неизвестно</v>
      </c>
      <c r="N538" t="str">
        <f t="shared" si="212"/>
        <v>Да</v>
      </c>
      <c r="O538" t="str">
        <f t="shared" si="218"/>
        <v>[46/3167] Т 6.2 - Т 6.9</v>
      </c>
      <c r="P538">
        <v>36.205884560000001</v>
      </c>
      <c r="Q538">
        <v>51.720386419999997</v>
      </c>
      <c r="R538" t="str">
        <f>"20000006263068"</f>
        <v>20000006263068</v>
      </c>
    </row>
    <row r="539" spans="1:18" x14ac:dyDescent="0.25">
      <c r="A539">
        <v>907</v>
      </c>
      <c r="B539" t="str">
        <f t="shared" si="211"/>
        <v>Курск</v>
      </c>
      <c r="C539">
        <v>920759</v>
      </c>
      <c r="D539" t="str">
        <f t="shared" si="214"/>
        <v>Опора</v>
      </c>
      <c r="E539" t="str">
        <f>"КИ 111 (0155)"</f>
        <v>КИ 111 (0155)</v>
      </c>
      <c r="F539" t="str">
        <f>""</f>
        <v/>
      </c>
      <c r="G539" t="str">
        <f t="shared" si="219"/>
        <v>_ТС (CAB_TS)</v>
      </c>
      <c r="H539" t="str">
        <f t="shared" si="220"/>
        <v>ТС</v>
      </c>
      <c r="I539" t="str">
        <f t="shared" si="215"/>
        <v>26.12.2020</v>
      </c>
      <c r="J539" t="str">
        <f>""</f>
        <v/>
      </c>
      <c r="K539" t="str">
        <f t="shared" si="216"/>
        <v>АКТ №4654</v>
      </c>
      <c r="L539" t="str">
        <f t="shared" si="217"/>
        <v>Комитет по управлению муниципальным имуществом города Курска</v>
      </c>
      <c r="M539" t="str">
        <f t="shared" si="213"/>
        <v>Неизвестно</v>
      </c>
      <c r="N539" t="str">
        <f t="shared" si="212"/>
        <v>Да</v>
      </c>
      <c r="O539" t="str">
        <f t="shared" si="218"/>
        <v>[46/3167] Т 6.2 - Т 6.9</v>
      </c>
      <c r="P539">
        <v>36.206352600000002</v>
      </c>
      <c r="Q539">
        <v>51.720505230000001</v>
      </c>
      <c r="R539" t="str">
        <f>"20000006263067"</f>
        <v>20000006263067</v>
      </c>
    </row>
    <row r="540" spans="1:18" x14ac:dyDescent="0.25">
      <c r="A540">
        <v>907</v>
      </c>
      <c r="B540" t="str">
        <f t="shared" si="211"/>
        <v>Курск</v>
      </c>
      <c r="C540">
        <v>920758</v>
      </c>
      <c r="D540" t="str">
        <f t="shared" si="214"/>
        <v>Опора</v>
      </c>
      <c r="E540" t="str">
        <f>"КИ 111 (0154)"</f>
        <v>КИ 111 (0154)</v>
      </c>
      <c r="F540" t="str">
        <f>""</f>
        <v/>
      </c>
      <c r="G540" t="str">
        <f t="shared" si="219"/>
        <v>_ТС (CAB_TS)</v>
      </c>
      <c r="H540" t="str">
        <f t="shared" si="220"/>
        <v>ТС</v>
      </c>
      <c r="I540" t="str">
        <f t="shared" si="215"/>
        <v>26.12.2020</v>
      </c>
      <c r="J540" t="str">
        <f>""</f>
        <v/>
      </c>
      <c r="K540" t="str">
        <f t="shared" si="216"/>
        <v>АКТ №4654</v>
      </c>
      <c r="L540" t="str">
        <f t="shared" si="217"/>
        <v>Комитет по управлению муниципальным имуществом города Курска</v>
      </c>
      <c r="M540" t="str">
        <f t="shared" si="213"/>
        <v>Неизвестно</v>
      </c>
      <c r="N540" t="str">
        <f t="shared" si="212"/>
        <v>Да</v>
      </c>
      <c r="O540" t="str">
        <f t="shared" si="218"/>
        <v>[46/3167] Т 6.2 - Т 6.9</v>
      </c>
      <c r="P540">
        <v>36.206821990000002</v>
      </c>
      <c r="Q540">
        <v>51.72064065</v>
      </c>
      <c r="R540" t="str">
        <f>"20000006263066"</f>
        <v>20000006263066</v>
      </c>
    </row>
    <row r="541" spans="1:18" x14ac:dyDescent="0.25">
      <c r="A541">
        <v>907</v>
      </c>
      <c r="B541" t="str">
        <f t="shared" si="211"/>
        <v>Курск</v>
      </c>
      <c r="C541">
        <v>922041</v>
      </c>
      <c r="D541" t="str">
        <f t="shared" ref="D541:D567" si="221">"Опора контактной сети"</f>
        <v>Опора контактной сети</v>
      </c>
      <c r="E541" t="str">
        <f t="shared" ref="E541:E567" si="222">"(Опора контактной сети)"</f>
        <v>(Опора контактной сети)</v>
      </c>
      <c r="F541" t="str">
        <f>""</f>
        <v/>
      </c>
      <c r="G541" t="str">
        <f t="shared" si="219"/>
        <v>_ТС (CAB_TS)</v>
      </c>
      <c r="H541" t="str">
        <f t="shared" si="220"/>
        <v>ТС</v>
      </c>
      <c r="I541" t="str">
        <f t="shared" ref="I541:I567" si="223">"11.03.2021"</f>
        <v>11.03.2021</v>
      </c>
      <c r="J541" t="str">
        <f>""</f>
        <v/>
      </c>
      <c r="K541" t="str">
        <f t="shared" ref="K541:K567" si="224">"КСК-00506725"</f>
        <v>КСК-00506725</v>
      </c>
      <c r="L541" t="str">
        <f t="shared" ref="L541:L567" si="225">"МУП ""Курскэлектротранс"""</f>
        <v>МУП "Курскэлектротранс"</v>
      </c>
      <c r="M541" t="str">
        <f t="shared" si="213"/>
        <v>Неизвестно</v>
      </c>
      <c r="N541" t="str">
        <f t="shared" si="212"/>
        <v>Да</v>
      </c>
      <c r="O541" t="str">
        <f t="shared" ref="O541:O548" si="226">"[46/3165] ТОК1.6 Курск, Добролюбова, 22 а п.  - Т 6.1"</f>
        <v>[46/3165] ТОК1.6 Курск, Добролюбова, 22 а п.  - Т 6.1</v>
      </c>
      <c r="P541">
        <v>36.188492779999997</v>
      </c>
      <c r="Q541">
        <v>51.722782430000002</v>
      </c>
      <c r="R541" t="str">
        <f>""</f>
        <v/>
      </c>
    </row>
    <row r="542" spans="1:18" x14ac:dyDescent="0.25">
      <c r="A542">
        <v>907</v>
      </c>
      <c r="B542" t="str">
        <f t="shared" si="211"/>
        <v>Курск</v>
      </c>
      <c r="C542">
        <v>922040</v>
      </c>
      <c r="D542" t="str">
        <f t="shared" si="221"/>
        <v>Опора контактной сети</v>
      </c>
      <c r="E542" t="str">
        <f t="shared" si="222"/>
        <v>(Опора контактной сети)</v>
      </c>
      <c r="F542" t="str">
        <f>""</f>
        <v/>
      </c>
      <c r="G542" t="str">
        <f t="shared" si="219"/>
        <v>_ТС (CAB_TS)</v>
      </c>
      <c r="H542" t="str">
        <f t="shared" si="220"/>
        <v>ТС</v>
      </c>
      <c r="I542" t="str">
        <f t="shared" si="223"/>
        <v>11.03.2021</v>
      </c>
      <c r="J542" t="str">
        <f>""</f>
        <v/>
      </c>
      <c r="K542" t="str">
        <f t="shared" si="224"/>
        <v>КСК-00506725</v>
      </c>
      <c r="L542" t="str">
        <f t="shared" si="225"/>
        <v>МУП "Курскэлектротранс"</v>
      </c>
      <c r="M542" t="str">
        <f t="shared" si="213"/>
        <v>Неизвестно</v>
      </c>
      <c r="N542" t="str">
        <f t="shared" si="212"/>
        <v>Да</v>
      </c>
      <c r="O542" t="str">
        <f t="shared" si="226"/>
        <v>[46/3165] ТОК1.6 Курск, Добролюбова, 22 а п.  - Т 6.1</v>
      </c>
      <c r="P542">
        <v>36.188780440000002</v>
      </c>
      <c r="Q542">
        <v>51.722609210000002</v>
      </c>
      <c r="R542" t="str">
        <f>""</f>
        <v/>
      </c>
    </row>
    <row r="543" spans="1:18" x14ac:dyDescent="0.25">
      <c r="A543">
        <v>907</v>
      </c>
      <c r="B543" t="str">
        <f t="shared" si="211"/>
        <v>Курск</v>
      </c>
      <c r="C543">
        <v>922039</v>
      </c>
      <c r="D543" t="str">
        <f t="shared" si="221"/>
        <v>Опора контактной сети</v>
      </c>
      <c r="E543" t="str">
        <f t="shared" si="222"/>
        <v>(Опора контактной сети)</v>
      </c>
      <c r="F543" t="str">
        <f>""</f>
        <v/>
      </c>
      <c r="G543" t="str">
        <f t="shared" si="219"/>
        <v>_ТС (CAB_TS)</v>
      </c>
      <c r="H543" t="str">
        <f t="shared" si="220"/>
        <v>ТС</v>
      </c>
      <c r="I543" t="str">
        <f t="shared" si="223"/>
        <v>11.03.2021</v>
      </c>
      <c r="J543" t="str">
        <f>""</f>
        <v/>
      </c>
      <c r="K543" t="str">
        <f t="shared" si="224"/>
        <v>КСК-00506725</v>
      </c>
      <c r="L543" t="str">
        <f t="shared" si="225"/>
        <v>МУП "Курскэлектротранс"</v>
      </c>
      <c r="M543" t="str">
        <f t="shared" si="213"/>
        <v>Неизвестно</v>
      </c>
      <c r="N543" t="str">
        <f t="shared" si="212"/>
        <v>Да</v>
      </c>
      <c r="O543" t="str">
        <f t="shared" si="226"/>
        <v>[46/3165] ТОК1.6 Курск, Добролюбова, 22 а п.  - Т 6.1</v>
      </c>
      <c r="P543">
        <v>36.189050680000001</v>
      </c>
      <c r="Q543">
        <v>51.722525300000001</v>
      </c>
      <c r="R543" t="str">
        <f>""</f>
        <v/>
      </c>
    </row>
    <row r="544" spans="1:18" x14ac:dyDescent="0.25">
      <c r="A544">
        <v>907</v>
      </c>
      <c r="B544" t="str">
        <f t="shared" si="211"/>
        <v>Курск</v>
      </c>
      <c r="C544">
        <v>922038</v>
      </c>
      <c r="D544" t="str">
        <f t="shared" si="221"/>
        <v>Опора контактной сети</v>
      </c>
      <c r="E544" t="str">
        <f t="shared" si="222"/>
        <v>(Опора контактной сети)</v>
      </c>
      <c r="F544" t="str">
        <f>""</f>
        <v/>
      </c>
      <c r="G544" t="str">
        <f t="shared" si="219"/>
        <v>_ТС (CAB_TS)</v>
      </c>
      <c r="H544" t="str">
        <f t="shared" si="220"/>
        <v>ТС</v>
      </c>
      <c r="I544" t="str">
        <f t="shared" si="223"/>
        <v>11.03.2021</v>
      </c>
      <c r="J544" t="str">
        <f>""</f>
        <v/>
      </c>
      <c r="K544" t="str">
        <f t="shared" si="224"/>
        <v>КСК-00506725</v>
      </c>
      <c r="L544" t="str">
        <f t="shared" si="225"/>
        <v>МУП "Курскэлектротранс"</v>
      </c>
      <c r="M544" t="str">
        <f t="shared" si="213"/>
        <v>Неизвестно</v>
      </c>
      <c r="N544" t="str">
        <f t="shared" si="212"/>
        <v>Да</v>
      </c>
      <c r="O544" t="str">
        <f t="shared" si="226"/>
        <v>[46/3165] ТОК1.6 Курск, Добролюбова, 22 а п.  - Т 6.1</v>
      </c>
      <c r="P544">
        <v>36.189275309999999</v>
      </c>
      <c r="Q544">
        <v>51.722273989999998</v>
      </c>
      <c r="R544" t="str">
        <f>""</f>
        <v/>
      </c>
    </row>
    <row r="545" spans="1:18" x14ac:dyDescent="0.25">
      <c r="A545">
        <v>907</v>
      </c>
      <c r="B545" t="str">
        <f t="shared" si="211"/>
        <v>Курск</v>
      </c>
      <c r="C545">
        <v>922037</v>
      </c>
      <c r="D545" t="str">
        <f t="shared" si="221"/>
        <v>Опора контактной сети</v>
      </c>
      <c r="E545" t="str">
        <f t="shared" si="222"/>
        <v>(Опора контактной сети)</v>
      </c>
      <c r="F545" t="str">
        <f>""</f>
        <v/>
      </c>
      <c r="G545" t="str">
        <f t="shared" si="219"/>
        <v>_ТС (CAB_TS)</v>
      </c>
      <c r="H545" t="str">
        <f t="shared" si="220"/>
        <v>ТС</v>
      </c>
      <c r="I545" t="str">
        <f t="shared" si="223"/>
        <v>11.03.2021</v>
      </c>
      <c r="J545" t="str">
        <f>""</f>
        <v/>
      </c>
      <c r="K545" t="str">
        <f t="shared" si="224"/>
        <v>КСК-00506725</v>
      </c>
      <c r="L545" t="str">
        <f t="shared" si="225"/>
        <v>МУП "Курскэлектротранс"</v>
      </c>
      <c r="M545" t="str">
        <f t="shared" si="213"/>
        <v>Неизвестно</v>
      </c>
      <c r="N545" t="str">
        <f t="shared" si="212"/>
        <v>Да</v>
      </c>
      <c r="O545" t="str">
        <f t="shared" si="226"/>
        <v>[46/3165] ТОК1.6 Курск, Добролюбова, 22 а п.  - Т 6.1</v>
      </c>
      <c r="P545">
        <v>36.189748719999997</v>
      </c>
      <c r="Q545">
        <v>51.722228719999997</v>
      </c>
      <c r="R545" t="str">
        <f>""</f>
        <v/>
      </c>
    </row>
    <row r="546" spans="1:18" x14ac:dyDescent="0.25">
      <c r="A546">
        <v>907</v>
      </c>
      <c r="B546" t="str">
        <f t="shared" si="211"/>
        <v>Курск</v>
      </c>
      <c r="C546">
        <v>922036</v>
      </c>
      <c r="D546" t="str">
        <f t="shared" si="221"/>
        <v>Опора контактной сети</v>
      </c>
      <c r="E546" t="str">
        <f t="shared" si="222"/>
        <v>(Опора контактной сети)</v>
      </c>
      <c r="F546" t="str">
        <f>""</f>
        <v/>
      </c>
      <c r="G546" t="str">
        <f t="shared" si="219"/>
        <v>_ТС (CAB_TS)</v>
      </c>
      <c r="H546" t="str">
        <f t="shared" si="220"/>
        <v>ТС</v>
      </c>
      <c r="I546" t="str">
        <f t="shared" si="223"/>
        <v>11.03.2021</v>
      </c>
      <c r="J546" t="str">
        <f>""</f>
        <v/>
      </c>
      <c r="K546" t="str">
        <f t="shared" si="224"/>
        <v>КСК-00506725</v>
      </c>
      <c r="L546" t="str">
        <f t="shared" si="225"/>
        <v>МУП "Курскэлектротранс"</v>
      </c>
      <c r="M546" t="str">
        <f t="shared" si="213"/>
        <v>Неизвестно</v>
      </c>
      <c r="N546" t="str">
        <f t="shared" si="212"/>
        <v>Да</v>
      </c>
      <c r="O546" t="str">
        <f t="shared" si="226"/>
        <v>[46/3165] ТОК1.6 Курск, Добролюбова, 22 а п.  - Т 6.1</v>
      </c>
      <c r="P546">
        <v>36.189956260000002</v>
      </c>
      <c r="Q546">
        <v>51.721970339999999</v>
      </c>
      <c r="R546" t="str">
        <f>""</f>
        <v/>
      </c>
    </row>
    <row r="547" spans="1:18" x14ac:dyDescent="0.25">
      <c r="A547">
        <v>907</v>
      </c>
      <c r="B547" t="str">
        <f t="shared" si="211"/>
        <v>Курск</v>
      </c>
      <c r="C547">
        <v>922035</v>
      </c>
      <c r="D547" t="str">
        <f t="shared" si="221"/>
        <v>Опора контактной сети</v>
      </c>
      <c r="E547" t="str">
        <f t="shared" si="222"/>
        <v>(Опора контактной сети)</v>
      </c>
      <c r="F547" t="str">
        <f>""</f>
        <v/>
      </c>
      <c r="G547" t="str">
        <f t="shared" si="219"/>
        <v>_ТС (CAB_TS)</v>
      </c>
      <c r="H547" t="str">
        <f t="shared" si="220"/>
        <v>ТС</v>
      </c>
      <c r="I547" t="str">
        <f t="shared" si="223"/>
        <v>11.03.2021</v>
      </c>
      <c r="J547" t="str">
        <f>""</f>
        <v/>
      </c>
      <c r="K547" t="str">
        <f t="shared" si="224"/>
        <v>КСК-00506725</v>
      </c>
      <c r="L547" t="str">
        <f t="shared" si="225"/>
        <v>МУП "Курскэлектротранс"</v>
      </c>
      <c r="M547" t="str">
        <f t="shared" si="213"/>
        <v>Неизвестно</v>
      </c>
      <c r="N547" t="str">
        <f t="shared" si="212"/>
        <v>Да</v>
      </c>
      <c r="O547" t="str">
        <f t="shared" si="226"/>
        <v>[46/3165] ТОК1.6 Курск, Добролюбова, 22 а п.  - Т 6.1</v>
      </c>
      <c r="P547">
        <v>36.190285160000002</v>
      </c>
      <c r="Q547">
        <v>51.72183742</v>
      </c>
      <c r="R547" t="str">
        <f>""</f>
        <v/>
      </c>
    </row>
    <row r="548" spans="1:18" x14ac:dyDescent="0.25">
      <c r="A548">
        <v>907</v>
      </c>
      <c r="B548" t="str">
        <f t="shared" si="211"/>
        <v>Курск</v>
      </c>
      <c r="C548">
        <v>922034</v>
      </c>
      <c r="D548" t="str">
        <f t="shared" si="221"/>
        <v>Опора контактной сети</v>
      </c>
      <c r="E548" t="str">
        <f t="shared" si="222"/>
        <v>(Опора контактной сети)</v>
      </c>
      <c r="F548" t="str">
        <f>""</f>
        <v/>
      </c>
      <c r="G548" t="str">
        <f t="shared" si="219"/>
        <v>_ТС (CAB_TS)</v>
      </c>
      <c r="H548" t="str">
        <f t="shared" si="220"/>
        <v>ТС</v>
      </c>
      <c r="I548" t="str">
        <f t="shared" si="223"/>
        <v>11.03.2021</v>
      </c>
      <c r="J548" t="str">
        <f>""</f>
        <v/>
      </c>
      <c r="K548" t="str">
        <f t="shared" si="224"/>
        <v>КСК-00506725</v>
      </c>
      <c r="L548" t="str">
        <f t="shared" si="225"/>
        <v>МУП "Курскэлектротранс"</v>
      </c>
      <c r="M548" t="str">
        <f t="shared" si="213"/>
        <v>Неизвестно</v>
      </c>
      <c r="N548" t="str">
        <f t="shared" si="212"/>
        <v>Да</v>
      </c>
      <c r="O548" t="str">
        <f t="shared" si="226"/>
        <v>[46/3165] ТОК1.6 Курск, Добролюбова, 22 а п.  - Т 6.1</v>
      </c>
      <c r="P548">
        <v>36.190584899999998</v>
      </c>
      <c r="Q548">
        <v>51.721707809999998</v>
      </c>
      <c r="R548" t="str">
        <f>""</f>
        <v/>
      </c>
    </row>
    <row r="549" spans="1:18" x14ac:dyDescent="0.25">
      <c r="A549">
        <v>907</v>
      </c>
      <c r="B549" t="str">
        <f t="shared" si="211"/>
        <v>Курск</v>
      </c>
      <c r="C549">
        <v>922033</v>
      </c>
      <c r="D549" t="str">
        <f t="shared" si="221"/>
        <v>Опора контактной сети</v>
      </c>
      <c r="E549" t="str">
        <f t="shared" si="222"/>
        <v>(Опора контактной сети)</v>
      </c>
      <c r="F549" t="str">
        <f>""</f>
        <v/>
      </c>
      <c r="G549" t="str">
        <f t="shared" si="219"/>
        <v>_ТС (CAB_TS)</v>
      </c>
      <c r="H549" t="str">
        <f t="shared" si="220"/>
        <v>ТС</v>
      </c>
      <c r="I549" t="str">
        <f t="shared" si="223"/>
        <v>11.03.2021</v>
      </c>
      <c r="J549" t="str">
        <f>""</f>
        <v/>
      </c>
      <c r="K549" t="str">
        <f t="shared" si="224"/>
        <v>КСК-00506725</v>
      </c>
      <c r="L549" t="str">
        <f t="shared" si="225"/>
        <v>МУП "Курскэлектротранс"</v>
      </c>
      <c r="M549" t="str">
        <f t="shared" si="213"/>
        <v>Неизвестно</v>
      </c>
      <c r="N549" t="str">
        <f t="shared" si="212"/>
        <v>Да</v>
      </c>
      <c r="O549" t="str">
        <f t="shared" ref="O549:O567" si="227">"[46/3171] Т 6.1 - Т 6.2"</f>
        <v>[46/3171] Т 6.1 - Т 6.2</v>
      </c>
      <c r="P549">
        <v>36.190966439999997</v>
      </c>
      <c r="Q549">
        <v>51.721529189999998</v>
      </c>
      <c r="R549" t="str">
        <f>""</f>
        <v/>
      </c>
    </row>
    <row r="550" spans="1:18" x14ac:dyDescent="0.25">
      <c r="A550">
        <v>907</v>
      </c>
      <c r="B550" t="str">
        <f t="shared" si="211"/>
        <v>Курск</v>
      </c>
      <c r="C550">
        <v>922032</v>
      </c>
      <c r="D550" t="str">
        <f t="shared" si="221"/>
        <v>Опора контактной сети</v>
      </c>
      <c r="E550" t="str">
        <f t="shared" si="222"/>
        <v>(Опора контактной сети)</v>
      </c>
      <c r="F550" t="str">
        <f>""</f>
        <v/>
      </c>
      <c r="G550" t="str">
        <f t="shared" si="219"/>
        <v>_ТС (CAB_TS)</v>
      </c>
      <c r="H550" t="str">
        <f t="shared" si="220"/>
        <v>ТС</v>
      </c>
      <c r="I550" t="str">
        <f t="shared" si="223"/>
        <v>11.03.2021</v>
      </c>
      <c r="J550" t="str">
        <f>""</f>
        <v/>
      </c>
      <c r="K550" t="str">
        <f t="shared" si="224"/>
        <v>КСК-00506725</v>
      </c>
      <c r="L550" t="str">
        <f t="shared" si="225"/>
        <v>МУП "Курскэлектротранс"</v>
      </c>
      <c r="M550" t="str">
        <f t="shared" si="213"/>
        <v>Неизвестно</v>
      </c>
      <c r="N550" t="str">
        <f t="shared" si="212"/>
        <v>Да</v>
      </c>
      <c r="O550" t="str">
        <f t="shared" si="227"/>
        <v>[46/3171] Т 6.1 - Т 6.2</v>
      </c>
      <c r="P550">
        <v>36.191351339999997</v>
      </c>
      <c r="Q550">
        <v>51.721353479999998</v>
      </c>
      <c r="R550" t="str">
        <f>""</f>
        <v/>
      </c>
    </row>
    <row r="551" spans="1:18" x14ac:dyDescent="0.25">
      <c r="A551">
        <v>907</v>
      </c>
      <c r="B551" t="str">
        <f t="shared" si="211"/>
        <v>Курск</v>
      </c>
      <c r="C551">
        <v>922031</v>
      </c>
      <c r="D551" t="str">
        <f t="shared" si="221"/>
        <v>Опора контактной сети</v>
      </c>
      <c r="E551" t="str">
        <f t="shared" si="222"/>
        <v>(Опора контактной сети)</v>
      </c>
      <c r="F551" t="str">
        <f>""</f>
        <v/>
      </c>
      <c r="G551" t="str">
        <f t="shared" si="219"/>
        <v>_ТС (CAB_TS)</v>
      </c>
      <c r="H551" t="str">
        <f t="shared" si="220"/>
        <v>ТС</v>
      </c>
      <c r="I551" t="str">
        <f t="shared" si="223"/>
        <v>11.03.2021</v>
      </c>
      <c r="J551" t="str">
        <f>""</f>
        <v/>
      </c>
      <c r="K551" t="str">
        <f t="shared" si="224"/>
        <v>КСК-00506725</v>
      </c>
      <c r="L551" t="str">
        <f t="shared" si="225"/>
        <v>МУП "Курскэлектротранс"</v>
      </c>
      <c r="M551" t="str">
        <f t="shared" si="213"/>
        <v>Неизвестно</v>
      </c>
      <c r="N551" t="str">
        <f t="shared" si="212"/>
        <v>Да</v>
      </c>
      <c r="O551" t="str">
        <f t="shared" si="227"/>
        <v>[46/3171] Т 6.1 - Т 6.2</v>
      </c>
      <c r="P551">
        <v>36.191737580000002</v>
      </c>
      <c r="Q551">
        <v>51.721178180000003</v>
      </c>
      <c r="R551" t="str">
        <f>""</f>
        <v/>
      </c>
    </row>
    <row r="552" spans="1:18" x14ac:dyDescent="0.25">
      <c r="A552">
        <v>907</v>
      </c>
      <c r="B552" t="str">
        <f t="shared" si="211"/>
        <v>Курск</v>
      </c>
      <c r="C552">
        <v>922030</v>
      </c>
      <c r="D552" t="str">
        <f t="shared" si="221"/>
        <v>Опора контактной сети</v>
      </c>
      <c r="E552" t="str">
        <f t="shared" si="222"/>
        <v>(Опора контактной сети)</v>
      </c>
      <c r="F552" t="str">
        <f>""</f>
        <v/>
      </c>
      <c r="G552" t="str">
        <f t="shared" si="219"/>
        <v>_ТС (CAB_TS)</v>
      </c>
      <c r="H552" t="str">
        <f t="shared" si="220"/>
        <v>ТС</v>
      </c>
      <c r="I552" t="str">
        <f t="shared" si="223"/>
        <v>11.03.2021</v>
      </c>
      <c r="J552" t="str">
        <f>""</f>
        <v/>
      </c>
      <c r="K552" t="str">
        <f t="shared" si="224"/>
        <v>КСК-00506725</v>
      </c>
      <c r="L552" t="str">
        <f t="shared" si="225"/>
        <v>МУП "Курскэлектротранс"</v>
      </c>
      <c r="M552" t="str">
        <f t="shared" si="213"/>
        <v>Неизвестно</v>
      </c>
      <c r="N552" t="str">
        <f t="shared" si="212"/>
        <v>Да</v>
      </c>
      <c r="O552" t="str">
        <f t="shared" si="227"/>
        <v>[46/3171] Т 6.1 - Т 6.2</v>
      </c>
      <c r="P552">
        <v>36.19214796</v>
      </c>
      <c r="Q552">
        <v>51.720994570000002</v>
      </c>
      <c r="R552" t="str">
        <f>""</f>
        <v/>
      </c>
    </row>
    <row r="553" spans="1:18" x14ac:dyDescent="0.25">
      <c r="A553">
        <v>907</v>
      </c>
      <c r="B553" t="str">
        <f t="shared" si="211"/>
        <v>Курск</v>
      </c>
      <c r="C553">
        <v>922029</v>
      </c>
      <c r="D553" t="str">
        <f t="shared" si="221"/>
        <v>Опора контактной сети</v>
      </c>
      <c r="E553" t="str">
        <f t="shared" si="222"/>
        <v>(Опора контактной сети)</v>
      </c>
      <c r="F553" t="str">
        <f>""</f>
        <v/>
      </c>
      <c r="G553" t="str">
        <f t="shared" si="219"/>
        <v>_ТС (CAB_TS)</v>
      </c>
      <c r="H553" t="str">
        <f t="shared" si="220"/>
        <v>ТС</v>
      </c>
      <c r="I553" t="str">
        <f t="shared" si="223"/>
        <v>11.03.2021</v>
      </c>
      <c r="J553" t="str">
        <f>""</f>
        <v/>
      </c>
      <c r="K553" t="str">
        <f t="shared" si="224"/>
        <v>КСК-00506725</v>
      </c>
      <c r="L553" t="str">
        <f t="shared" si="225"/>
        <v>МУП "Курскэлектротранс"</v>
      </c>
      <c r="M553" t="str">
        <f t="shared" si="213"/>
        <v>Неизвестно</v>
      </c>
      <c r="N553" t="str">
        <f t="shared" si="212"/>
        <v>Да</v>
      </c>
      <c r="O553" t="str">
        <f t="shared" si="227"/>
        <v>[46/3171] Т 6.1 - Т 6.2</v>
      </c>
      <c r="P553">
        <v>36.192551629999997</v>
      </c>
      <c r="Q553">
        <v>51.720824260000001</v>
      </c>
      <c r="R553" t="str">
        <f>""</f>
        <v/>
      </c>
    </row>
    <row r="554" spans="1:18" x14ac:dyDescent="0.25">
      <c r="A554">
        <v>907</v>
      </c>
      <c r="B554" t="str">
        <f t="shared" si="211"/>
        <v>Курск</v>
      </c>
      <c r="C554">
        <v>922028</v>
      </c>
      <c r="D554" t="str">
        <f t="shared" si="221"/>
        <v>Опора контактной сети</v>
      </c>
      <c r="E554" t="str">
        <f t="shared" si="222"/>
        <v>(Опора контактной сети)</v>
      </c>
      <c r="F554" t="str">
        <f>""</f>
        <v/>
      </c>
      <c r="G554" t="str">
        <f t="shared" si="219"/>
        <v>_ТС (CAB_TS)</v>
      </c>
      <c r="H554" t="str">
        <f t="shared" si="220"/>
        <v>ТС</v>
      </c>
      <c r="I554" t="str">
        <f t="shared" si="223"/>
        <v>11.03.2021</v>
      </c>
      <c r="J554" t="str">
        <f>""</f>
        <v/>
      </c>
      <c r="K554" t="str">
        <f t="shared" si="224"/>
        <v>КСК-00506725</v>
      </c>
      <c r="L554" t="str">
        <f t="shared" si="225"/>
        <v>МУП "Курскэлектротранс"</v>
      </c>
      <c r="M554" t="str">
        <f t="shared" si="213"/>
        <v>Неизвестно</v>
      </c>
      <c r="N554" t="str">
        <f t="shared" si="212"/>
        <v>Да</v>
      </c>
      <c r="O554" t="str">
        <f t="shared" si="227"/>
        <v>[46/3171] Т 6.1 - Т 6.2</v>
      </c>
      <c r="P554">
        <v>36.192975420000003</v>
      </c>
      <c r="Q554">
        <v>51.720650620000001</v>
      </c>
      <c r="R554" t="str">
        <f>""</f>
        <v/>
      </c>
    </row>
    <row r="555" spans="1:18" x14ac:dyDescent="0.25">
      <c r="A555">
        <v>907</v>
      </c>
      <c r="B555" t="str">
        <f t="shared" si="211"/>
        <v>Курск</v>
      </c>
      <c r="C555">
        <v>922027</v>
      </c>
      <c r="D555" t="str">
        <f t="shared" si="221"/>
        <v>Опора контактной сети</v>
      </c>
      <c r="E555" t="str">
        <f t="shared" si="222"/>
        <v>(Опора контактной сети)</v>
      </c>
      <c r="F555" t="str">
        <f>""</f>
        <v/>
      </c>
      <c r="G555" t="str">
        <f t="shared" si="219"/>
        <v>_ТС (CAB_TS)</v>
      </c>
      <c r="H555" t="str">
        <f t="shared" si="220"/>
        <v>ТС</v>
      </c>
      <c r="I555" t="str">
        <f t="shared" si="223"/>
        <v>11.03.2021</v>
      </c>
      <c r="J555" t="str">
        <f>""</f>
        <v/>
      </c>
      <c r="K555" t="str">
        <f t="shared" si="224"/>
        <v>КСК-00506725</v>
      </c>
      <c r="L555" t="str">
        <f t="shared" si="225"/>
        <v>МУП "Курскэлектротранс"</v>
      </c>
      <c r="M555" t="str">
        <f t="shared" si="213"/>
        <v>Неизвестно</v>
      </c>
      <c r="N555" t="str">
        <f t="shared" si="212"/>
        <v>Да</v>
      </c>
      <c r="O555" t="str">
        <f t="shared" si="227"/>
        <v>[46/3171] Т 6.1 - Т 6.2</v>
      </c>
      <c r="P555">
        <v>36.193395189999997</v>
      </c>
      <c r="Q555">
        <v>51.7204695</v>
      </c>
      <c r="R555" t="str">
        <f>""</f>
        <v/>
      </c>
    </row>
    <row r="556" spans="1:18" x14ac:dyDescent="0.25">
      <c r="A556">
        <v>907</v>
      </c>
      <c r="B556" t="str">
        <f t="shared" si="211"/>
        <v>Курск</v>
      </c>
      <c r="C556">
        <v>922026</v>
      </c>
      <c r="D556" t="str">
        <f t="shared" si="221"/>
        <v>Опора контактной сети</v>
      </c>
      <c r="E556" t="str">
        <f t="shared" si="222"/>
        <v>(Опора контактной сети)</v>
      </c>
      <c r="F556" t="str">
        <f>""</f>
        <v/>
      </c>
      <c r="G556" t="str">
        <f t="shared" si="219"/>
        <v>_ТС (CAB_TS)</v>
      </c>
      <c r="H556" t="str">
        <f t="shared" si="220"/>
        <v>ТС</v>
      </c>
      <c r="I556" t="str">
        <f t="shared" si="223"/>
        <v>11.03.2021</v>
      </c>
      <c r="J556" t="str">
        <f>""</f>
        <v/>
      </c>
      <c r="K556" t="str">
        <f t="shared" si="224"/>
        <v>КСК-00506725</v>
      </c>
      <c r="L556" t="str">
        <f t="shared" si="225"/>
        <v>МУП "Курскэлектротранс"</v>
      </c>
      <c r="M556" t="str">
        <f t="shared" si="213"/>
        <v>Неизвестно</v>
      </c>
      <c r="N556" t="str">
        <f t="shared" si="212"/>
        <v>Да</v>
      </c>
      <c r="O556" t="str">
        <f t="shared" si="227"/>
        <v>[46/3171] Т 6.1 - Т 6.2</v>
      </c>
      <c r="P556">
        <v>36.193812270000002</v>
      </c>
      <c r="Q556">
        <v>51.720295030000003</v>
      </c>
      <c r="R556" t="str">
        <f>""</f>
        <v/>
      </c>
    </row>
    <row r="557" spans="1:18" x14ac:dyDescent="0.25">
      <c r="A557">
        <v>907</v>
      </c>
      <c r="B557" t="str">
        <f t="shared" si="211"/>
        <v>Курск</v>
      </c>
      <c r="C557">
        <v>922025</v>
      </c>
      <c r="D557" t="str">
        <f t="shared" si="221"/>
        <v>Опора контактной сети</v>
      </c>
      <c r="E557" t="str">
        <f t="shared" si="222"/>
        <v>(Опора контактной сети)</v>
      </c>
      <c r="F557" t="str">
        <f>""</f>
        <v/>
      </c>
      <c r="G557" t="str">
        <f t="shared" si="219"/>
        <v>_ТС (CAB_TS)</v>
      </c>
      <c r="H557" t="str">
        <f t="shared" si="220"/>
        <v>ТС</v>
      </c>
      <c r="I557" t="str">
        <f t="shared" si="223"/>
        <v>11.03.2021</v>
      </c>
      <c r="J557" t="str">
        <f>""</f>
        <v/>
      </c>
      <c r="K557" t="str">
        <f t="shared" si="224"/>
        <v>КСК-00506725</v>
      </c>
      <c r="L557" t="str">
        <f t="shared" si="225"/>
        <v>МУП "Курскэлектротранс"</v>
      </c>
      <c r="M557" t="str">
        <f t="shared" si="213"/>
        <v>Неизвестно</v>
      </c>
      <c r="N557" t="str">
        <f t="shared" si="212"/>
        <v>Да</v>
      </c>
      <c r="O557" t="str">
        <f t="shared" si="227"/>
        <v>[46/3171] Т 6.1 - Т 6.2</v>
      </c>
      <c r="P557">
        <v>36.194219959999998</v>
      </c>
      <c r="Q557">
        <v>51.72010727</v>
      </c>
      <c r="R557" t="str">
        <f>""</f>
        <v/>
      </c>
    </row>
    <row r="558" spans="1:18" x14ac:dyDescent="0.25">
      <c r="A558">
        <v>907</v>
      </c>
      <c r="B558" t="str">
        <f t="shared" si="211"/>
        <v>Курск</v>
      </c>
      <c r="C558">
        <v>922024</v>
      </c>
      <c r="D558" t="str">
        <f t="shared" si="221"/>
        <v>Опора контактной сети</v>
      </c>
      <c r="E558" t="str">
        <f t="shared" si="222"/>
        <v>(Опора контактной сети)</v>
      </c>
      <c r="F558" t="str">
        <f>""</f>
        <v/>
      </c>
      <c r="G558" t="str">
        <f t="shared" si="219"/>
        <v>_ТС (CAB_TS)</v>
      </c>
      <c r="H558" t="str">
        <f t="shared" si="220"/>
        <v>ТС</v>
      </c>
      <c r="I558" t="str">
        <f t="shared" si="223"/>
        <v>11.03.2021</v>
      </c>
      <c r="J558" t="str">
        <f>""</f>
        <v/>
      </c>
      <c r="K558" t="str">
        <f t="shared" si="224"/>
        <v>КСК-00506725</v>
      </c>
      <c r="L558" t="str">
        <f t="shared" si="225"/>
        <v>МУП "Курскэлектротранс"</v>
      </c>
      <c r="M558" t="str">
        <f t="shared" si="213"/>
        <v>Неизвестно</v>
      </c>
      <c r="N558" t="str">
        <f t="shared" si="212"/>
        <v>Да</v>
      </c>
      <c r="O558" t="str">
        <f t="shared" si="227"/>
        <v>[46/3171] Т 6.1 - Т 6.2</v>
      </c>
      <c r="P558">
        <v>36.194598159999998</v>
      </c>
      <c r="Q558">
        <v>51.719926149999999</v>
      </c>
      <c r="R558" t="str">
        <f>""</f>
        <v/>
      </c>
    </row>
    <row r="559" spans="1:18" x14ac:dyDescent="0.25">
      <c r="A559">
        <v>907</v>
      </c>
      <c r="B559" t="str">
        <f t="shared" si="211"/>
        <v>Курск</v>
      </c>
      <c r="C559">
        <v>922023</v>
      </c>
      <c r="D559" t="str">
        <f t="shared" si="221"/>
        <v>Опора контактной сети</v>
      </c>
      <c r="E559" t="str">
        <f t="shared" si="222"/>
        <v>(Опора контактной сети)</v>
      </c>
      <c r="F559" t="str">
        <f>""</f>
        <v/>
      </c>
      <c r="G559" t="str">
        <f t="shared" si="219"/>
        <v>_ТС (CAB_TS)</v>
      </c>
      <c r="H559" t="str">
        <f t="shared" si="220"/>
        <v>ТС</v>
      </c>
      <c r="I559" t="str">
        <f t="shared" si="223"/>
        <v>11.03.2021</v>
      </c>
      <c r="J559" t="str">
        <f>""</f>
        <v/>
      </c>
      <c r="K559" t="str">
        <f t="shared" si="224"/>
        <v>КСК-00506725</v>
      </c>
      <c r="L559" t="str">
        <f t="shared" si="225"/>
        <v>МУП "Курскэлектротранс"</v>
      </c>
      <c r="M559" t="str">
        <f t="shared" si="213"/>
        <v>Неизвестно</v>
      </c>
      <c r="N559" t="str">
        <f t="shared" si="212"/>
        <v>Да</v>
      </c>
      <c r="O559" t="str">
        <f t="shared" si="227"/>
        <v>[46/3171] Т 6.1 - Т 6.2</v>
      </c>
      <c r="P559">
        <v>36.194997809999997</v>
      </c>
      <c r="Q559">
        <v>51.719748350000003</v>
      </c>
      <c r="R559" t="str">
        <f>""</f>
        <v/>
      </c>
    </row>
    <row r="560" spans="1:18" x14ac:dyDescent="0.25">
      <c r="A560">
        <v>907</v>
      </c>
      <c r="B560" t="str">
        <f t="shared" si="211"/>
        <v>Курск</v>
      </c>
      <c r="C560">
        <v>922022</v>
      </c>
      <c r="D560" t="str">
        <f t="shared" si="221"/>
        <v>Опора контактной сети</v>
      </c>
      <c r="E560" t="str">
        <f t="shared" si="222"/>
        <v>(Опора контактной сети)</v>
      </c>
      <c r="F560" t="str">
        <f>""</f>
        <v/>
      </c>
      <c r="G560" t="str">
        <f t="shared" si="219"/>
        <v>_ТС (CAB_TS)</v>
      </c>
      <c r="H560" t="str">
        <f t="shared" si="220"/>
        <v>ТС</v>
      </c>
      <c r="I560" t="str">
        <f t="shared" si="223"/>
        <v>11.03.2021</v>
      </c>
      <c r="J560" t="str">
        <f>""</f>
        <v/>
      </c>
      <c r="K560" t="str">
        <f t="shared" si="224"/>
        <v>КСК-00506725</v>
      </c>
      <c r="L560" t="str">
        <f t="shared" si="225"/>
        <v>МУП "Курскэлектротранс"</v>
      </c>
      <c r="M560" t="str">
        <f t="shared" si="213"/>
        <v>Неизвестно</v>
      </c>
      <c r="N560" t="str">
        <f t="shared" si="212"/>
        <v>Да</v>
      </c>
      <c r="O560" t="str">
        <f t="shared" si="227"/>
        <v>[46/3171] Т 6.1 - Т 6.2</v>
      </c>
      <c r="P560">
        <v>36.195380020000002</v>
      </c>
      <c r="Q560">
        <v>51.719578859999999</v>
      </c>
      <c r="R560" t="str">
        <f>""</f>
        <v/>
      </c>
    </row>
    <row r="561" spans="1:18" x14ac:dyDescent="0.25">
      <c r="A561">
        <v>907</v>
      </c>
      <c r="B561" t="str">
        <f t="shared" si="211"/>
        <v>Курск</v>
      </c>
      <c r="C561">
        <v>922021</v>
      </c>
      <c r="D561" t="str">
        <f t="shared" si="221"/>
        <v>Опора контактной сети</v>
      </c>
      <c r="E561" t="str">
        <f t="shared" si="222"/>
        <v>(Опора контактной сети)</v>
      </c>
      <c r="F561" t="str">
        <f>""</f>
        <v/>
      </c>
      <c r="G561" t="str">
        <f t="shared" si="219"/>
        <v>_ТС (CAB_TS)</v>
      </c>
      <c r="H561" t="str">
        <f t="shared" si="220"/>
        <v>ТС</v>
      </c>
      <c r="I561" t="str">
        <f t="shared" si="223"/>
        <v>11.03.2021</v>
      </c>
      <c r="J561" t="str">
        <f>""</f>
        <v/>
      </c>
      <c r="K561" t="str">
        <f t="shared" si="224"/>
        <v>КСК-00506725</v>
      </c>
      <c r="L561" t="str">
        <f t="shared" si="225"/>
        <v>МУП "Курскэлектротранс"</v>
      </c>
      <c r="M561" t="str">
        <f t="shared" si="213"/>
        <v>Неизвестно</v>
      </c>
      <c r="N561" t="str">
        <f t="shared" si="212"/>
        <v>Да</v>
      </c>
      <c r="O561" t="str">
        <f t="shared" si="227"/>
        <v>[46/3171] Т 6.1 - Т 6.2</v>
      </c>
      <c r="P561">
        <v>36.195766259999999</v>
      </c>
      <c r="Q561">
        <v>51.719392759999998</v>
      </c>
      <c r="R561" t="str">
        <f>""</f>
        <v/>
      </c>
    </row>
    <row r="562" spans="1:18" x14ac:dyDescent="0.25">
      <c r="A562">
        <v>907</v>
      </c>
      <c r="B562" t="str">
        <f t="shared" si="211"/>
        <v>Курск</v>
      </c>
      <c r="C562">
        <v>922020</v>
      </c>
      <c r="D562" t="str">
        <f t="shared" si="221"/>
        <v>Опора контактной сети</v>
      </c>
      <c r="E562" t="str">
        <f t="shared" si="222"/>
        <v>(Опора контактной сети)</v>
      </c>
      <c r="F562" t="str">
        <f>""</f>
        <v/>
      </c>
      <c r="G562" t="str">
        <f t="shared" si="219"/>
        <v>_ТС (CAB_TS)</v>
      </c>
      <c r="H562" t="str">
        <f t="shared" si="220"/>
        <v>ТС</v>
      </c>
      <c r="I562" t="str">
        <f t="shared" si="223"/>
        <v>11.03.2021</v>
      </c>
      <c r="J562" t="str">
        <f>""</f>
        <v/>
      </c>
      <c r="K562" t="str">
        <f t="shared" si="224"/>
        <v>КСК-00506725</v>
      </c>
      <c r="L562" t="str">
        <f t="shared" si="225"/>
        <v>МУП "Курскэлектротранс"</v>
      </c>
      <c r="M562" t="str">
        <f t="shared" si="213"/>
        <v>Неизвестно</v>
      </c>
      <c r="N562" t="str">
        <f t="shared" si="212"/>
        <v>Да</v>
      </c>
      <c r="O562" t="str">
        <f t="shared" si="227"/>
        <v>[46/3171] Т 6.1 - Т 6.2</v>
      </c>
      <c r="P562">
        <v>36.196173950000002</v>
      </c>
      <c r="Q562">
        <v>51.719206649999997</v>
      </c>
      <c r="R562" t="str">
        <f>""</f>
        <v/>
      </c>
    </row>
    <row r="563" spans="1:18" x14ac:dyDescent="0.25">
      <c r="A563">
        <v>907</v>
      </c>
      <c r="B563" t="str">
        <f t="shared" si="211"/>
        <v>Курск</v>
      </c>
      <c r="C563">
        <v>922019</v>
      </c>
      <c r="D563" t="str">
        <f t="shared" si="221"/>
        <v>Опора контактной сети</v>
      </c>
      <c r="E563" t="str">
        <f t="shared" si="222"/>
        <v>(Опора контактной сети)</v>
      </c>
      <c r="F563" t="str">
        <f>""</f>
        <v/>
      </c>
      <c r="G563" t="str">
        <f t="shared" si="219"/>
        <v>_ТС (CAB_TS)</v>
      </c>
      <c r="H563" t="str">
        <f t="shared" si="220"/>
        <v>ТС</v>
      </c>
      <c r="I563" t="str">
        <f t="shared" si="223"/>
        <v>11.03.2021</v>
      </c>
      <c r="J563" t="str">
        <f>""</f>
        <v/>
      </c>
      <c r="K563" t="str">
        <f t="shared" si="224"/>
        <v>КСК-00506725</v>
      </c>
      <c r="L563" t="str">
        <f t="shared" si="225"/>
        <v>МУП "Курскэлектротранс"</v>
      </c>
      <c r="M563" t="str">
        <f t="shared" si="213"/>
        <v>Неизвестно</v>
      </c>
      <c r="N563" t="str">
        <f t="shared" si="212"/>
        <v>Да</v>
      </c>
      <c r="O563" t="str">
        <f t="shared" si="227"/>
        <v>[46/3171] Т 6.1 - Т 6.2</v>
      </c>
      <c r="P563">
        <v>36.196582990000003</v>
      </c>
      <c r="Q563">
        <v>51.719019709999998</v>
      </c>
      <c r="R563" t="str">
        <f>""</f>
        <v/>
      </c>
    </row>
    <row r="564" spans="1:18" x14ac:dyDescent="0.25">
      <c r="A564">
        <v>907</v>
      </c>
      <c r="B564" t="str">
        <f t="shared" si="211"/>
        <v>Курск</v>
      </c>
      <c r="C564">
        <v>922018</v>
      </c>
      <c r="D564" t="str">
        <f t="shared" si="221"/>
        <v>Опора контактной сети</v>
      </c>
      <c r="E564" t="str">
        <f t="shared" si="222"/>
        <v>(Опора контактной сети)</v>
      </c>
      <c r="F564" t="str">
        <f>""</f>
        <v/>
      </c>
      <c r="G564" t="str">
        <f t="shared" si="219"/>
        <v>_ТС (CAB_TS)</v>
      </c>
      <c r="H564" t="str">
        <f t="shared" si="220"/>
        <v>ТС</v>
      </c>
      <c r="I564" t="str">
        <f t="shared" si="223"/>
        <v>11.03.2021</v>
      </c>
      <c r="J564" t="str">
        <f>""</f>
        <v/>
      </c>
      <c r="K564" t="str">
        <f t="shared" si="224"/>
        <v>КСК-00506725</v>
      </c>
      <c r="L564" t="str">
        <f t="shared" si="225"/>
        <v>МУП "Курскэлектротранс"</v>
      </c>
      <c r="M564" t="str">
        <f t="shared" si="213"/>
        <v>Неизвестно</v>
      </c>
      <c r="N564" t="str">
        <f t="shared" si="212"/>
        <v>Да</v>
      </c>
      <c r="O564" t="str">
        <f t="shared" si="227"/>
        <v>[46/3171] Т 6.1 - Т 6.2</v>
      </c>
      <c r="P564">
        <v>36.19696252</v>
      </c>
      <c r="Q564">
        <v>51.718829450000001</v>
      </c>
      <c r="R564" t="str">
        <f>""</f>
        <v/>
      </c>
    </row>
    <row r="565" spans="1:18" x14ac:dyDescent="0.25">
      <c r="A565">
        <v>907</v>
      </c>
      <c r="B565" t="str">
        <f t="shared" si="211"/>
        <v>Курск</v>
      </c>
      <c r="C565">
        <v>922017</v>
      </c>
      <c r="D565" t="str">
        <f t="shared" si="221"/>
        <v>Опора контактной сети</v>
      </c>
      <c r="E565" t="str">
        <f t="shared" si="222"/>
        <v>(Опора контактной сети)</v>
      </c>
      <c r="F565" t="str">
        <f>""</f>
        <v/>
      </c>
      <c r="G565" t="str">
        <f t="shared" si="219"/>
        <v>_ТС (CAB_TS)</v>
      </c>
      <c r="H565" t="str">
        <f t="shared" si="220"/>
        <v>ТС</v>
      </c>
      <c r="I565" t="str">
        <f t="shared" si="223"/>
        <v>11.03.2021</v>
      </c>
      <c r="J565" t="str">
        <f>""</f>
        <v/>
      </c>
      <c r="K565" t="str">
        <f t="shared" si="224"/>
        <v>КСК-00506725</v>
      </c>
      <c r="L565" t="str">
        <f t="shared" si="225"/>
        <v>МУП "Курскэлектротранс"</v>
      </c>
      <c r="M565" t="str">
        <f t="shared" si="213"/>
        <v>Неизвестно</v>
      </c>
      <c r="N565" t="str">
        <f t="shared" si="212"/>
        <v>Да</v>
      </c>
      <c r="O565" t="str">
        <f t="shared" si="227"/>
        <v>[46/3171] Т 6.1 - Т 6.2</v>
      </c>
      <c r="P565">
        <v>36.197363510000002</v>
      </c>
      <c r="Q565">
        <v>51.718636689999997</v>
      </c>
      <c r="R565" t="str">
        <f>""</f>
        <v/>
      </c>
    </row>
    <row r="566" spans="1:18" x14ac:dyDescent="0.25">
      <c r="A566">
        <v>907</v>
      </c>
      <c r="B566" t="str">
        <f t="shared" si="211"/>
        <v>Курск</v>
      </c>
      <c r="C566">
        <v>922016</v>
      </c>
      <c r="D566" t="str">
        <f t="shared" si="221"/>
        <v>Опора контактной сети</v>
      </c>
      <c r="E566" t="str">
        <f t="shared" si="222"/>
        <v>(Опора контактной сети)</v>
      </c>
      <c r="F566" t="str">
        <f>""</f>
        <v/>
      </c>
      <c r="G566" t="str">
        <f t="shared" si="219"/>
        <v>_ТС (CAB_TS)</v>
      </c>
      <c r="H566" t="str">
        <f t="shared" si="220"/>
        <v>ТС</v>
      </c>
      <c r="I566" t="str">
        <f t="shared" si="223"/>
        <v>11.03.2021</v>
      </c>
      <c r="J566" t="str">
        <f>""</f>
        <v/>
      </c>
      <c r="K566" t="str">
        <f t="shared" si="224"/>
        <v>КСК-00506725</v>
      </c>
      <c r="L566" t="str">
        <f t="shared" si="225"/>
        <v>МУП "Курскэлектротранс"</v>
      </c>
      <c r="M566" t="str">
        <f t="shared" si="213"/>
        <v>Неизвестно</v>
      </c>
      <c r="N566" t="str">
        <f t="shared" si="212"/>
        <v>Да</v>
      </c>
      <c r="O566" t="str">
        <f t="shared" si="227"/>
        <v>[46/3171] Т 6.1 - Т 6.2</v>
      </c>
      <c r="P566">
        <v>36.197773890000001</v>
      </c>
      <c r="Q566">
        <v>51.71844892</v>
      </c>
      <c r="R566" t="str">
        <f>""</f>
        <v/>
      </c>
    </row>
    <row r="567" spans="1:18" x14ac:dyDescent="0.25">
      <c r="A567">
        <v>907</v>
      </c>
      <c r="B567" t="str">
        <f t="shared" si="211"/>
        <v>Курск</v>
      </c>
      <c r="C567">
        <v>922015</v>
      </c>
      <c r="D567" t="str">
        <f t="shared" si="221"/>
        <v>Опора контактной сети</v>
      </c>
      <c r="E567" t="str">
        <f t="shared" si="222"/>
        <v>(Опора контактной сети)</v>
      </c>
      <c r="F567" t="str">
        <f>""</f>
        <v/>
      </c>
      <c r="G567" t="str">
        <f t="shared" si="219"/>
        <v>_ТС (CAB_TS)</v>
      </c>
      <c r="H567" t="str">
        <f t="shared" si="220"/>
        <v>ТС</v>
      </c>
      <c r="I567" t="str">
        <f t="shared" si="223"/>
        <v>11.03.2021</v>
      </c>
      <c r="J567" t="str">
        <f>""</f>
        <v/>
      </c>
      <c r="K567" t="str">
        <f t="shared" si="224"/>
        <v>КСК-00506725</v>
      </c>
      <c r="L567" t="str">
        <f t="shared" si="225"/>
        <v>МУП "Курскэлектротранс"</v>
      </c>
      <c r="M567" t="str">
        <f t="shared" si="213"/>
        <v>Неизвестно</v>
      </c>
      <c r="N567" t="str">
        <f t="shared" si="212"/>
        <v>Да</v>
      </c>
      <c r="O567" t="str">
        <f t="shared" si="227"/>
        <v>[46/3171] Т 6.1 - Т 6.2</v>
      </c>
      <c r="P567">
        <v>36.198193660000001</v>
      </c>
      <c r="Q567">
        <v>51.718261149999996</v>
      </c>
      <c r="R567" t="str">
        <f>""</f>
        <v/>
      </c>
    </row>
    <row r="568" spans="1:18" x14ac:dyDescent="0.25">
      <c r="A568">
        <v>907</v>
      </c>
      <c r="B568" t="str">
        <f t="shared" si="211"/>
        <v>Курск</v>
      </c>
      <c r="C568">
        <v>857864</v>
      </c>
      <c r="D568" t="str">
        <f t="shared" ref="D568:D599" si="228">"Опора"</f>
        <v>Опора</v>
      </c>
      <c r="E568" t="str">
        <f>"КИ 4594 (54)"</f>
        <v>КИ 4594 (54)</v>
      </c>
      <c r="F568" t="str">
        <f>""</f>
        <v/>
      </c>
      <c r="G568" t="str">
        <f t="shared" ref="G568:G599" si="229">"_ТС (CAB_TS)"</f>
        <v>_ТС (CAB_TS)</v>
      </c>
      <c r="H568" t="str">
        <f t="shared" ref="H568:H599" si="230">"ТС"</f>
        <v>ТС</v>
      </c>
      <c r="I568" t="str">
        <f t="shared" ref="I568:I599" si="231">"17.04.2013"</f>
        <v>17.04.2013</v>
      </c>
      <c r="J568" t="str">
        <f>""</f>
        <v/>
      </c>
      <c r="K568" t="str">
        <f t="shared" ref="K568:K599" si="232">"АКТ №4594"</f>
        <v>АКТ №4594</v>
      </c>
      <c r="L568" t="str">
        <f t="shared" ref="L568:L597" si="233">"Комитет по управлению муниципальным имуществом города Курска"</f>
        <v>Комитет по управлению муниципальным имуществом города Курска</v>
      </c>
      <c r="M568" t="str">
        <f t="shared" ref="M568:M599" si="234">"Да"</f>
        <v>Да</v>
      </c>
      <c r="N568" t="str">
        <f t="shared" si="212"/>
        <v>Да</v>
      </c>
      <c r="O568" t="str">
        <f t="shared" ref="O568:O599" si="235">"[46/1651] T 7.5 - Т 7.3"</f>
        <v>[46/1651] T 7.5 - Т 7.3</v>
      </c>
      <c r="P568">
        <v>36.210969689999999</v>
      </c>
      <c r="Q568">
        <v>51.754934110000001</v>
      </c>
      <c r="R568" t="str">
        <f>"20000004578620"</f>
        <v>20000004578620</v>
      </c>
    </row>
    <row r="569" spans="1:18" x14ac:dyDescent="0.25">
      <c r="A569">
        <v>907</v>
      </c>
      <c r="B569" t="str">
        <f t="shared" si="211"/>
        <v>Курск</v>
      </c>
      <c r="C569">
        <v>857861</v>
      </c>
      <c r="D569" t="str">
        <f t="shared" si="228"/>
        <v>Опора</v>
      </c>
      <c r="E569" t="str">
        <f>"КИ 4594 (57)"</f>
        <v>КИ 4594 (57)</v>
      </c>
      <c r="F569" t="str">
        <f>""</f>
        <v/>
      </c>
      <c r="G569" t="str">
        <f t="shared" si="229"/>
        <v>_ТС (CAB_TS)</v>
      </c>
      <c r="H569" t="str">
        <f t="shared" si="230"/>
        <v>ТС</v>
      </c>
      <c r="I569" t="str">
        <f t="shared" si="231"/>
        <v>17.04.2013</v>
      </c>
      <c r="J569" t="str">
        <f>""</f>
        <v/>
      </c>
      <c r="K569" t="str">
        <f t="shared" si="232"/>
        <v>АКТ №4594</v>
      </c>
      <c r="L569" t="str">
        <f t="shared" si="233"/>
        <v>Комитет по управлению муниципальным имуществом города Курска</v>
      </c>
      <c r="M569" t="str">
        <f t="shared" si="234"/>
        <v>Да</v>
      </c>
      <c r="N569" t="str">
        <f t="shared" si="212"/>
        <v>Да</v>
      </c>
      <c r="O569" t="str">
        <f t="shared" si="235"/>
        <v>[46/1651] T 7.5 - Т 7.3</v>
      </c>
      <c r="P569">
        <v>36.211790440000001</v>
      </c>
      <c r="Q569">
        <v>51.75433306</v>
      </c>
      <c r="R569" t="str">
        <f>"20000004578617"</f>
        <v>20000004578617</v>
      </c>
    </row>
    <row r="570" spans="1:18" x14ac:dyDescent="0.25">
      <c r="A570">
        <v>907</v>
      </c>
      <c r="B570" t="str">
        <f t="shared" si="211"/>
        <v>Курск</v>
      </c>
      <c r="C570">
        <v>857860</v>
      </c>
      <c r="D570" t="str">
        <f t="shared" si="228"/>
        <v>Опора</v>
      </c>
      <c r="E570" t="str">
        <f>"КИ 4594 (56)"</f>
        <v>КИ 4594 (56)</v>
      </c>
      <c r="F570" t="str">
        <f>""</f>
        <v/>
      </c>
      <c r="G570" t="str">
        <f t="shared" si="229"/>
        <v>_ТС (CAB_TS)</v>
      </c>
      <c r="H570" t="str">
        <f t="shared" si="230"/>
        <v>ТС</v>
      </c>
      <c r="I570" t="str">
        <f t="shared" si="231"/>
        <v>17.04.2013</v>
      </c>
      <c r="J570" t="str">
        <f>""</f>
        <v/>
      </c>
      <c r="K570" t="str">
        <f t="shared" si="232"/>
        <v>АКТ №4594</v>
      </c>
      <c r="L570" t="str">
        <f t="shared" si="233"/>
        <v>Комитет по управлению муниципальным имуществом города Курска</v>
      </c>
      <c r="M570" t="str">
        <f t="shared" si="234"/>
        <v>Да</v>
      </c>
      <c r="N570" t="str">
        <f t="shared" si="212"/>
        <v>Да</v>
      </c>
      <c r="O570" t="str">
        <f t="shared" si="235"/>
        <v>[46/1651] T 7.5 - Т 7.3</v>
      </c>
      <c r="P570">
        <v>36.211549040000001</v>
      </c>
      <c r="Q570">
        <v>51.754512380000001</v>
      </c>
      <c r="R570" t="str">
        <f>"20000004578616"</f>
        <v>20000004578616</v>
      </c>
    </row>
    <row r="571" spans="1:18" x14ac:dyDescent="0.25">
      <c r="A571">
        <v>907</v>
      </c>
      <c r="B571" t="str">
        <f t="shared" si="211"/>
        <v>Курск</v>
      </c>
      <c r="C571">
        <v>857859</v>
      </c>
      <c r="D571" t="str">
        <f t="shared" si="228"/>
        <v>Опора</v>
      </c>
      <c r="E571" t="str">
        <f>"КИ 4594 (55)"</f>
        <v>КИ 4594 (55)</v>
      </c>
      <c r="F571" t="str">
        <f>""</f>
        <v/>
      </c>
      <c r="G571" t="str">
        <f t="shared" si="229"/>
        <v>_ТС (CAB_TS)</v>
      </c>
      <c r="H571" t="str">
        <f t="shared" si="230"/>
        <v>ТС</v>
      </c>
      <c r="I571" t="str">
        <f t="shared" si="231"/>
        <v>17.04.2013</v>
      </c>
      <c r="J571" t="str">
        <f>""</f>
        <v/>
      </c>
      <c r="K571" t="str">
        <f t="shared" si="232"/>
        <v>АКТ №4594</v>
      </c>
      <c r="L571" t="str">
        <f t="shared" si="233"/>
        <v>Комитет по управлению муниципальным имуществом города Курска</v>
      </c>
      <c r="M571" t="str">
        <f t="shared" si="234"/>
        <v>Да</v>
      </c>
      <c r="N571" t="str">
        <f t="shared" si="212"/>
        <v>Да</v>
      </c>
      <c r="O571" t="str">
        <f t="shared" si="235"/>
        <v>[46/1651] T 7.5 - Т 7.3</v>
      </c>
      <c r="P571">
        <v>36.211221809999998</v>
      </c>
      <c r="Q571">
        <v>51.754741510000002</v>
      </c>
      <c r="R571" t="str">
        <f>"20000004578615"</f>
        <v>20000004578615</v>
      </c>
    </row>
    <row r="572" spans="1:18" x14ac:dyDescent="0.25">
      <c r="A572">
        <v>907</v>
      </c>
      <c r="B572" t="str">
        <f t="shared" si="211"/>
        <v>Курск</v>
      </c>
      <c r="C572">
        <v>857858</v>
      </c>
      <c r="D572" t="str">
        <f t="shared" si="228"/>
        <v>Опора</v>
      </c>
      <c r="E572" t="str">
        <f>"КИ 4594 (53)"</f>
        <v>КИ 4594 (53)</v>
      </c>
      <c r="F572" t="str">
        <f>""</f>
        <v/>
      </c>
      <c r="G572" t="str">
        <f t="shared" si="229"/>
        <v>_ТС (CAB_TS)</v>
      </c>
      <c r="H572" t="str">
        <f t="shared" si="230"/>
        <v>ТС</v>
      </c>
      <c r="I572" t="str">
        <f t="shared" si="231"/>
        <v>17.04.2013</v>
      </c>
      <c r="J572" t="str">
        <f>""</f>
        <v/>
      </c>
      <c r="K572" t="str">
        <f t="shared" si="232"/>
        <v>АКТ №4594</v>
      </c>
      <c r="L572" t="str">
        <f t="shared" si="233"/>
        <v>Комитет по управлению муниципальным имуществом города Курска</v>
      </c>
      <c r="M572" t="str">
        <f t="shared" si="234"/>
        <v>Да</v>
      </c>
      <c r="N572" t="str">
        <f t="shared" si="212"/>
        <v>Да</v>
      </c>
      <c r="O572" t="str">
        <f t="shared" si="235"/>
        <v>[46/1651] T 7.5 - Т 7.3</v>
      </c>
      <c r="P572">
        <v>36.210791319999998</v>
      </c>
      <c r="Q572">
        <v>51.755199760000004</v>
      </c>
      <c r="R572" t="str">
        <f>"20000004578614"</f>
        <v>20000004578614</v>
      </c>
    </row>
    <row r="573" spans="1:18" x14ac:dyDescent="0.25">
      <c r="A573">
        <v>907</v>
      </c>
      <c r="B573" t="str">
        <f t="shared" si="211"/>
        <v>Курск</v>
      </c>
      <c r="C573">
        <v>857856</v>
      </c>
      <c r="D573" t="str">
        <f t="shared" si="228"/>
        <v>Опора</v>
      </c>
      <c r="E573" t="str">
        <f>"КИ 4594 (51)"</f>
        <v>КИ 4594 (51)</v>
      </c>
      <c r="F573" t="str">
        <f>""</f>
        <v/>
      </c>
      <c r="G573" t="str">
        <f t="shared" si="229"/>
        <v>_ТС (CAB_TS)</v>
      </c>
      <c r="H573" t="str">
        <f t="shared" si="230"/>
        <v>ТС</v>
      </c>
      <c r="I573" t="str">
        <f t="shared" si="231"/>
        <v>17.04.2013</v>
      </c>
      <c r="J573" t="str">
        <f>""</f>
        <v/>
      </c>
      <c r="K573" t="str">
        <f t="shared" si="232"/>
        <v>АКТ №4594</v>
      </c>
      <c r="L573" t="str">
        <f t="shared" si="233"/>
        <v>Комитет по управлению муниципальным имуществом города Курска</v>
      </c>
      <c r="M573" t="str">
        <f t="shared" si="234"/>
        <v>Да</v>
      </c>
      <c r="N573" t="str">
        <f t="shared" si="212"/>
        <v>Да</v>
      </c>
      <c r="O573" t="str">
        <f t="shared" si="235"/>
        <v>[46/1651] T 7.5 - Т 7.3</v>
      </c>
      <c r="P573">
        <v>36.210234759999999</v>
      </c>
      <c r="Q573">
        <v>51.755495310000001</v>
      </c>
      <c r="R573" t="str">
        <f>"20000004578612"</f>
        <v>20000004578612</v>
      </c>
    </row>
    <row r="574" spans="1:18" x14ac:dyDescent="0.25">
      <c r="A574">
        <v>907</v>
      </c>
      <c r="B574" t="str">
        <f t="shared" si="211"/>
        <v>Курск</v>
      </c>
      <c r="C574">
        <v>857855</v>
      </c>
      <c r="D574" t="str">
        <f t="shared" si="228"/>
        <v>Опора</v>
      </c>
      <c r="E574" t="str">
        <f>"КИ 4594 (50)"</f>
        <v>КИ 4594 (50)</v>
      </c>
      <c r="F574" t="str">
        <f>""</f>
        <v/>
      </c>
      <c r="G574" t="str">
        <f t="shared" si="229"/>
        <v>_ТС (CAB_TS)</v>
      </c>
      <c r="H574" t="str">
        <f t="shared" si="230"/>
        <v>ТС</v>
      </c>
      <c r="I574" t="str">
        <f t="shared" si="231"/>
        <v>17.04.2013</v>
      </c>
      <c r="J574" t="str">
        <f>""</f>
        <v/>
      </c>
      <c r="K574" t="str">
        <f t="shared" si="232"/>
        <v>АКТ №4594</v>
      </c>
      <c r="L574" t="str">
        <f t="shared" si="233"/>
        <v>Комитет по управлению муниципальным имуществом города Курска</v>
      </c>
      <c r="M574" t="str">
        <f t="shared" si="234"/>
        <v>Да</v>
      </c>
      <c r="N574" t="str">
        <f t="shared" si="212"/>
        <v>Да</v>
      </c>
      <c r="O574" t="str">
        <f t="shared" si="235"/>
        <v>[46/1651] T 7.5 - Т 7.3</v>
      </c>
      <c r="P574">
        <v>36.210075170000003</v>
      </c>
      <c r="Q574">
        <v>51.755734390000001</v>
      </c>
      <c r="R574" t="str">
        <f>"20000004578611"</f>
        <v>20000004578611</v>
      </c>
    </row>
    <row r="575" spans="1:18" x14ac:dyDescent="0.25">
      <c r="A575">
        <v>907</v>
      </c>
      <c r="B575" t="str">
        <f t="shared" si="211"/>
        <v>Курск</v>
      </c>
      <c r="C575">
        <v>857854</v>
      </c>
      <c r="D575" t="str">
        <f t="shared" si="228"/>
        <v>Опора</v>
      </c>
      <c r="E575" t="str">
        <f>"КИ 4594 (49)"</f>
        <v>КИ 4594 (49)</v>
      </c>
      <c r="F575" t="str">
        <f>""</f>
        <v/>
      </c>
      <c r="G575" t="str">
        <f t="shared" si="229"/>
        <v>_ТС (CAB_TS)</v>
      </c>
      <c r="H575" t="str">
        <f t="shared" si="230"/>
        <v>ТС</v>
      </c>
      <c r="I575" t="str">
        <f t="shared" si="231"/>
        <v>17.04.2013</v>
      </c>
      <c r="J575" t="str">
        <f>""</f>
        <v/>
      </c>
      <c r="K575" t="str">
        <f t="shared" si="232"/>
        <v>АКТ №4594</v>
      </c>
      <c r="L575" t="str">
        <f t="shared" si="233"/>
        <v>Комитет по управлению муниципальным имуществом города Курска</v>
      </c>
      <c r="M575" t="str">
        <f t="shared" si="234"/>
        <v>Да</v>
      </c>
      <c r="N575" t="str">
        <f t="shared" si="212"/>
        <v>Да</v>
      </c>
      <c r="O575" t="str">
        <f t="shared" si="235"/>
        <v>[46/1651] T 7.5 - Т 7.3</v>
      </c>
      <c r="P575">
        <v>36.209828399999999</v>
      </c>
      <c r="Q575">
        <v>51.755914539999999</v>
      </c>
      <c r="R575" t="str">
        <f>"20000004578610"</f>
        <v>20000004578610</v>
      </c>
    </row>
    <row r="576" spans="1:18" x14ac:dyDescent="0.25">
      <c r="A576">
        <v>907</v>
      </c>
      <c r="B576" t="str">
        <f t="shared" si="211"/>
        <v>Курск</v>
      </c>
      <c r="C576">
        <v>857853</v>
      </c>
      <c r="D576" t="str">
        <f t="shared" si="228"/>
        <v>Опора</v>
      </c>
      <c r="E576" t="str">
        <f>"КИ 4594 (48)"</f>
        <v>КИ 4594 (48)</v>
      </c>
      <c r="F576" t="str">
        <f>""</f>
        <v/>
      </c>
      <c r="G576" t="str">
        <f t="shared" si="229"/>
        <v>_ТС (CAB_TS)</v>
      </c>
      <c r="H576" t="str">
        <f t="shared" si="230"/>
        <v>ТС</v>
      </c>
      <c r="I576" t="str">
        <f t="shared" si="231"/>
        <v>17.04.2013</v>
      </c>
      <c r="J576" t="str">
        <f>""</f>
        <v/>
      </c>
      <c r="K576" t="str">
        <f t="shared" si="232"/>
        <v>АКТ №4594</v>
      </c>
      <c r="L576" t="str">
        <f t="shared" si="233"/>
        <v>Комитет по управлению муниципальным имуществом города Курска</v>
      </c>
      <c r="M576" t="str">
        <f t="shared" si="234"/>
        <v>Да</v>
      </c>
      <c r="N576" t="str">
        <f t="shared" si="212"/>
        <v>Да</v>
      </c>
      <c r="O576" t="str">
        <f t="shared" si="235"/>
        <v>[46/1651] T 7.5 - Т 7.3</v>
      </c>
      <c r="P576">
        <v>36.20958701</v>
      </c>
      <c r="Q576">
        <v>51.75610133</v>
      </c>
      <c r="R576" t="str">
        <f>"20000004578609"</f>
        <v>20000004578609</v>
      </c>
    </row>
    <row r="577" spans="1:18" x14ac:dyDescent="0.25">
      <c r="A577">
        <v>907</v>
      </c>
      <c r="B577" t="str">
        <f t="shared" si="211"/>
        <v>Курск</v>
      </c>
      <c r="C577">
        <v>857852</v>
      </c>
      <c r="D577" t="str">
        <f t="shared" si="228"/>
        <v>Опора</v>
      </c>
      <c r="E577" t="str">
        <f>"КИ 4594 (47)"</f>
        <v>КИ 4594 (47)</v>
      </c>
      <c r="F577" t="str">
        <f>""</f>
        <v/>
      </c>
      <c r="G577" t="str">
        <f t="shared" si="229"/>
        <v>_ТС (CAB_TS)</v>
      </c>
      <c r="H577" t="str">
        <f t="shared" si="230"/>
        <v>ТС</v>
      </c>
      <c r="I577" t="str">
        <f t="shared" si="231"/>
        <v>17.04.2013</v>
      </c>
      <c r="J577" t="str">
        <f>""</f>
        <v/>
      </c>
      <c r="K577" t="str">
        <f t="shared" si="232"/>
        <v>АКТ №4594</v>
      </c>
      <c r="L577" t="str">
        <f t="shared" si="233"/>
        <v>Комитет по управлению муниципальным имуществом города Курска</v>
      </c>
      <c r="M577" t="str">
        <f t="shared" si="234"/>
        <v>Да</v>
      </c>
      <c r="N577" t="str">
        <f t="shared" si="212"/>
        <v>Да</v>
      </c>
      <c r="O577" t="str">
        <f t="shared" si="235"/>
        <v>[46/1651] T 7.5 - Т 7.3</v>
      </c>
      <c r="P577">
        <v>36.209097499999999</v>
      </c>
      <c r="Q577">
        <v>51.756278979999998</v>
      </c>
      <c r="R577" t="str">
        <f>"20000004578608"</f>
        <v>20000004578608</v>
      </c>
    </row>
    <row r="578" spans="1:18" x14ac:dyDescent="0.25">
      <c r="A578">
        <v>907</v>
      </c>
      <c r="B578" t="str">
        <f t="shared" ref="B578:B641" si="236">"Курск"</f>
        <v>Курск</v>
      </c>
      <c r="C578">
        <v>857851</v>
      </c>
      <c r="D578" t="str">
        <f t="shared" si="228"/>
        <v>Опора</v>
      </c>
      <c r="E578" t="str">
        <f>"КИ 4594 (46)"</f>
        <v>КИ 4594 (46)</v>
      </c>
      <c r="F578" t="str">
        <f>""</f>
        <v/>
      </c>
      <c r="G578" t="str">
        <f t="shared" si="229"/>
        <v>_ТС (CAB_TS)</v>
      </c>
      <c r="H578" t="str">
        <f t="shared" si="230"/>
        <v>ТС</v>
      </c>
      <c r="I578" t="str">
        <f t="shared" si="231"/>
        <v>17.04.2013</v>
      </c>
      <c r="J578" t="str">
        <f>""</f>
        <v/>
      </c>
      <c r="K578" t="str">
        <f t="shared" si="232"/>
        <v>АКТ №4594</v>
      </c>
      <c r="L578" t="str">
        <f t="shared" si="233"/>
        <v>Комитет по управлению муниципальным имуществом города Курска</v>
      </c>
      <c r="M578" t="str">
        <f t="shared" si="234"/>
        <v>Да</v>
      </c>
      <c r="N578" t="str">
        <f t="shared" si="212"/>
        <v>Да</v>
      </c>
      <c r="O578" t="str">
        <f t="shared" si="235"/>
        <v>[46/1651] T 7.5 - Т 7.3</v>
      </c>
      <c r="P578">
        <v>36.208614709999999</v>
      </c>
      <c r="Q578">
        <v>51.75641512</v>
      </c>
      <c r="R578" t="str">
        <f>"20000004578607"</f>
        <v>20000004578607</v>
      </c>
    </row>
    <row r="579" spans="1:18" x14ac:dyDescent="0.25">
      <c r="A579">
        <v>907</v>
      </c>
      <c r="B579" t="str">
        <f t="shared" si="236"/>
        <v>Курск</v>
      </c>
      <c r="C579">
        <v>857850</v>
      </c>
      <c r="D579" t="str">
        <f t="shared" si="228"/>
        <v>Опора</v>
      </c>
      <c r="E579" t="str">
        <f>"КИ 4594 (45)"</f>
        <v>КИ 4594 (45)</v>
      </c>
      <c r="F579" t="str">
        <f>""</f>
        <v/>
      </c>
      <c r="G579" t="str">
        <f t="shared" si="229"/>
        <v>_ТС (CAB_TS)</v>
      </c>
      <c r="H579" t="str">
        <f t="shared" si="230"/>
        <v>ТС</v>
      </c>
      <c r="I579" t="str">
        <f t="shared" si="231"/>
        <v>17.04.2013</v>
      </c>
      <c r="J579" t="str">
        <f>""</f>
        <v/>
      </c>
      <c r="K579" t="str">
        <f t="shared" si="232"/>
        <v>АКТ №4594</v>
      </c>
      <c r="L579" t="str">
        <f t="shared" si="233"/>
        <v>Комитет по управлению муниципальным имуществом города Курска</v>
      </c>
      <c r="M579" t="str">
        <f t="shared" si="234"/>
        <v>Да</v>
      </c>
      <c r="N579" t="str">
        <f t="shared" si="212"/>
        <v>Да</v>
      </c>
      <c r="O579" t="str">
        <f t="shared" si="235"/>
        <v>[46/1651] T 7.5 - Т 7.3</v>
      </c>
      <c r="P579">
        <v>36.208102410000002</v>
      </c>
      <c r="Q579">
        <v>51.75643505</v>
      </c>
      <c r="R579" t="str">
        <f>"20000004578606"</f>
        <v>20000004578606</v>
      </c>
    </row>
    <row r="580" spans="1:18" x14ac:dyDescent="0.25">
      <c r="A580">
        <v>907</v>
      </c>
      <c r="B580" t="str">
        <f t="shared" si="236"/>
        <v>Курск</v>
      </c>
      <c r="C580">
        <v>857848</v>
      </c>
      <c r="D580" t="str">
        <f t="shared" si="228"/>
        <v>Опора</v>
      </c>
      <c r="E580" t="str">
        <f>"КИ 4594 (42)"</f>
        <v>КИ 4594 (42)</v>
      </c>
      <c r="F580" t="str">
        <f>""</f>
        <v/>
      </c>
      <c r="G580" t="str">
        <f t="shared" si="229"/>
        <v>_ТС (CAB_TS)</v>
      </c>
      <c r="H580" t="str">
        <f t="shared" si="230"/>
        <v>ТС</v>
      </c>
      <c r="I580" t="str">
        <f t="shared" si="231"/>
        <v>17.04.2013</v>
      </c>
      <c r="J580" t="str">
        <f>""</f>
        <v/>
      </c>
      <c r="K580" t="str">
        <f t="shared" si="232"/>
        <v>АКТ №4594</v>
      </c>
      <c r="L580" t="str">
        <f t="shared" si="233"/>
        <v>Комитет по управлению муниципальным имуществом города Курска</v>
      </c>
      <c r="M580" t="str">
        <f t="shared" si="234"/>
        <v>Да</v>
      </c>
      <c r="N580" t="str">
        <f t="shared" si="212"/>
        <v>Да</v>
      </c>
      <c r="O580" t="str">
        <f t="shared" si="235"/>
        <v>[46/1651] T 7.5 - Т 7.3</v>
      </c>
      <c r="P580">
        <v>36.206820309999998</v>
      </c>
      <c r="Q580">
        <v>51.756174379999997</v>
      </c>
      <c r="R580" t="str">
        <f>"20000004578604"</f>
        <v>20000004578604</v>
      </c>
    </row>
    <row r="581" spans="1:18" x14ac:dyDescent="0.25">
      <c r="A581">
        <v>907</v>
      </c>
      <c r="B581" t="str">
        <f t="shared" si="236"/>
        <v>Курск</v>
      </c>
      <c r="C581">
        <v>857846</v>
      </c>
      <c r="D581" t="str">
        <f t="shared" si="228"/>
        <v>Опора</v>
      </c>
      <c r="E581" t="str">
        <f>"КИ 4594 (40)"</f>
        <v>КИ 4594 (40)</v>
      </c>
      <c r="F581" t="str">
        <f>""</f>
        <v/>
      </c>
      <c r="G581" t="str">
        <f t="shared" si="229"/>
        <v>_ТС (CAB_TS)</v>
      </c>
      <c r="H581" t="str">
        <f t="shared" si="230"/>
        <v>ТС</v>
      </c>
      <c r="I581" t="str">
        <f t="shared" si="231"/>
        <v>17.04.2013</v>
      </c>
      <c r="J581" t="str">
        <f>""</f>
        <v/>
      </c>
      <c r="K581" t="str">
        <f t="shared" si="232"/>
        <v>АКТ №4594</v>
      </c>
      <c r="L581" t="str">
        <f t="shared" si="233"/>
        <v>Комитет по управлению муниципальным имуществом города Курска</v>
      </c>
      <c r="M581" t="str">
        <f t="shared" si="234"/>
        <v>Да</v>
      </c>
      <c r="N581" t="str">
        <f t="shared" si="212"/>
        <v>Да</v>
      </c>
      <c r="O581" t="str">
        <f t="shared" si="235"/>
        <v>[46/1651] T 7.5 - Т 7.3</v>
      </c>
      <c r="P581">
        <v>36.206055880000001</v>
      </c>
      <c r="Q581">
        <v>51.755955219999997</v>
      </c>
      <c r="R581" t="str">
        <f>"20000004578602"</f>
        <v>20000004578602</v>
      </c>
    </row>
    <row r="582" spans="1:18" x14ac:dyDescent="0.25">
      <c r="A582">
        <v>907</v>
      </c>
      <c r="B582" t="str">
        <f t="shared" si="236"/>
        <v>Курск</v>
      </c>
      <c r="C582">
        <v>857845</v>
      </c>
      <c r="D582" t="str">
        <f t="shared" si="228"/>
        <v>Опора</v>
      </c>
      <c r="E582" t="str">
        <f>"КИ 4594 (39)"</f>
        <v>КИ 4594 (39)</v>
      </c>
      <c r="F582" t="str">
        <f>""</f>
        <v/>
      </c>
      <c r="G582" t="str">
        <f t="shared" si="229"/>
        <v>_ТС (CAB_TS)</v>
      </c>
      <c r="H582" t="str">
        <f t="shared" si="230"/>
        <v>ТС</v>
      </c>
      <c r="I582" t="str">
        <f t="shared" si="231"/>
        <v>17.04.2013</v>
      </c>
      <c r="J582" t="str">
        <f>""</f>
        <v/>
      </c>
      <c r="K582" t="str">
        <f t="shared" si="232"/>
        <v>АКТ №4594</v>
      </c>
      <c r="L582" t="str">
        <f t="shared" si="233"/>
        <v>Комитет по управлению муниципальным имуществом города Курска</v>
      </c>
      <c r="M582" t="str">
        <f t="shared" si="234"/>
        <v>Да</v>
      </c>
      <c r="N582" t="str">
        <f t="shared" si="212"/>
        <v>Да</v>
      </c>
      <c r="O582" t="str">
        <f t="shared" si="235"/>
        <v>[46/1651] T 7.5 - Т 7.3</v>
      </c>
      <c r="P582">
        <v>36.205680370000003</v>
      </c>
      <c r="Q582">
        <v>51.755842319999999</v>
      </c>
      <c r="R582" t="str">
        <f>"20000004578601"</f>
        <v>20000004578601</v>
      </c>
    </row>
    <row r="583" spans="1:18" x14ac:dyDescent="0.25">
      <c r="A583">
        <v>907</v>
      </c>
      <c r="B583" t="str">
        <f t="shared" si="236"/>
        <v>Курск</v>
      </c>
      <c r="C583">
        <v>857844</v>
      </c>
      <c r="D583" t="str">
        <f t="shared" si="228"/>
        <v>Опора</v>
      </c>
      <c r="E583" t="str">
        <f>"КИ 4594 (43)"</f>
        <v>КИ 4594 (43)</v>
      </c>
      <c r="F583" t="str">
        <f>""</f>
        <v/>
      </c>
      <c r="G583" t="str">
        <f t="shared" si="229"/>
        <v>_ТС (CAB_TS)</v>
      </c>
      <c r="H583" t="str">
        <f t="shared" si="230"/>
        <v>ТС</v>
      </c>
      <c r="I583" t="str">
        <f t="shared" si="231"/>
        <v>17.04.2013</v>
      </c>
      <c r="J583" t="str">
        <f>""</f>
        <v/>
      </c>
      <c r="K583" t="str">
        <f t="shared" si="232"/>
        <v>АКТ №4594</v>
      </c>
      <c r="L583" t="str">
        <f t="shared" si="233"/>
        <v>Комитет по управлению муниципальным имуществом города Курска</v>
      </c>
      <c r="M583" t="str">
        <f t="shared" si="234"/>
        <v>Да</v>
      </c>
      <c r="N583" t="str">
        <f t="shared" si="212"/>
        <v>Да</v>
      </c>
      <c r="O583" t="str">
        <f t="shared" si="235"/>
        <v>[46/1651] T 7.5 - Т 7.3</v>
      </c>
      <c r="P583">
        <v>36.20721459</v>
      </c>
      <c r="Q583">
        <v>51.756288939999997</v>
      </c>
      <c r="R583" t="str">
        <f>"20000004578600"</f>
        <v>20000004578600</v>
      </c>
    </row>
    <row r="584" spans="1:18" x14ac:dyDescent="0.25">
      <c r="A584">
        <v>907</v>
      </c>
      <c r="B584" t="str">
        <f t="shared" si="236"/>
        <v>Курск</v>
      </c>
      <c r="C584">
        <v>857841</v>
      </c>
      <c r="D584" t="str">
        <f t="shared" si="228"/>
        <v>Опора</v>
      </c>
      <c r="E584" t="str">
        <f>"КИ 4594 (36)"</f>
        <v>КИ 4594 (36)</v>
      </c>
      <c r="F584" t="str">
        <f>""</f>
        <v/>
      </c>
      <c r="G584" t="str">
        <f t="shared" si="229"/>
        <v>_ТС (CAB_TS)</v>
      </c>
      <c r="H584" t="str">
        <f t="shared" si="230"/>
        <v>ТС</v>
      </c>
      <c r="I584" t="str">
        <f t="shared" si="231"/>
        <v>17.04.2013</v>
      </c>
      <c r="J584" t="str">
        <f>""</f>
        <v/>
      </c>
      <c r="K584" t="str">
        <f t="shared" si="232"/>
        <v>АКТ №4594</v>
      </c>
      <c r="L584" t="str">
        <f t="shared" si="233"/>
        <v>Комитет по управлению муниципальным имуществом города Курска</v>
      </c>
      <c r="M584" t="str">
        <f t="shared" si="234"/>
        <v>Да</v>
      </c>
      <c r="N584" t="str">
        <f t="shared" si="212"/>
        <v>Да</v>
      </c>
      <c r="O584" t="str">
        <f t="shared" si="235"/>
        <v>[46/1651] T 7.5 - Т 7.3</v>
      </c>
      <c r="P584">
        <v>36.204478739999999</v>
      </c>
      <c r="Q584">
        <v>51.755487000000002</v>
      </c>
      <c r="R584" t="str">
        <f>"20000004578597"</f>
        <v>20000004578597</v>
      </c>
    </row>
    <row r="585" spans="1:18" x14ac:dyDescent="0.25">
      <c r="A585">
        <v>907</v>
      </c>
      <c r="B585" t="str">
        <f t="shared" si="236"/>
        <v>Курск</v>
      </c>
      <c r="C585">
        <v>857840</v>
      </c>
      <c r="D585" t="str">
        <f t="shared" si="228"/>
        <v>Опора</v>
      </c>
      <c r="E585" t="str">
        <f>"КИ 4594 (35)"</f>
        <v>КИ 4594 (35)</v>
      </c>
      <c r="F585" t="str">
        <f>""</f>
        <v/>
      </c>
      <c r="G585" t="str">
        <f t="shared" si="229"/>
        <v>_ТС (CAB_TS)</v>
      </c>
      <c r="H585" t="str">
        <f t="shared" si="230"/>
        <v>ТС</v>
      </c>
      <c r="I585" t="str">
        <f t="shared" si="231"/>
        <v>17.04.2013</v>
      </c>
      <c r="J585" t="str">
        <f>""</f>
        <v/>
      </c>
      <c r="K585" t="str">
        <f t="shared" si="232"/>
        <v>АКТ №4594</v>
      </c>
      <c r="L585" t="str">
        <f t="shared" si="233"/>
        <v>Комитет по управлению муниципальным имуществом города Курска</v>
      </c>
      <c r="M585" t="str">
        <f t="shared" si="234"/>
        <v>Да</v>
      </c>
      <c r="N585" t="str">
        <f t="shared" si="212"/>
        <v>Да</v>
      </c>
      <c r="O585" t="str">
        <f t="shared" si="235"/>
        <v>[46/1651] T 7.5 - Т 7.3</v>
      </c>
      <c r="P585">
        <v>36.204103230000001</v>
      </c>
      <c r="Q585">
        <v>51.75532595</v>
      </c>
      <c r="R585" t="str">
        <f>"20000004578596"</f>
        <v>20000004578596</v>
      </c>
    </row>
    <row r="586" spans="1:18" x14ac:dyDescent="0.25">
      <c r="A586">
        <v>907</v>
      </c>
      <c r="B586" t="str">
        <f t="shared" si="236"/>
        <v>Курск</v>
      </c>
      <c r="C586">
        <v>857839</v>
      </c>
      <c r="D586" t="str">
        <f t="shared" si="228"/>
        <v>Опора</v>
      </c>
      <c r="E586" t="str">
        <f>"КИ 4594 (34)"</f>
        <v>КИ 4594 (34)</v>
      </c>
      <c r="F586" t="str">
        <f>""</f>
        <v/>
      </c>
      <c r="G586" t="str">
        <f t="shared" si="229"/>
        <v>_ТС (CAB_TS)</v>
      </c>
      <c r="H586" t="str">
        <f t="shared" si="230"/>
        <v>ТС</v>
      </c>
      <c r="I586" t="str">
        <f t="shared" si="231"/>
        <v>17.04.2013</v>
      </c>
      <c r="J586" t="str">
        <f>""</f>
        <v/>
      </c>
      <c r="K586" t="str">
        <f t="shared" si="232"/>
        <v>АКТ №4594</v>
      </c>
      <c r="L586" t="str">
        <f t="shared" si="233"/>
        <v>Комитет по управлению муниципальным имуществом города Курска</v>
      </c>
      <c r="M586" t="str">
        <f t="shared" si="234"/>
        <v>Да</v>
      </c>
      <c r="N586" t="str">
        <f t="shared" ref="N586:N604" si="237">"Да"</f>
        <v>Да</v>
      </c>
      <c r="O586" t="str">
        <f t="shared" si="235"/>
        <v>[46/1651] T 7.5 - Т 7.3</v>
      </c>
      <c r="P586">
        <v>36.203700900000001</v>
      </c>
      <c r="Q586">
        <v>51.755163240000002</v>
      </c>
      <c r="R586" t="str">
        <f>"20000004578595"</f>
        <v>20000004578595</v>
      </c>
    </row>
    <row r="587" spans="1:18" x14ac:dyDescent="0.25">
      <c r="A587">
        <v>907</v>
      </c>
      <c r="B587" t="str">
        <f t="shared" si="236"/>
        <v>Курск</v>
      </c>
      <c r="C587">
        <v>857838</v>
      </c>
      <c r="D587" t="str">
        <f t="shared" si="228"/>
        <v>Опора</v>
      </c>
      <c r="E587" t="str">
        <f>"КИ 4594 (33)"</f>
        <v>КИ 4594 (33)</v>
      </c>
      <c r="F587" t="str">
        <f>""</f>
        <v/>
      </c>
      <c r="G587" t="str">
        <f t="shared" si="229"/>
        <v>_ТС (CAB_TS)</v>
      </c>
      <c r="H587" t="str">
        <f t="shared" si="230"/>
        <v>ТС</v>
      </c>
      <c r="I587" t="str">
        <f t="shared" si="231"/>
        <v>17.04.2013</v>
      </c>
      <c r="J587" t="str">
        <f>""</f>
        <v/>
      </c>
      <c r="K587" t="str">
        <f t="shared" si="232"/>
        <v>АКТ №4594</v>
      </c>
      <c r="L587" t="str">
        <f t="shared" si="233"/>
        <v>Комитет по управлению муниципальным имуществом города Курска</v>
      </c>
      <c r="M587" t="str">
        <f t="shared" si="234"/>
        <v>Да</v>
      </c>
      <c r="N587" t="str">
        <f t="shared" si="237"/>
        <v>Да</v>
      </c>
      <c r="O587" t="str">
        <f t="shared" si="235"/>
        <v>[46/1651] T 7.5 - Т 7.3</v>
      </c>
      <c r="P587">
        <v>36.203448770000001</v>
      </c>
      <c r="Q587">
        <v>51.754927469999998</v>
      </c>
      <c r="R587" t="str">
        <f>"20000004578594"</f>
        <v>20000004578594</v>
      </c>
    </row>
    <row r="588" spans="1:18" x14ac:dyDescent="0.25">
      <c r="A588">
        <v>907</v>
      </c>
      <c r="B588" t="str">
        <f t="shared" si="236"/>
        <v>Курск</v>
      </c>
      <c r="C588">
        <v>857837</v>
      </c>
      <c r="D588" t="str">
        <f t="shared" si="228"/>
        <v>Опора</v>
      </c>
      <c r="E588" t="str">
        <f>"КИ 4594 (32)"</f>
        <v>КИ 4594 (32)</v>
      </c>
      <c r="F588" t="str">
        <f>""</f>
        <v/>
      </c>
      <c r="G588" t="str">
        <f t="shared" si="229"/>
        <v>_ТС (CAB_TS)</v>
      </c>
      <c r="H588" t="str">
        <f t="shared" si="230"/>
        <v>ТС</v>
      </c>
      <c r="I588" t="str">
        <f t="shared" si="231"/>
        <v>17.04.2013</v>
      </c>
      <c r="J588" t="str">
        <f>""</f>
        <v/>
      </c>
      <c r="K588" t="str">
        <f t="shared" si="232"/>
        <v>АКТ №4594</v>
      </c>
      <c r="L588" t="str">
        <f t="shared" si="233"/>
        <v>Комитет по управлению муниципальным имуществом города Курска</v>
      </c>
      <c r="M588" t="str">
        <f t="shared" si="234"/>
        <v>Да</v>
      </c>
      <c r="N588" t="str">
        <f t="shared" si="237"/>
        <v>Да</v>
      </c>
      <c r="O588" t="str">
        <f t="shared" si="235"/>
        <v>[46/1651] T 7.5 - Т 7.3</v>
      </c>
      <c r="P588">
        <v>36.203244920000003</v>
      </c>
      <c r="Q588">
        <v>51.754711620000002</v>
      </c>
      <c r="R588" t="str">
        <f>"20000004578593"</f>
        <v>20000004578593</v>
      </c>
    </row>
    <row r="589" spans="1:18" x14ac:dyDescent="0.25">
      <c r="A589">
        <v>907</v>
      </c>
      <c r="B589" t="str">
        <f t="shared" si="236"/>
        <v>Курск</v>
      </c>
      <c r="C589">
        <v>857836</v>
      </c>
      <c r="D589" t="str">
        <f t="shared" si="228"/>
        <v>Опора</v>
      </c>
      <c r="E589" t="str">
        <f>"КИ 4594 (31)"</f>
        <v>КИ 4594 (31)</v>
      </c>
      <c r="F589" t="str">
        <f>""</f>
        <v/>
      </c>
      <c r="G589" t="str">
        <f t="shared" si="229"/>
        <v>_ТС (CAB_TS)</v>
      </c>
      <c r="H589" t="str">
        <f t="shared" si="230"/>
        <v>ТС</v>
      </c>
      <c r="I589" t="str">
        <f t="shared" si="231"/>
        <v>17.04.2013</v>
      </c>
      <c r="J589" t="str">
        <f>""</f>
        <v/>
      </c>
      <c r="K589" t="str">
        <f t="shared" si="232"/>
        <v>АКТ №4594</v>
      </c>
      <c r="L589" t="str">
        <f t="shared" si="233"/>
        <v>Комитет по управлению муниципальным имуществом города Курска</v>
      </c>
      <c r="M589" t="str">
        <f t="shared" si="234"/>
        <v>Да</v>
      </c>
      <c r="N589" t="str">
        <f t="shared" si="237"/>
        <v>Да</v>
      </c>
      <c r="O589" t="str">
        <f t="shared" si="235"/>
        <v>[46/1651] T 7.5 - Т 7.3</v>
      </c>
      <c r="P589">
        <v>36.202944520000003</v>
      </c>
      <c r="Q589">
        <v>51.754416069999998</v>
      </c>
      <c r="R589" t="str">
        <f>"20000004578592"</f>
        <v>20000004578592</v>
      </c>
    </row>
    <row r="590" spans="1:18" x14ac:dyDescent="0.25">
      <c r="A590">
        <v>907</v>
      </c>
      <c r="B590" t="str">
        <f t="shared" si="236"/>
        <v>Курск</v>
      </c>
      <c r="C590">
        <v>857835</v>
      </c>
      <c r="D590" t="str">
        <f t="shared" si="228"/>
        <v>Опора</v>
      </c>
      <c r="E590" t="str">
        <f>"КИ 4594 (30)"</f>
        <v>КИ 4594 (30)</v>
      </c>
      <c r="F590" t="str">
        <f>""</f>
        <v/>
      </c>
      <c r="G590" t="str">
        <f t="shared" si="229"/>
        <v>_ТС (CAB_TS)</v>
      </c>
      <c r="H590" t="str">
        <f t="shared" si="230"/>
        <v>ТС</v>
      </c>
      <c r="I590" t="str">
        <f t="shared" si="231"/>
        <v>17.04.2013</v>
      </c>
      <c r="J590" t="str">
        <f>""</f>
        <v/>
      </c>
      <c r="K590" t="str">
        <f t="shared" si="232"/>
        <v>АКТ №4594</v>
      </c>
      <c r="L590" t="str">
        <f t="shared" si="233"/>
        <v>Комитет по управлению муниципальным имуществом города Курска</v>
      </c>
      <c r="M590" t="str">
        <f t="shared" si="234"/>
        <v>Да</v>
      </c>
      <c r="N590" t="str">
        <f t="shared" si="237"/>
        <v>Да</v>
      </c>
      <c r="O590" t="str">
        <f t="shared" si="235"/>
        <v>[46/1651] T 7.5 - Т 7.3</v>
      </c>
      <c r="P590">
        <v>36.202703120000002</v>
      </c>
      <c r="Q590">
        <v>51.754170340000002</v>
      </c>
      <c r="R590" t="str">
        <f>"20000004578591"</f>
        <v>20000004578591</v>
      </c>
    </row>
    <row r="591" spans="1:18" x14ac:dyDescent="0.25">
      <c r="A591">
        <v>907</v>
      </c>
      <c r="B591" t="str">
        <f t="shared" si="236"/>
        <v>Курск</v>
      </c>
      <c r="C591">
        <v>857834</v>
      </c>
      <c r="D591" t="str">
        <f t="shared" si="228"/>
        <v>Опора</v>
      </c>
      <c r="E591" t="str">
        <f>"КИ 4594 (29)"</f>
        <v>КИ 4594 (29)</v>
      </c>
      <c r="F591" t="str">
        <f>""</f>
        <v/>
      </c>
      <c r="G591" t="str">
        <f t="shared" si="229"/>
        <v>_ТС (CAB_TS)</v>
      </c>
      <c r="H591" t="str">
        <f t="shared" si="230"/>
        <v>ТС</v>
      </c>
      <c r="I591" t="str">
        <f t="shared" si="231"/>
        <v>17.04.2013</v>
      </c>
      <c r="J591" t="str">
        <f>""</f>
        <v/>
      </c>
      <c r="K591" t="str">
        <f t="shared" si="232"/>
        <v>АКТ №4594</v>
      </c>
      <c r="L591" t="str">
        <f t="shared" si="233"/>
        <v>Комитет по управлению муниципальным имуществом города Курска</v>
      </c>
      <c r="M591" t="str">
        <f t="shared" si="234"/>
        <v>Да</v>
      </c>
      <c r="N591" t="str">
        <f t="shared" si="237"/>
        <v>Да</v>
      </c>
      <c r="O591" t="str">
        <f t="shared" si="235"/>
        <v>[46/1651] T 7.5 - Т 7.3</v>
      </c>
      <c r="P591">
        <v>36.202450990000003</v>
      </c>
      <c r="Q591">
        <v>51.753917960000003</v>
      </c>
      <c r="R591" t="str">
        <f>"20000004578590"</f>
        <v>20000004578590</v>
      </c>
    </row>
    <row r="592" spans="1:18" x14ac:dyDescent="0.25">
      <c r="A592">
        <v>907</v>
      </c>
      <c r="B592" t="str">
        <f t="shared" si="236"/>
        <v>Курск</v>
      </c>
      <c r="C592">
        <v>857833</v>
      </c>
      <c r="D592" t="str">
        <f t="shared" si="228"/>
        <v>Опора</v>
      </c>
      <c r="E592" t="str">
        <f>"КИ 4594 (27)"</f>
        <v>КИ 4594 (27)</v>
      </c>
      <c r="F592" t="str">
        <f>""</f>
        <v/>
      </c>
      <c r="G592" t="str">
        <f t="shared" si="229"/>
        <v>_ТС (CAB_TS)</v>
      </c>
      <c r="H592" t="str">
        <f t="shared" si="230"/>
        <v>ТС</v>
      </c>
      <c r="I592" t="str">
        <f t="shared" si="231"/>
        <v>17.04.2013</v>
      </c>
      <c r="J592" t="str">
        <f>""</f>
        <v/>
      </c>
      <c r="K592" t="str">
        <f t="shared" si="232"/>
        <v>АКТ №4594</v>
      </c>
      <c r="L592" t="str">
        <f t="shared" si="233"/>
        <v>Комитет по управлению муниципальным имуществом города Курска</v>
      </c>
      <c r="M592" t="str">
        <f t="shared" si="234"/>
        <v>Да</v>
      </c>
      <c r="N592" t="str">
        <f t="shared" si="237"/>
        <v>Да</v>
      </c>
      <c r="O592" t="str">
        <f t="shared" si="235"/>
        <v>[46/1651] T 7.5 - Т 7.3</v>
      </c>
      <c r="P592">
        <v>36.201914549999998</v>
      </c>
      <c r="Q592">
        <v>51.753406550000001</v>
      </c>
      <c r="R592" t="str">
        <f>"20000004578589"</f>
        <v>20000004578589</v>
      </c>
    </row>
    <row r="593" spans="1:18" x14ac:dyDescent="0.25">
      <c r="A593">
        <v>907</v>
      </c>
      <c r="B593" t="str">
        <f t="shared" si="236"/>
        <v>Курск</v>
      </c>
      <c r="C593">
        <v>857832</v>
      </c>
      <c r="D593" t="str">
        <f t="shared" si="228"/>
        <v>Опора</v>
      </c>
      <c r="E593" t="str">
        <f>"КИ 4594 (28)"</f>
        <v>КИ 4594 (28)</v>
      </c>
      <c r="F593" t="str">
        <f>""</f>
        <v/>
      </c>
      <c r="G593" t="str">
        <f t="shared" si="229"/>
        <v>_ТС (CAB_TS)</v>
      </c>
      <c r="H593" t="str">
        <f t="shared" si="230"/>
        <v>ТС</v>
      </c>
      <c r="I593" t="str">
        <f t="shared" si="231"/>
        <v>17.04.2013</v>
      </c>
      <c r="J593" t="str">
        <f>""</f>
        <v/>
      </c>
      <c r="K593" t="str">
        <f t="shared" si="232"/>
        <v>АКТ №4594</v>
      </c>
      <c r="L593" t="str">
        <f t="shared" si="233"/>
        <v>Комитет по управлению муниципальным имуществом города Курска</v>
      </c>
      <c r="M593" t="str">
        <f t="shared" si="234"/>
        <v>Да</v>
      </c>
      <c r="N593" t="str">
        <f t="shared" si="237"/>
        <v>Да</v>
      </c>
      <c r="O593" t="str">
        <f t="shared" si="235"/>
        <v>[46/1651] T 7.5 - Т 7.3</v>
      </c>
      <c r="P593">
        <v>36.202172040000001</v>
      </c>
      <c r="Q593">
        <v>51.753655620000004</v>
      </c>
      <c r="R593" t="str">
        <f>"20000004578588"</f>
        <v>20000004578588</v>
      </c>
    </row>
    <row r="594" spans="1:18" x14ac:dyDescent="0.25">
      <c r="A594">
        <v>907</v>
      </c>
      <c r="B594" t="str">
        <f t="shared" si="236"/>
        <v>Курск</v>
      </c>
      <c r="C594">
        <v>857831</v>
      </c>
      <c r="D594" t="str">
        <f t="shared" si="228"/>
        <v>Опора</v>
      </c>
      <c r="E594" t="str">
        <f>"КИ 4594 (26)"</f>
        <v>КИ 4594 (26)</v>
      </c>
      <c r="F594" t="str">
        <f>""</f>
        <v/>
      </c>
      <c r="G594" t="str">
        <f t="shared" si="229"/>
        <v>_ТС (CAB_TS)</v>
      </c>
      <c r="H594" t="str">
        <f t="shared" si="230"/>
        <v>ТС</v>
      </c>
      <c r="I594" t="str">
        <f t="shared" si="231"/>
        <v>17.04.2013</v>
      </c>
      <c r="J594" t="str">
        <f>""</f>
        <v/>
      </c>
      <c r="K594" t="str">
        <f t="shared" si="232"/>
        <v>АКТ №4594</v>
      </c>
      <c r="L594" t="str">
        <f t="shared" si="233"/>
        <v>Комитет по управлению муниципальным имуществом города Курска</v>
      </c>
      <c r="M594" t="str">
        <f t="shared" si="234"/>
        <v>Да</v>
      </c>
      <c r="N594" t="str">
        <f t="shared" si="237"/>
        <v>Да</v>
      </c>
      <c r="O594" t="str">
        <f t="shared" si="235"/>
        <v>[46/1651] T 7.5 - Т 7.3</v>
      </c>
      <c r="P594">
        <v>36.201673149999998</v>
      </c>
      <c r="Q594">
        <v>51.753174100000003</v>
      </c>
      <c r="R594" t="str">
        <f>"20000004578587"</f>
        <v>20000004578587</v>
      </c>
    </row>
    <row r="595" spans="1:18" x14ac:dyDescent="0.25">
      <c r="A595">
        <v>907</v>
      </c>
      <c r="B595" t="str">
        <f t="shared" si="236"/>
        <v>Курск</v>
      </c>
      <c r="C595">
        <v>857830</v>
      </c>
      <c r="D595" t="str">
        <f t="shared" si="228"/>
        <v>Опора</v>
      </c>
      <c r="E595" t="str">
        <f>"КИ 4594 (25)"</f>
        <v>КИ 4594 (25)</v>
      </c>
      <c r="F595" t="str">
        <f>""</f>
        <v/>
      </c>
      <c r="G595" t="str">
        <f t="shared" si="229"/>
        <v>_ТС (CAB_TS)</v>
      </c>
      <c r="H595" t="str">
        <f t="shared" si="230"/>
        <v>ТС</v>
      </c>
      <c r="I595" t="str">
        <f t="shared" si="231"/>
        <v>17.04.2013</v>
      </c>
      <c r="J595" t="str">
        <f>""</f>
        <v/>
      </c>
      <c r="K595" t="str">
        <f t="shared" si="232"/>
        <v>АКТ №4594</v>
      </c>
      <c r="L595" t="str">
        <f t="shared" si="233"/>
        <v>Комитет по управлению муниципальным имуществом города Курска</v>
      </c>
      <c r="M595" t="str">
        <f t="shared" si="234"/>
        <v>Да</v>
      </c>
      <c r="N595" t="str">
        <f t="shared" si="237"/>
        <v>Да</v>
      </c>
      <c r="O595" t="str">
        <f t="shared" si="235"/>
        <v>[46/1651] T 7.5 - Т 7.3</v>
      </c>
      <c r="P595">
        <v>36.20137811</v>
      </c>
      <c r="Q595">
        <v>51.752918389999998</v>
      </c>
      <c r="R595" t="str">
        <f>"20000004578586"</f>
        <v>20000004578586</v>
      </c>
    </row>
    <row r="596" spans="1:18" x14ac:dyDescent="0.25">
      <c r="A596">
        <v>907</v>
      </c>
      <c r="B596" t="str">
        <f t="shared" si="236"/>
        <v>Курск</v>
      </c>
      <c r="C596">
        <v>857829</v>
      </c>
      <c r="D596" t="str">
        <f t="shared" si="228"/>
        <v>Опора</v>
      </c>
      <c r="E596" t="str">
        <f>"КИ 4594 (24)"</f>
        <v>КИ 4594 (24)</v>
      </c>
      <c r="F596" t="str">
        <f>""</f>
        <v/>
      </c>
      <c r="G596" t="str">
        <f t="shared" si="229"/>
        <v>_ТС (CAB_TS)</v>
      </c>
      <c r="H596" t="str">
        <f t="shared" si="230"/>
        <v>ТС</v>
      </c>
      <c r="I596" t="str">
        <f t="shared" si="231"/>
        <v>17.04.2013</v>
      </c>
      <c r="J596" t="str">
        <f>""</f>
        <v/>
      </c>
      <c r="K596" t="str">
        <f t="shared" si="232"/>
        <v>АКТ №4594</v>
      </c>
      <c r="L596" t="str">
        <f t="shared" si="233"/>
        <v>Комитет по управлению муниципальным имуществом города Курска</v>
      </c>
      <c r="M596" t="str">
        <f t="shared" si="234"/>
        <v>Да</v>
      </c>
      <c r="N596" t="str">
        <f t="shared" si="237"/>
        <v>Да</v>
      </c>
      <c r="O596" t="str">
        <f t="shared" si="235"/>
        <v>[46/1651] T 7.5 - Т 7.3</v>
      </c>
      <c r="P596">
        <v>36.20114744</v>
      </c>
      <c r="Q596">
        <v>51.752692570000001</v>
      </c>
      <c r="R596" t="str">
        <f>"20000004578585"</f>
        <v>20000004578585</v>
      </c>
    </row>
    <row r="597" spans="1:18" x14ac:dyDescent="0.25">
      <c r="A597">
        <v>907</v>
      </c>
      <c r="B597" t="str">
        <f t="shared" si="236"/>
        <v>Курск</v>
      </c>
      <c r="C597">
        <v>857828</v>
      </c>
      <c r="D597" t="str">
        <f t="shared" si="228"/>
        <v>Опора</v>
      </c>
      <c r="E597" t="str">
        <f>"КИ 4594 (23)"</f>
        <v>КИ 4594 (23)</v>
      </c>
      <c r="F597" t="str">
        <f>""</f>
        <v/>
      </c>
      <c r="G597" t="str">
        <f t="shared" si="229"/>
        <v>_ТС (CAB_TS)</v>
      </c>
      <c r="H597" t="str">
        <f t="shared" si="230"/>
        <v>ТС</v>
      </c>
      <c r="I597" t="str">
        <f t="shared" si="231"/>
        <v>17.04.2013</v>
      </c>
      <c r="J597" t="str">
        <f>""</f>
        <v/>
      </c>
      <c r="K597" t="str">
        <f t="shared" si="232"/>
        <v>АКТ №4594</v>
      </c>
      <c r="L597" t="str">
        <f t="shared" si="233"/>
        <v>Комитет по управлению муниципальным имуществом города Курска</v>
      </c>
      <c r="M597" t="str">
        <f t="shared" si="234"/>
        <v>Да</v>
      </c>
      <c r="N597" t="str">
        <f t="shared" si="237"/>
        <v>Да</v>
      </c>
      <c r="O597" t="str">
        <f t="shared" si="235"/>
        <v>[46/1651] T 7.5 - Т 7.3</v>
      </c>
      <c r="P597">
        <v>36.20089531</v>
      </c>
      <c r="Q597">
        <v>51.752509920000001</v>
      </c>
      <c r="R597" t="str">
        <f>"20000004578584"</f>
        <v>20000004578584</v>
      </c>
    </row>
    <row r="598" spans="1:18" x14ac:dyDescent="0.25">
      <c r="A598">
        <v>907</v>
      </c>
      <c r="B598" t="str">
        <f t="shared" si="236"/>
        <v>Курск</v>
      </c>
      <c r="C598">
        <v>857826</v>
      </c>
      <c r="D598" t="str">
        <f t="shared" si="228"/>
        <v>Опора</v>
      </c>
      <c r="E598" t="str">
        <f>"КИ 4594 (21)"</f>
        <v>КИ 4594 (21)</v>
      </c>
      <c r="F598" t="str">
        <f>""</f>
        <v/>
      </c>
      <c r="G598" t="str">
        <f t="shared" si="229"/>
        <v>_ТС (CAB_TS)</v>
      </c>
      <c r="H598" t="str">
        <f t="shared" si="230"/>
        <v>ТС</v>
      </c>
      <c r="I598" t="str">
        <f t="shared" si="231"/>
        <v>17.04.2013</v>
      </c>
      <c r="J598" t="str">
        <f>""</f>
        <v/>
      </c>
      <c r="K598" t="str">
        <f t="shared" si="232"/>
        <v>АКТ №4594</v>
      </c>
      <c r="L598" t="str">
        <f>"МУП ""Курскэлектротранс"""</f>
        <v>МУП "Курскэлектротранс"</v>
      </c>
      <c r="M598" t="str">
        <f t="shared" si="234"/>
        <v>Да</v>
      </c>
      <c r="N598" t="str">
        <f t="shared" si="237"/>
        <v>Да</v>
      </c>
      <c r="O598" t="str">
        <f t="shared" si="235"/>
        <v>[46/1651] T 7.5 - Т 7.3</v>
      </c>
      <c r="P598">
        <v>36.200455429999998</v>
      </c>
      <c r="Q598">
        <v>51.752074880000002</v>
      </c>
      <c r="R598" t="str">
        <f>"20000004578582"</f>
        <v>20000004578582</v>
      </c>
    </row>
    <row r="599" spans="1:18" x14ac:dyDescent="0.25">
      <c r="A599">
        <v>907</v>
      </c>
      <c r="B599" t="str">
        <f t="shared" si="236"/>
        <v>Курск</v>
      </c>
      <c r="C599">
        <v>857825</v>
      </c>
      <c r="D599" t="str">
        <f t="shared" si="228"/>
        <v>Опора</v>
      </c>
      <c r="E599" t="str">
        <f>"КИ 4594 (20)"</f>
        <v>КИ 4594 (20)</v>
      </c>
      <c r="F599" t="str">
        <f>""</f>
        <v/>
      </c>
      <c r="G599" t="str">
        <f t="shared" si="229"/>
        <v>_ТС (CAB_TS)</v>
      </c>
      <c r="H599" t="str">
        <f t="shared" si="230"/>
        <v>ТС</v>
      </c>
      <c r="I599" t="str">
        <f t="shared" si="231"/>
        <v>17.04.2013</v>
      </c>
      <c r="J599" t="str">
        <f>""</f>
        <v/>
      </c>
      <c r="K599" t="str">
        <f t="shared" si="232"/>
        <v>АКТ №4594</v>
      </c>
      <c r="L599" t="str">
        <f t="shared" ref="L599:L605" si="238">"Комитет по управлению муниципальным имуществом города Курска"</f>
        <v>Комитет по управлению муниципальным имуществом города Курска</v>
      </c>
      <c r="M599" t="str">
        <f t="shared" si="234"/>
        <v>Да</v>
      </c>
      <c r="N599" t="str">
        <f t="shared" si="237"/>
        <v>Да</v>
      </c>
      <c r="O599" t="str">
        <f t="shared" si="235"/>
        <v>[46/1651] T 7.5 - Т 7.3</v>
      </c>
      <c r="P599">
        <v>36.200246210000003</v>
      </c>
      <c r="Q599">
        <v>51.751868979999998</v>
      </c>
      <c r="R599" t="str">
        <f>"20000004578581"</f>
        <v>20000004578581</v>
      </c>
    </row>
    <row r="600" spans="1:18" x14ac:dyDescent="0.25">
      <c r="A600">
        <v>907</v>
      </c>
      <c r="B600" t="str">
        <f t="shared" si="236"/>
        <v>Курск</v>
      </c>
      <c r="C600">
        <v>921744</v>
      </c>
      <c r="D600" t="str">
        <f t="shared" ref="D600:D634" si="239">"Опора"</f>
        <v>Опора</v>
      </c>
      <c r="E600" t="str">
        <f>"КИ 4654 (357)"</f>
        <v>КИ 4654 (357)</v>
      </c>
      <c r="F600" t="str">
        <f>""</f>
        <v/>
      </c>
      <c r="G600" t="str">
        <f t="shared" ref="G600:G631" si="240">"_ТС (CAB_TS)"</f>
        <v>_ТС (CAB_TS)</v>
      </c>
      <c r="H600" t="str">
        <f t="shared" ref="H600:H631" si="241">"ТС"</f>
        <v>ТС</v>
      </c>
      <c r="I600" t="str">
        <f>"09.02.2021"</f>
        <v>09.02.2021</v>
      </c>
      <c r="J600" t="str">
        <f>""</f>
        <v/>
      </c>
      <c r="K600" t="str">
        <f>"АКТ №4654"</f>
        <v>АКТ №4654</v>
      </c>
      <c r="L600" t="str">
        <f t="shared" si="238"/>
        <v>Комитет по управлению муниципальным имуществом города Курска</v>
      </c>
      <c r="M600" t="str">
        <f t="shared" ref="M600:M634" si="242">"Неизвестно"</f>
        <v>Неизвестно</v>
      </c>
      <c r="N600" t="str">
        <f t="shared" si="237"/>
        <v>Да</v>
      </c>
      <c r="O600" t="str">
        <f>"[46/2406] ТОК1.3 Курск, Добролюбова, 22 а п.  - Т3.8"</f>
        <v>[46/2406] ТОК1.3 Курск, Добролюбова, 22 а п.  - Т3.8</v>
      </c>
      <c r="P600">
        <v>36.188688579999997</v>
      </c>
      <c r="Q600">
        <v>51.721610820000002</v>
      </c>
      <c r="R600" t="str">
        <f>"20000006263096"</f>
        <v>20000006263096</v>
      </c>
    </row>
    <row r="601" spans="1:18" x14ac:dyDescent="0.25">
      <c r="A601">
        <v>907</v>
      </c>
      <c r="B601" t="str">
        <f t="shared" si="236"/>
        <v>Курск</v>
      </c>
      <c r="C601">
        <v>921743</v>
      </c>
      <c r="D601" t="str">
        <f t="shared" si="239"/>
        <v>Опора</v>
      </c>
      <c r="E601" t="str">
        <f>"КИ 4654 (373)"</f>
        <v>КИ 4654 (373)</v>
      </c>
      <c r="F601" t="str">
        <f>""</f>
        <v/>
      </c>
      <c r="G601" t="str">
        <f t="shared" si="240"/>
        <v>_ТС (CAB_TS)</v>
      </c>
      <c r="H601" t="str">
        <f t="shared" si="241"/>
        <v>ТС</v>
      </c>
      <c r="I601" t="str">
        <f>"09.02.2021"</f>
        <v>09.02.2021</v>
      </c>
      <c r="J601" t="str">
        <f>""</f>
        <v/>
      </c>
      <c r="K601" t="str">
        <f>"АКТ №4654"</f>
        <v>АКТ №4654</v>
      </c>
      <c r="L601" t="str">
        <f t="shared" si="238"/>
        <v>Комитет по управлению муниципальным имуществом города Курска</v>
      </c>
      <c r="M601" t="str">
        <f t="shared" si="242"/>
        <v>Неизвестно</v>
      </c>
      <c r="N601" t="str">
        <f t="shared" si="237"/>
        <v>Да</v>
      </c>
      <c r="O601" t="str">
        <f>"[46/2541] Т3.8 - Т3.1"</f>
        <v>[46/2541] Т3.8 - Т3.1</v>
      </c>
      <c r="P601">
        <v>36.187475550000002</v>
      </c>
      <c r="Q601">
        <v>51.716842239999998</v>
      </c>
      <c r="R601" t="str">
        <f>"20000006263095"</f>
        <v>20000006263095</v>
      </c>
    </row>
    <row r="602" spans="1:18" x14ac:dyDescent="0.25">
      <c r="A602">
        <v>907</v>
      </c>
      <c r="B602" t="str">
        <f t="shared" si="236"/>
        <v>Курск</v>
      </c>
      <c r="C602">
        <v>921742</v>
      </c>
      <c r="D602" t="str">
        <f t="shared" si="239"/>
        <v>Опора</v>
      </c>
      <c r="E602" t="str">
        <f>"КИ 4654 (369)"</f>
        <v>КИ 4654 (369)</v>
      </c>
      <c r="F602" t="str">
        <f>""</f>
        <v/>
      </c>
      <c r="G602" t="str">
        <f t="shared" si="240"/>
        <v>_ТС (CAB_TS)</v>
      </c>
      <c r="H602" t="str">
        <f t="shared" si="241"/>
        <v>ТС</v>
      </c>
      <c r="I602" t="str">
        <f>"09.02.2021"</f>
        <v>09.02.2021</v>
      </c>
      <c r="J602" t="str">
        <f>""</f>
        <v/>
      </c>
      <c r="K602" t="str">
        <f>"АКТ №4654"</f>
        <v>АКТ №4654</v>
      </c>
      <c r="L602" t="str">
        <f t="shared" si="238"/>
        <v>Комитет по управлению муниципальным имуществом города Курска</v>
      </c>
      <c r="M602" t="str">
        <f t="shared" si="242"/>
        <v>Неизвестно</v>
      </c>
      <c r="N602" t="str">
        <f t="shared" si="237"/>
        <v>Да</v>
      </c>
      <c r="O602" t="str">
        <f>"[46/2541] Т3.8 - Т3.1"</f>
        <v>[46/2541] Т3.8 - Т3.1</v>
      </c>
      <c r="P602">
        <v>36.188022719999999</v>
      </c>
      <c r="Q602">
        <v>51.718015430000001</v>
      </c>
      <c r="R602" t="str">
        <f>"20000006263094"</f>
        <v>20000006263094</v>
      </c>
    </row>
    <row r="603" spans="1:18" x14ac:dyDescent="0.25">
      <c r="A603">
        <v>907</v>
      </c>
      <c r="B603" t="str">
        <f t="shared" si="236"/>
        <v>Курск</v>
      </c>
      <c r="C603">
        <v>921732</v>
      </c>
      <c r="D603" t="str">
        <f t="shared" si="239"/>
        <v>Опора</v>
      </c>
      <c r="E603" t="str">
        <f>"КИ 4654 (365)"</f>
        <v>КИ 4654 (365)</v>
      </c>
      <c r="F603" t="str">
        <f>""</f>
        <v/>
      </c>
      <c r="G603" t="str">
        <f t="shared" si="240"/>
        <v>_ТС (CAB_TS)</v>
      </c>
      <c r="H603" t="str">
        <f t="shared" si="241"/>
        <v>ТС</v>
      </c>
      <c r="I603" t="str">
        <f>"09.02.2021"</f>
        <v>09.02.2021</v>
      </c>
      <c r="J603" t="str">
        <f>""</f>
        <v/>
      </c>
      <c r="K603" t="str">
        <f>"АКТ №4654"</f>
        <v>АКТ №4654</v>
      </c>
      <c r="L603" t="str">
        <f t="shared" si="238"/>
        <v>Комитет по управлению муниципальным имуществом города Курска</v>
      </c>
      <c r="M603" t="str">
        <f t="shared" si="242"/>
        <v>Неизвестно</v>
      </c>
      <c r="N603" t="str">
        <f t="shared" si="237"/>
        <v>Да</v>
      </c>
      <c r="O603" t="str">
        <f>"[46/2406] ТОК1.3 Курск, Добролюбова, 22 а п.  - Т3.8"</f>
        <v>[46/2406] ТОК1.3 Курск, Добролюбова, 22 а п.  - Т3.8</v>
      </c>
      <c r="P603">
        <v>36.188453889999998</v>
      </c>
      <c r="Q603">
        <v>51.719207689999998</v>
      </c>
      <c r="R603" t="str">
        <f>"20000006263093"</f>
        <v>20000006263093</v>
      </c>
    </row>
    <row r="604" spans="1:18" x14ac:dyDescent="0.25">
      <c r="A604">
        <v>907</v>
      </c>
      <c r="B604" t="str">
        <f t="shared" si="236"/>
        <v>Курск</v>
      </c>
      <c r="C604">
        <v>921731</v>
      </c>
      <c r="D604" t="str">
        <f t="shared" si="239"/>
        <v>Опора</v>
      </c>
      <c r="E604" t="str">
        <f>"КИ 4654 (361)"</f>
        <v>КИ 4654 (361)</v>
      </c>
      <c r="F604" t="str">
        <f>""</f>
        <v/>
      </c>
      <c r="G604" t="str">
        <f t="shared" si="240"/>
        <v>_ТС (CAB_TS)</v>
      </c>
      <c r="H604" t="str">
        <f t="shared" si="241"/>
        <v>ТС</v>
      </c>
      <c r="I604" t="str">
        <f>"09.02.2021"</f>
        <v>09.02.2021</v>
      </c>
      <c r="J604" t="str">
        <f>""</f>
        <v/>
      </c>
      <c r="K604" t="str">
        <f>"АКТ №4654"</f>
        <v>АКТ №4654</v>
      </c>
      <c r="L604" t="str">
        <f t="shared" si="238"/>
        <v>Комитет по управлению муниципальным имуществом города Курска</v>
      </c>
      <c r="M604" t="str">
        <f t="shared" si="242"/>
        <v>Неизвестно</v>
      </c>
      <c r="N604" t="str">
        <f t="shared" si="237"/>
        <v>Да</v>
      </c>
      <c r="O604" t="str">
        <f>"[46/2406] ТОК1.3 Курск, Добролюбова, 22 а п.  - Т3.8"</f>
        <v>[46/2406] ТОК1.3 Курск, Добролюбова, 22 а п.  - Т3.8</v>
      </c>
      <c r="P604">
        <v>36.18844584</v>
      </c>
      <c r="Q604">
        <v>51.720413219999998</v>
      </c>
      <c r="R604" t="str">
        <f>"20000006263092"</f>
        <v>20000006263092</v>
      </c>
    </row>
    <row r="605" spans="1:18" x14ac:dyDescent="0.25">
      <c r="A605">
        <v>907</v>
      </c>
      <c r="B605" t="str">
        <f t="shared" si="236"/>
        <v>Курск</v>
      </c>
      <c r="C605">
        <v>1003745</v>
      </c>
      <c r="D605" t="str">
        <f t="shared" si="239"/>
        <v>Опора</v>
      </c>
      <c r="E605" t="str">
        <f>"(Опора)"</f>
        <v>(Опора)</v>
      </c>
      <c r="F605" t="str">
        <f>""</f>
        <v/>
      </c>
      <c r="G605" t="str">
        <f t="shared" si="240"/>
        <v>_ТС (CAB_TS)</v>
      </c>
      <c r="H605" t="str">
        <f t="shared" si="241"/>
        <v>ТС</v>
      </c>
      <c r="I605" t="str">
        <f>"12.12.2023"</f>
        <v>12.12.2023</v>
      </c>
      <c r="J605" t="str">
        <f>""</f>
        <v/>
      </c>
      <c r="K605" t="str">
        <f>"Отсутствует"</f>
        <v>Отсутствует</v>
      </c>
      <c r="L605" t="str">
        <f t="shared" si="238"/>
        <v>Комитет по управлению муниципальным имуществом города Курска</v>
      </c>
      <c r="M605" t="str">
        <f t="shared" si="242"/>
        <v>Неизвестно</v>
      </c>
      <c r="N605" t="str">
        <f>"Неизвестно"</f>
        <v>Неизвестно</v>
      </c>
      <c r="O605" t="str">
        <f>"[46/1405] Т4.5 - Т 1.16, [46/4555] ТОК5.4 Курск, Гагарина, 26 а п.  - Т 1.16"</f>
        <v>[46/1405] Т4.5 - Т 1.16, [46/4555] ТОК5.4 Курск, Гагарина, 26 а п.  - Т 1.16</v>
      </c>
      <c r="P605">
        <v>36.135261999999997</v>
      </c>
      <c r="Q605">
        <v>51.668974400000003</v>
      </c>
      <c r="R605" t="str">
        <f>""</f>
        <v/>
      </c>
    </row>
    <row r="606" spans="1:18" x14ac:dyDescent="0.25">
      <c r="A606">
        <v>907</v>
      </c>
      <c r="B606" t="str">
        <f t="shared" si="236"/>
        <v>Курск</v>
      </c>
      <c r="C606">
        <v>1004334</v>
      </c>
      <c r="D606" t="str">
        <f t="shared" si="239"/>
        <v>Опора</v>
      </c>
      <c r="E606" t="str">
        <f>"46"</f>
        <v>46</v>
      </c>
      <c r="F606" t="str">
        <f>""</f>
        <v/>
      </c>
      <c r="G606" t="str">
        <f t="shared" si="240"/>
        <v>_ТС (CAB_TS)</v>
      </c>
      <c r="H606" t="str">
        <f t="shared" si="241"/>
        <v>ТС</v>
      </c>
      <c r="I606" t="str">
        <f>"02.02.2024"</f>
        <v>02.02.2024</v>
      </c>
      <c r="J606" t="str">
        <f>""</f>
        <v/>
      </c>
      <c r="K606" t="str">
        <f>"Отсутствует"</f>
        <v>Отсутствует</v>
      </c>
      <c r="L606" t="str">
        <f>"ОАО ""Курские электрические сети"""</f>
        <v>ОАО "Курские электрические сети"</v>
      </c>
      <c r="M606" t="str">
        <f t="shared" si="242"/>
        <v>Неизвестно</v>
      </c>
      <c r="N606" t="str">
        <f>"Неизвестно"</f>
        <v>Неизвестно</v>
      </c>
      <c r="O606" t="str">
        <f>"[46/3170] Т 6.5 - Т6.7.1, [46/4566] Т 6.7 - Т6.7.1"</f>
        <v>[46/3170] Т 6.5 - Т6.7.1, [46/4566] Т 6.7 - Т6.7.1</v>
      </c>
      <c r="P606">
        <v>36.21967755</v>
      </c>
      <c r="Q606">
        <v>51.749813619999998</v>
      </c>
      <c r="R606" t="str">
        <f>""</f>
        <v/>
      </c>
    </row>
    <row r="607" spans="1:18" x14ac:dyDescent="0.25">
      <c r="A607">
        <v>907</v>
      </c>
      <c r="B607" t="str">
        <f t="shared" si="236"/>
        <v>Курск</v>
      </c>
      <c r="C607">
        <v>920040</v>
      </c>
      <c r="D607" t="str">
        <f t="shared" si="239"/>
        <v>Опора</v>
      </c>
      <c r="E607" t="str">
        <f>"КИ 111 (032)"</f>
        <v>КИ 111 (032)</v>
      </c>
      <c r="F607" t="str">
        <f>""</f>
        <v/>
      </c>
      <c r="G607" t="str">
        <f t="shared" si="240"/>
        <v>_ТС (CAB_TS)</v>
      </c>
      <c r="H607" t="str">
        <f t="shared" si="241"/>
        <v>ТС</v>
      </c>
      <c r="I607" t="str">
        <f t="shared" ref="I607:I634" si="243">"21.12.2020"</f>
        <v>21.12.2020</v>
      </c>
      <c r="J607" t="str">
        <f>""</f>
        <v/>
      </c>
      <c r="K607" t="str">
        <f t="shared" ref="K607:K634" si="244">"АКТ №4654"</f>
        <v>АКТ №4654</v>
      </c>
      <c r="L607" t="str">
        <f t="shared" ref="L607:L634" si="245">"Комитет по управлению муниципальным имуществом города Курска"</f>
        <v>Комитет по управлению муниципальным имуществом города Курска</v>
      </c>
      <c r="M607" t="str">
        <f t="shared" si="242"/>
        <v>Неизвестно</v>
      </c>
      <c r="N607" t="str">
        <f t="shared" ref="N607:N639" si="246">"Да"</f>
        <v>Да</v>
      </c>
      <c r="O607" t="str">
        <f t="shared" ref="O607:O634" si="247">"[46/3169] Т 6.4 - Т 6.5"</f>
        <v>[46/3169] Т 6.4 - Т 6.5</v>
      </c>
      <c r="P607">
        <v>36.22636859</v>
      </c>
      <c r="Q607">
        <v>51.73868264</v>
      </c>
      <c r="R607" t="str">
        <f>"20000006262742"</f>
        <v>20000006262742</v>
      </c>
    </row>
    <row r="608" spans="1:18" x14ac:dyDescent="0.25">
      <c r="A608">
        <v>907</v>
      </c>
      <c r="B608" t="str">
        <f t="shared" si="236"/>
        <v>Курск</v>
      </c>
      <c r="C608">
        <v>920039</v>
      </c>
      <c r="D608" t="str">
        <f t="shared" si="239"/>
        <v>Опора</v>
      </c>
      <c r="E608" t="str">
        <f>"КИ 111 (047)"</f>
        <v>КИ 111 (047)</v>
      </c>
      <c r="F608" t="str">
        <f>""</f>
        <v/>
      </c>
      <c r="G608" t="str">
        <f t="shared" si="240"/>
        <v>_ТС (CAB_TS)</v>
      </c>
      <c r="H608" t="str">
        <f t="shared" si="241"/>
        <v>ТС</v>
      </c>
      <c r="I608" t="str">
        <f t="shared" si="243"/>
        <v>21.12.2020</v>
      </c>
      <c r="J608" t="str">
        <f>""</f>
        <v/>
      </c>
      <c r="K608" t="str">
        <f t="shared" si="244"/>
        <v>АКТ №4654</v>
      </c>
      <c r="L608" t="str">
        <f t="shared" si="245"/>
        <v>Комитет по управлению муниципальным имуществом города Курска</v>
      </c>
      <c r="M608" t="str">
        <f t="shared" si="242"/>
        <v>Неизвестно</v>
      </c>
      <c r="N608" t="str">
        <f t="shared" si="246"/>
        <v>Да</v>
      </c>
      <c r="O608" t="str">
        <f t="shared" si="247"/>
        <v>[46/3169] Т 6.4 - Т 6.5</v>
      </c>
      <c r="P608">
        <v>36.226683749999999</v>
      </c>
      <c r="Q608">
        <v>51.743036629999999</v>
      </c>
      <c r="R608" t="str">
        <f>"20000006262741"</f>
        <v>20000006262741</v>
      </c>
    </row>
    <row r="609" spans="1:18" x14ac:dyDescent="0.25">
      <c r="A609">
        <v>907</v>
      </c>
      <c r="B609" t="str">
        <f t="shared" si="236"/>
        <v>Курск</v>
      </c>
      <c r="C609">
        <v>920038</v>
      </c>
      <c r="D609" t="str">
        <f t="shared" si="239"/>
        <v>Опора</v>
      </c>
      <c r="E609" t="str">
        <f>"КИ 111 (041)"</f>
        <v>КИ 111 (041)</v>
      </c>
      <c r="F609" t="str">
        <f>""</f>
        <v/>
      </c>
      <c r="G609" t="str">
        <f t="shared" si="240"/>
        <v>_ТС (CAB_TS)</v>
      </c>
      <c r="H609" t="str">
        <f t="shared" si="241"/>
        <v>ТС</v>
      </c>
      <c r="I609" t="str">
        <f t="shared" si="243"/>
        <v>21.12.2020</v>
      </c>
      <c r="J609" t="str">
        <f>""</f>
        <v/>
      </c>
      <c r="K609" t="str">
        <f t="shared" si="244"/>
        <v>АКТ №4654</v>
      </c>
      <c r="L609" t="str">
        <f t="shared" si="245"/>
        <v>Комитет по управлению муниципальным имуществом города Курска</v>
      </c>
      <c r="M609" t="str">
        <f t="shared" si="242"/>
        <v>Неизвестно</v>
      </c>
      <c r="N609" t="str">
        <f t="shared" si="246"/>
        <v>Да</v>
      </c>
      <c r="O609" t="str">
        <f t="shared" si="247"/>
        <v>[46/3169] Т 6.4 - Т 6.5</v>
      </c>
      <c r="P609">
        <v>36.227291270000002</v>
      </c>
      <c r="Q609">
        <v>51.741118370000002</v>
      </c>
      <c r="R609" t="str">
        <f>"20000006262740"</f>
        <v>20000006262740</v>
      </c>
    </row>
    <row r="610" spans="1:18" x14ac:dyDescent="0.25">
      <c r="A610">
        <v>907</v>
      </c>
      <c r="B610" t="str">
        <f t="shared" si="236"/>
        <v>Курск</v>
      </c>
      <c r="C610">
        <v>920037</v>
      </c>
      <c r="D610" t="str">
        <f t="shared" si="239"/>
        <v>Опора</v>
      </c>
      <c r="E610" t="str">
        <f>"КИ 111 (043)"</f>
        <v>КИ 111 (043)</v>
      </c>
      <c r="F610" t="str">
        <f>""</f>
        <v/>
      </c>
      <c r="G610" t="str">
        <f t="shared" si="240"/>
        <v>_ТС (CAB_TS)</v>
      </c>
      <c r="H610" t="str">
        <f t="shared" si="241"/>
        <v>ТС</v>
      </c>
      <c r="I610" t="str">
        <f t="shared" si="243"/>
        <v>21.12.2020</v>
      </c>
      <c r="J610" t="str">
        <f>""</f>
        <v/>
      </c>
      <c r="K610" t="str">
        <f t="shared" si="244"/>
        <v>АКТ №4654</v>
      </c>
      <c r="L610" t="str">
        <f t="shared" si="245"/>
        <v>Комитет по управлению муниципальным имуществом города Курска</v>
      </c>
      <c r="M610" t="str">
        <f t="shared" si="242"/>
        <v>Неизвестно</v>
      </c>
      <c r="N610" t="str">
        <f t="shared" si="246"/>
        <v>Да</v>
      </c>
      <c r="O610" t="str">
        <f t="shared" si="247"/>
        <v>[46/3169] Т 6.4 - Т 6.5</v>
      </c>
      <c r="P610">
        <v>36.22722555</v>
      </c>
      <c r="Q610">
        <v>51.741809279999998</v>
      </c>
      <c r="R610" t="str">
        <f>"20000006262739"</f>
        <v>20000006262739</v>
      </c>
    </row>
    <row r="611" spans="1:18" x14ac:dyDescent="0.25">
      <c r="A611">
        <v>907</v>
      </c>
      <c r="B611" t="str">
        <f t="shared" si="236"/>
        <v>Курск</v>
      </c>
      <c r="C611">
        <v>920036</v>
      </c>
      <c r="D611" t="str">
        <f t="shared" si="239"/>
        <v>Опора</v>
      </c>
      <c r="E611" t="str">
        <f>"КИ 111 (044)"</f>
        <v>КИ 111 (044)</v>
      </c>
      <c r="F611" t="str">
        <f>""</f>
        <v/>
      </c>
      <c r="G611" t="str">
        <f t="shared" si="240"/>
        <v>_ТС (CAB_TS)</v>
      </c>
      <c r="H611" t="str">
        <f t="shared" si="241"/>
        <v>ТС</v>
      </c>
      <c r="I611" t="str">
        <f t="shared" si="243"/>
        <v>21.12.2020</v>
      </c>
      <c r="J611" t="str">
        <f>""</f>
        <v/>
      </c>
      <c r="K611" t="str">
        <f t="shared" si="244"/>
        <v>АКТ №4654</v>
      </c>
      <c r="L611" t="str">
        <f t="shared" si="245"/>
        <v>Комитет по управлению муниципальным имуществом города Курска</v>
      </c>
      <c r="M611" t="str">
        <f t="shared" si="242"/>
        <v>Неизвестно</v>
      </c>
      <c r="N611" t="str">
        <f t="shared" si="246"/>
        <v>Да</v>
      </c>
      <c r="O611" t="str">
        <f t="shared" si="247"/>
        <v>[46/3169] Т 6.4 - Т 6.5</v>
      </c>
      <c r="P611">
        <v>36.227161180000003</v>
      </c>
      <c r="Q611">
        <v>51.742121519999998</v>
      </c>
      <c r="R611" t="str">
        <f>"20000006262738"</f>
        <v>20000006262738</v>
      </c>
    </row>
    <row r="612" spans="1:18" x14ac:dyDescent="0.25">
      <c r="A612">
        <v>907</v>
      </c>
      <c r="B612" t="str">
        <f t="shared" si="236"/>
        <v>Курск</v>
      </c>
      <c r="C612">
        <v>920035</v>
      </c>
      <c r="D612" t="str">
        <f t="shared" si="239"/>
        <v>Опора</v>
      </c>
      <c r="E612" t="str">
        <f>"КИ 111 (045)"</f>
        <v>КИ 111 (045)</v>
      </c>
      <c r="F612" t="str">
        <f>""</f>
        <v/>
      </c>
      <c r="G612" t="str">
        <f t="shared" si="240"/>
        <v>_ТС (CAB_TS)</v>
      </c>
      <c r="H612" t="str">
        <f t="shared" si="241"/>
        <v>ТС</v>
      </c>
      <c r="I612" t="str">
        <f t="shared" si="243"/>
        <v>21.12.2020</v>
      </c>
      <c r="J612" t="str">
        <f>""</f>
        <v/>
      </c>
      <c r="K612" t="str">
        <f t="shared" si="244"/>
        <v>АКТ №4654</v>
      </c>
      <c r="L612" t="str">
        <f t="shared" si="245"/>
        <v>Комитет по управлению муниципальным имуществом города Курска</v>
      </c>
      <c r="M612" t="str">
        <f t="shared" si="242"/>
        <v>Неизвестно</v>
      </c>
      <c r="N612" t="str">
        <f t="shared" si="246"/>
        <v>Да</v>
      </c>
      <c r="O612" t="str">
        <f t="shared" si="247"/>
        <v>[46/3169] Т 6.4 - Т 6.5</v>
      </c>
      <c r="P612">
        <v>36.227048529999998</v>
      </c>
      <c r="Q612">
        <v>51.742425449999999</v>
      </c>
      <c r="R612" t="str">
        <f>"20000006262737"</f>
        <v>20000006262737</v>
      </c>
    </row>
    <row r="613" spans="1:18" x14ac:dyDescent="0.25">
      <c r="A613">
        <v>907</v>
      </c>
      <c r="B613" t="str">
        <f t="shared" si="236"/>
        <v>Курск</v>
      </c>
      <c r="C613">
        <v>920034</v>
      </c>
      <c r="D613" t="str">
        <f t="shared" si="239"/>
        <v>Опора</v>
      </c>
      <c r="E613" t="str">
        <f>"КИ 111 (033)"</f>
        <v>КИ 111 (033)</v>
      </c>
      <c r="F613" t="str">
        <f>""</f>
        <v/>
      </c>
      <c r="G613" t="str">
        <f t="shared" si="240"/>
        <v>_ТС (CAB_TS)</v>
      </c>
      <c r="H613" t="str">
        <f t="shared" si="241"/>
        <v>ТС</v>
      </c>
      <c r="I613" t="str">
        <f t="shared" si="243"/>
        <v>21.12.2020</v>
      </c>
      <c r="J613" t="str">
        <f>""</f>
        <v/>
      </c>
      <c r="K613" t="str">
        <f t="shared" si="244"/>
        <v>АКТ №4654</v>
      </c>
      <c r="L613" t="str">
        <f t="shared" si="245"/>
        <v>Комитет по управлению муниципальным имуществом города Курска</v>
      </c>
      <c r="M613" t="str">
        <f t="shared" si="242"/>
        <v>Неизвестно</v>
      </c>
      <c r="N613" t="str">
        <f t="shared" si="246"/>
        <v>Да</v>
      </c>
      <c r="O613" t="str">
        <f t="shared" si="247"/>
        <v>[46/3169] Т 6.4 - Т 6.5</v>
      </c>
      <c r="P613">
        <v>36.22651879</v>
      </c>
      <c r="Q613">
        <v>51.738984100000003</v>
      </c>
      <c r="R613" t="str">
        <f>"20000006262736"</f>
        <v>20000006262736</v>
      </c>
    </row>
    <row r="614" spans="1:18" x14ac:dyDescent="0.25">
      <c r="A614">
        <v>907</v>
      </c>
      <c r="B614" t="str">
        <f t="shared" si="236"/>
        <v>Курск</v>
      </c>
      <c r="C614">
        <v>920033</v>
      </c>
      <c r="D614" t="str">
        <f t="shared" si="239"/>
        <v>Опора</v>
      </c>
      <c r="E614" t="str">
        <f>"КИ 111 (034)"</f>
        <v>КИ 111 (034)</v>
      </c>
      <c r="F614" t="str">
        <f>""</f>
        <v/>
      </c>
      <c r="G614" t="str">
        <f t="shared" si="240"/>
        <v>_ТС (CAB_TS)</v>
      </c>
      <c r="H614" t="str">
        <f t="shared" si="241"/>
        <v>ТС</v>
      </c>
      <c r="I614" t="str">
        <f t="shared" si="243"/>
        <v>21.12.2020</v>
      </c>
      <c r="J614" t="str">
        <f>""</f>
        <v/>
      </c>
      <c r="K614" t="str">
        <f t="shared" si="244"/>
        <v>АКТ №4654</v>
      </c>
      <c r="L614" t="str">
        <f t="shared" si="245"/>
        <v>Комитет по управлению муниципальным имуществом города Курска</v>
      </c>
      <c r="M614" t="str">
        <f t="shared" si="242"/>
        <v>Неизвестно</v>
      </c>
      <c r="N614" t="str">
        <f t="shared" si="246"/>
        <v>Да</v>
      </c>
      <c r="O614" t="str">
        <f t="shared" si="247"/>
        <v>[46/3169] Т 6.4 - Т 6.5</v>
      </c>
      <c r="P614">
        <v>36.226671680000003</v>
      </c>
      <c r="Q614">
        <v>51.739301339999997</v>
      </c>
      <c r="R614" t="str">
        <f>"20000006262735"</f>
        <v>20000006262735</v>
      </c>
    </row>
    <row r="615" spans="1:18" x14ac:dyDescent="0.25">
      <c r="A615">
        <v>907</v>
      </c>
      <c r="B615" t="str">
        <f t="shared" si="236"/>
        <v>Курск</v>
      </c>
      <c r="C615">
        <v>920032</v>
      </c>
      <c r="D615" t="str">
        <f t="shared" si="239"/>
        <v>Опора</v>
      </c>
      <c r="E615" t="str">
        <f>"КИ 111 (035)"</f>
        <v>КИ 111 (035)</v>
      </c>
      <c r="F615" t="str">
        <f>""</f>
        <v/>
      </c>
      <c r="G615" t="str">
        <f t="shared" si="240"/>
        <v>_ТС (CAB_TS)</v>
      </c>
      <c r="H615" t="str">
        <f t="shared" si="241"/>
        <v>ТС</v>
      </c>
      <c r="I615" t="str">
        <f t="shared" si="243"/>
        <v>21.12.2020</v>
      </c>
      <c r="J615" t="str">
        <f>""</f>
        <v/>
      </c>
      <c r="K615" t="str">
        <f t="shared" si="244"/>
        <v>АКТ №4654</v>
      </c>
      <c r="L615" t="str">
        <f t="shared" si="245"/>
        <v>Комитет по управлению муниципальным имуществом города Курска</v>
      </c>
      <c r="M615" t="str">
        <f t="shared" si="242"/>
        <v>Неизвестно</v>
      </c>
      <c r="N615" t="str">
        <f t="shared" si="246"/>
        <v>Да</v>
      </c>
      <c r="O615" t="str">
        <f t="shared" si="247"/>
        <v>[46/3169] Т 6.4 - Т 6.5</v>
      </c>
      <c r="P615">
        <v>36.226835289999997</v>
      </c>
      <c r="Q615">
        <v>51.739620240000001</v>
      </c>
      <c r="R615" t="str">
        <f>"20000006262734"</f>
        <v>20000006262734</v>
      </c>
    </row>
    <row r="616" spans="1:18" x14ac:dyDescent="0.25">
      <c r="A616">
        <v>907</v>
      </c>
      <c r="B616" t="str">
        <f t="shared" si="236"/>
        <v>Курск</v>
      </c>
      <c r="C616">
        <v>920031</v>
      </c>
      <c r="D616" t="str">
        <f t="shared" si="239"/>
        <v>Опора</v>
      </c>
      <c r="E616" t="str">
        <f>"КИ 111 (036)"</f>
        <v>КИ 111 (036)</v>
      </c>
      <c r="F616" t="str">
        <f>""</f>
        <v/>
      </c>
      <c r="G616" t="str">
        <f t="shared" si="240"/>
        <v>_ТС (CAB_TS)</v>
      </c>
      <c r="H616" t="str">
        <f t="shared" si="241"/>
        <v>ТС</v>
      </c>
      <c r="I616" t="str">
        <f t="shared" si="243"/>
        <v>21.12.2020</v>
      </c>
      <c r="J616" t="str">
        <f>""</f>
        <v/>
      </c>
      <c r="K616" t="str">
        <f t="shared" si="244"/>
        <v>АКТ №4654</v>
      </c>
      <c r="L616" t="str">
        <f t="shared" si="245"/>
        <v>Комитет по управлению муниципальным имуществом города Курска</v>
      </c>
      <c r="M616" t="str">
        <f t="shared" si="242"/>
        <v>Неизвестно</v>
      </c>
      <c r="N616" t="str">
        <f t="shared" si="246"/>
        <v>Да</v>
      </c>
      <c r="O616" t="str">
        <f t="shared" si="247"/>
        <v>[46/3169] Т 6.4 - Т 6.5</v>
      </c>
      <c r="P616">
        <v>36.226993540000002</v>
      </c>
      <c r="Q616">
        <v>51.739918379999999</v>
      </c>
      <c r="R616" t="str">
        <f>"20000006262733"</f>
        <v>20000006262733</v>
      </c>
    </row>
    <row r="617" spans="1:18" x14ac:dyDescent="0.25">
      <c r="A617">
        <v>907</v>
      </c>
      <c r="B617" t="str">
        <f t="shared" si="236"/>
        <v>Курск</v>
      </c>
      <c r="C617">
        <v>920030</v>
      </c>
      <c r="D617" t="str">
        <f t="shared" si="239"/>
        <v>Опора</v>
      </c>
      <c r="E617" t="str">
        <f>"КИ 111 (037)"</f>
        <v>КИ 111 (037)</v>
      </c>
      <c r="F617" t="str">
        <f>""</f>
        <v/>
      </c>
      <c r="G617" t="str">
        <f t="shared" si="240"/>
        <v>_ТС (CAB_TS)</v>
      </c>
      <c r="H617" t="str">
        <f t="shared" si="241"/>
        <v>ТС</v>
      </c>
      <c r="I617" t="str">
        <f t="shared" si="243"/>
        <v>21.12.2020</v>
      </c>
      <c r="J617" t="str">
        <f>""</f>
        <v/>
      </c>
      <c r="K617" t="str">
        <f t="shared" si="244"/>
        <v>АКТ №4654</v>
      </c>
      <c r="L617" t="str">
        <f t="shared" si="245"/>
        <v>Комитет по управлению муниципальным имуществом города Курска</v>
      </c>
      <c r="M617" t="str">
        <f t="shared" si="242"/>
        <v>Неизвестно</v>
      </c>
      <c r="N617" t="str">
        <f t="shared" si="246"/>
        <v>Да</v>
      </c>
      <c r="O617" t="str">
        <f t="shared" si="247"/>
        <v>[46/3169] Т 6.4 - Т 6.5</v>
      </c>
      <c r="P617">
        <v>36.227098150000003</v>
      </c>
      <c r="Q617">
        <v>51.740222320000001</v>
      </c>
      <c r="R617" t="str">
        <f>"20000006262732"</f>
        <v>20000006262732</v>
      </c>
    </row>
    <row r="618" spans="1:18" x14ac:dyDescent="0.25">
      <c r="A618">
        <v>907</v>
      </c>
      <c r="B618" t="str">
        <f t="shared" si="236"/>
        <v>Курск</v>
      </c>
      <c r="C618">
        <v>920029</v>
      </c>
      <c r="D618" t="str">
        <f t="shared" si="239"/>
        <v>Опора</v>
      </c>
      <c r="E618" t="str">
        <f>"КИ 111 (038)"</f>
        <v>КИ 111 (038)</v>
      </c>
      <c r="F618" t="str">
        <f>""</f>
        <v/>
      </c>
      <c r="G618" t="str">
        <f t="shared" si="240"/>
        <v>_ТС (CAB_TS)</v>
      </c>
      <c r="H618" t="str">
        <f t="shared" si="241"/>
        <v>ТС</v>
      </c>
      <c r="I618" t="str">
        <f t="shared" si="243"/>
        <v>21.12.2020</v>
      </c>
      <c r="J618" t="str">
        <f>""</f>
        <v/>
      </c>
      <c r="K618" t="str">
        <f t="shared" si="244"/>
        <v>АКТ №4654</v>
      </c>
      <c r="L618" t="str">
        <f t="shared" si="245"/>
        <v>Комитет по управлению муниципальным имуществом города Курска</v>
      </c>
      <c r="M618" t="str">
        <f t="shared" si="242"/>
        <v>Неизвестно</v>
      </c>
      <c r="N618" t="str">
        <f t="shared" si="246"/>
        <v>Да</v>
      </c>
      <c r="O618" t="str">
        <f t="shared" si="247"/>
        <v>[46/3169] Т 6.4 - Т 6.5</v>
      </c>
      <c r="P618">
        <v>36.227151790000001</v>
      </c>
      <c r="Q618">
        <v>51.740375120000003</v>
      </c>
      <c r="R618" t="str">
        <f>"20000006262731"</f>
        <v>20000006262731</v>
      </c>
    </row>
    <row r="619" spans="1:18" x14ac:dyDescent="0.25">
      <c r="A619">
        <v>907</v>
      </c>
      <c r="B619" t="str">
        <f t="shared" si="236"/>
        <v>Курск</v>
      </c>
      <c r="C619">
        <v>920028</v>
      </c>
      <c r="D619" t="str">
        <f t="shared" si="239"/>
        <v>Опора</v>
      </c>
      <c r="E619" t="str">
        <f>"КИ 111 (039)"</f>
        <v>КИ 111 (039)</v>
      </c>
      <c r="F619" t="str">
        <f>""</f>
        <v/>
      </c>
      <c r="G619" t="str">
        <f t="shared" si="240"/>
        <v>_ТС (CAB_TS)</v>
      </c>
      <c r="H619" t="str">
        <f t="shared" si="241"/>
        <v>ТС</v>
      </c>
      <c r="I619" t="str">
        <f t="shared" si="243"/>
        <v>21.12.2020</v>
      </c>
      <c r="J619" t="str">
        <f>""</f>
        <v/>
      </c>
      <c r="K619" t="str">
        <f t="shared" si="244"/>
        <v>АКТ №4654</v>
      </c>
      <c r="L619" t="str">
        <f t="shared" si="245"/>
        <v>Комитет по управлению муниципальным имуществом города Курска</v>
      </c>
      <c r="M619" t="str">
        <f t="shared" si="242"/>
        <v>Неизвестно</v>
      </c>
      <c r="N619" t="str">
        <f t="shared" si="246"/>
        <v>Да</v>
      </c>
      <c r="O619" t="str">
        <f t="shared" si="247"/>
        <v>[46/3169] Т 6.4 - Т 6.5</v>
      </c>
      <c r="P619">
        <v>36.227198729999998</v>
      </c>
      <c r="Q619">
        <v>51.740524600000001</v>
      </c>
      <c r="R619" t="str">
        <f>"20000006262730"</f>
        <v>20000006262730</v>
      </c>
    </row>
    <row r="620" spans="1:18" x14ac:dyDescent="0.25">
      <c r="A620">
        <v>907</v>
      </c>
      <c r="B620" t="str">
        <f t="shared" si="236"/>
        <v>Курск</v>
      </c>
      <c r="C620">
        <v>920027</v>
      </c>
      <c r="D620" t="str">
        <f t="shared" si="239"/>
        <v>Опора</v>
      </c>
      <c r="E620" t="str">
        <f>"КИ 111 (040)"</f>
        <v>КИ 111 (040)</v>
      </c>
      <c r="F620" t="str">
        <f>""</f>
        <v/>
      </c>
      <c r="G620" t="str">
        <f t="shared" si="240"/>
        <v>_ТС (CAB_TS)</v>
      </c>
      <c r="H620" t="str">
        <f t="shared" si="241"/>
        <v>ТС</v>
      </c>
      <c r="I620" t="str">
        <f t="shared" si="243"/>
        <v>21.12.2020</v>
      </c>
      <c r="J620" t="str">
        <f>""</f>
        <v/>
      </c>
      <c r="K620" t="str">
        <f t="shared" si="244"/>
        <v>АКТ №4654</v>
      </c>
      <c r="L620" t="str">
        <f t="shared" si="245"/>
        <v>Комитет по управлению муниципальным имуществом города Курска</v>
      </c>
      <c r="M620" t="str">
        <f t="shared" si="242"/>
        <v>Неизвестно</v>
      </c>
      <c r="N620" t="str">
        <f t="shared" si="246"/>
        <v>Да</v>
      </c>
      <c r="O620" t="str">
        <f t="shared" si="247"/>
        <v>[46/3169] Т 6.4 - Т 6.5</v>
      </c>
      <c r="P620">
        <v>36.22727115</v>
      </c>
      <c r="Q620">
        <v>51.740816090000003</v>
      </c>
      <c r="R620" t="str">
        <f>"20000006262729"</f>
        <v>20000006262729</v>
      </c>
    </row>
    <row r="621" spans="1:18" x14ac:dyDescent="0.25">
      <c r="A621">
        <v>907</v>
      </c>
      <c r="B621" t="str">
        <f t="shared" si="236"/>
        <v>Курск</v>
      </c>
      <c r="C621">
        <v>920026</v>
      </c>
      <c r="D621" t="str">
        <f t="shared" si="239"/>
        <v>Опора</v>
      </c>
      <c r="E621" t="str">
        <f>"КИ 111 (042)"</f>
        <v>КИ 111 (042)</v>
      </c>
      <c r="F621" t="str">
        <f>""</f>
        <v/>
      </c>
      <c r="G621" t="str">
        <f t="shared" si="240"/>
        <v>_ТС (CAB_TS)</v>
      </c>
      <c r="H621" t="str">
        <f t="shared" si="241"/>
        <v>ТС</v>
      </c>
      <c r="I621" t="str">
        <f t="shared" si="243"/>
        <v>21.12.2020</v>
      </c>
      <c r="J621" t="str">
        <f>""</f>
        <v/>
      </c>
      <c r="K621" t="str">
        <f t="shared" si="244"/>
        <v>АКТ №4654</v>
      </c>
      <c r="L621" t="str">
        <f t="shared" si="245"/>
        <v>Комитет по управлению муниципальным имуществом города Курска</v>
      </c>
      <c r="M621" t="str">
        <f t="shared" si="242"/>
        <v>Неизвестно</v>
      </c>
      <c r="N621" t="str">
        <f t="shared" si="246"/>
        <v>Да</v>
      </c>
      <c r="O621" t="str">
        <f t="shared" si="247"/>
        <v>[46/3169] Т 6.4 - Т 6.5</v>
      </c>
      <c r="P621">
        <v>36.22728188</v>
      </c>
      <c r="Q621">
        <v>51.741463830000001</v>
      </c>
      <c r="R621" t="str">
        <f>"20000006262728"</f>
        <v>20000006262728</v>
      </c>
    </row>
    <row r="622" spans="1:18" x14ac:dyDescent="0.25">
      <c r="A622">
        <v>907</v>
      </c>
      <c r="B622" t="str">
        <f t="shared" si="236"/>
        <v>Курск</v>
      </c>
      <c r="C622">
        <v>920025</v>
      </c>
      <c r="D622" t="str">
        <f t="shared" si="239"/>
        <v>Опора</v>
      </c>
      <c r="E622" t="str">
        <f>"КИ 111 (046)"</f>
        <v>КИ 111 (046)</v>
      </c>
      <c r="F622" t="str">
        <f>""</f>
        <v/>
      </c>
      <c r="G622" t="str">
        <f t="shared" si="240"/>
        <v>_ТС (CAB_TS)</v>
      </c>
      <c r="H622" t="str">
        <f t="shared" si="241"/>
        <v>ТС</v>
      </c>
      <c r="I622" t="str">
        <f t="shared" si="243"/>
        <v>21.12.2020</v>
      </c>
      <c r="J622" t="str">
        <f>""</f>
        <v/>
      </c>
      <c r="K622" t="str">
        <f t="shared" si="244"/>
        <v>АКТ №4654</v>
      </c>
      <c r="L622" t="str">
        <f t="shared" si="245"/>
        <v>Комитет по управлению муниципальным имуществом города Курска</v>
      </c>
      <c r="M622" t="str">
        <f t="shared" si="242"/>
        <v>Неизвестно</v>
      </c>
      <c r="N622" t="str">
        <f t="shared" si="246"/>
        <v>Да</v>
      </c>
      <c r="O622" t="str">
        <f t="shared" si="247"/>
        <v>[46/3169] Т 6.4 - Т 6.5</v>
      </c>
      <c r="P622">
        <v>36.226906370000002</v>
      </c>
      <c r="Q622">
        <v>51.742721080000003</v>
      </c>
      <c r="R622" t="str">
        <f>"20000006262727"</f>
        <v>20000006262727</v>
      </c>
    </row>
    <row r="623" spans="1:18" x14ac:dyDescent="0.25">
      <c r="A623">
        <v>907</v>
      </c>
      <c r="B623" t="str">
        <f t="shared" si="236"/>
        <v>Курск</v>
      </c>
      <c r="C623">
        <v>920024</v>
      </c>
      <c r="D623" t="str">
        <f t="shared" si="239"/>
        <v>Опора</v>
      </c>
      <c r="E623" t="str">
        <f>"КИ 111 (048)"</f>
        <v>КИ 111 (048)</v>
      </c>
      <c r="F623" t="str">
        <f>""</f>
        <v/>
      </c>
      <c r="G623" t="str">
        <f t="shared" si="240"/>
        <v>_ТС (CAB_TS)</v>
      </c>
      <c r="H623" t="str">
        <f t="shared" si="241"/>
        <v>ТС</v>
      </c>
      <c r="I623" t="str">
        <f t="shared" si="243"/>
        <v>21.12.2020</v>
      </c>
      <c r="J623" t="str">
        <f>""</f>
        <v/>
      </c>
      <c r="K623" t="str">
        <f t="shared" si="244"/>
        <v>АКТ №4654</v>
      </c>
      <c r="L623" t="str">
        <f t="shared" si="245"/>
        <v>Комитет по управлению муниципальным имуществом города Курска</v>
      </c>
      <c r="M623" t="str">
        <f t="shared" si="242"/>
        <v>Неизвестно</v>
      </c>
      <c r="N623" t="str">
        <f t="shared" si="246"/>
        <v>Да</v>
      </c>
      <c r="O623" t="str">
        <f t="shared" si="247"/>
        <v>[46/3169] Т 6.4 - Т 6.5</v>
      </c>
      <c r="P623">
        <v>36.226442349999999</v>
      </c>
      <c r="Q623">
        <v>51.743328929999997</v>
      </c>
      <c r="R623" t="str">
        <f>"20000006262726"</f>
        <v>20000006262726</v>
      </c>
    </row>
    <row r="624" spans="1:18" x14ac:dyDescent="0.25">
      <c r="A624">
        <v>907</v>
      </c>
      <c r="B624" t="str">
        <f t="shared" si="236"/>
        <v>Курск</v>
      </c>
      <c r="C624">
        <v>920023</v>
      </c>
      <c r="D624" t="str">
        <f t="shared" si="239"/>
        <v>Опора</v>
      </c>
      <c r="E624" t="str">
        <f>"КИ 111 (049)"</f>
        <v>КИ 111 (049)</v>
      </c>
      <c r="F624" t="str">
        <f>""</f>
        <v/>
      </c>
      <c r="G624" t="str">
        <f t="shared" si="240"/>
        <v>_ТС (CAB_TS)</v>
      </c>
      <c r="H624" t="str">
        <f t="shared" si="241"/>
        <v>ТС</v>
      </c>
      <c r="I624" t="str">
        <f t="shared" si="243"/>
        <v>21.12.2020</v>
      </c>
      <c r="J624" t="str">
        <f>""</f>
        <v/>
      </c>
      <c r="K624" t="str">
        <f t="shared" si="244"/>
        <v>АКТ №4654</v>
      </c>
      <c r="L624" t="str">
        <f t="shared" si="245"/>
        <v>Комитет по управлению муниципальным имуществом города Курска</v>
      </c>
      <c r="M624" t="str">
        <f t="shared" si="242"/>
        <v>Неизвестно</v>
      </c>
      <c r="N624" t="str">
        <f t="shared" si="246"/>
        <v>Да</v>
      </c>
      <c r="O624" t="str">
        <f t="shared" si="247"/>
        <v>[46/3169] Т 6.4 - Т 6.5</v>
      </c>
      <c r="P624">
        <v>36.226187539999998</v>
      </c>
      <c r="Q624">
        <v>51.743596310000001</v>
      </c>
      <c r="R624" t="str">
        <f>"20000006262725"</f>
        <v>20000006262725</v>
      </c>
    </row>
    <row r="625" spans="1:18" x14ac:dyDescent="0.25">
      <c r="A625">
        <v>907</v>
      </c>
      <c r="B625" t="str">
        <f t="shared" si="236"/>
        <v>Курск</v>
      </c>
      <c r="C625">
        <v>920022</v>
      </c>
      <c r="D625" t="str">
        <f t="shared" si="239"/>
        <v>Опора</v>
      </c>
      <c r="E625" t="str">
        <f>"КИ 111 (050)"</f>
        <v>КИ 111 (050)</v>
      </c>
      <c r="F625" t="str">
        <f>""</f>
        <v/>
      </c>
      <c r="G625" t="str">
        <f t="shared" si="240"/>
        <v>_ТС (CAB_TS)</v>
      </c>
      <c r="H625" t="str">
        <f t="shared" si="241"/>
        <v>ТС</v>
      </c>
      <c r="I625" t="str">
        <f t="shared" si="243"/>
        <v>21.12.2020</v>
      </c>
      <c r="J625" t="str">
        <f>""</f>
        <v/>
      </c>
      <c r="K625" t="str">
        <f t="shared" si="244"/>
        <v>АКТ №4654</v>
      </c>
      <c r="L625" t="str">
        <f t="shared" si="245"/>
        <v>Комитет по управлению муниципальным имуществом города Курска</v>
      </c>
      <c r="M625" t="str">
        <f t="shared" si="242"/>
        <v>Неизвестно</v>
      </c>
      <c r="N625" t="str">
        <f t="shared" si="246"/>
        <v>Да</v>
      </c>
      <c r="O625" t="str">
        <f t="shared" si="247"/>
        <v>[46/3169] Т 6.4 - Т 6.5</v>
      </c>
      <c r="P625">
        <v>36.225919320000003</v>
      </c>
      <c r="Q625">
        <v>51.743883629999999</v>
      </c>
      <c r="R625" t="str">
        <f>"20000006262724"</f>
        <v>20000006262724</v>
      </c>
    </row>
    <row r="626" spans="1:18" x14ac:dyDescent="0.25">
      <c r="A626">
        <v>907</v>
      </c>
      <c r="B626" t="str">
        <f t="shared" si="236"/>
        <v>Курск</v>
      </c>
      <c r="C626">
        <v>920021</v>
      </c>
      <c r="D626" t="str">
        <f t="shared" si="239"/>
        <v>Опора</v>
      </c>
      <c r="E626" t="str">
        <f>"КИ 111 (051)"</f>
        <v>КИ 111 (051)</v>
      </c>
      <c r="F626" t="str">
        <f>""</f>
        <v/>
      </c>
      <c r="G626" t="str">
        <f t="shared" si="240"/>
        <v>_ТС (CAB_TS)</v>
      </c>
      <c r="H626" t="str">
        <f t="shared" si="241"/>
        <v>ТС</v>
      </c>
      <c r="I626" t="str">
        <f t="shared" si="243"/>
        <v>21.12.2020</v>
      </c>
      <c r="J626" t="str">
        <f>""</f>
        <v/>
      </c>
      <c r="K626" t="str">
        <f t="shared" si="244"/>
        <v>АКТ №4654</v>
      </c>
      <c r="L626" t="str">
        <f t="shared" si="245"/>
        <v>Комитет по управлению муниципальным имуществом города Курска</v>
      </c>
      <c r="M626" t="str">
        <f t="shared" si="242"/>
        <v>Неизвестно</v>
      </c>
      <c r="N626" t="str">
        <f t="shared" si="246"/>
        <v>Да</v>
      </c>
      <c r="O626" t="str">
        <f t="shared" si="247"/>
        <v>[46/3169] Т 6.4 - Т 6.5</v>
      </c>
      <c r="P626">
        <v>36.225634999999997</v>
      </c>
      <c r="Q626">
        <v>51.744160970000003</v>
      </c>
      <c r="R626" t="str">
        <f>"20000006262723"</f>
        <v>20000006262723</v>
      </c>
    </row>
    <row r="627" spans="1:18" x14ac:dyDescent="0.25">
      <c r="A627">
        <v>907</v>
      </c>
      <c r="B627" t="str">
        <f t="shared" si="236"/>
        <v>Курск</v>
      </c>
      <c r="C627">
        <v>920020</v>
      </c>
      <c r="D627" t="str">
        <f t="shared" si="239"/>
        <v>Опора</v>
      </c>
      <c r="E627" t="str">
        <f>"КИ 111 (052)"</f>
        <v>КИ 111 (052)</v>
      </c>
      <c r="F627" t="str">
        <f>""</f>
        <v/>
      </c>
      <c r="G627" t="str">
        <f t="shared" si="240"/>
        <v>_ТС (CAB_TS)</v>
      </c>
      <c r="H627" t="str">
        <f t="shared" si="241"/>
        <v>ТС</v>
      </c>
      <c r="I627" t="str">
        <f t="shared" si="243"/>
        <v>21.12.2020</v>
      </c>
      <c r="J627" t="str">
        <f>""</f>
        <v/>
      </c>
      <c r="K627" t="str">
        <f t="shared" si="244"/>
        <v>АКТ №4654</v>
      </c>
      <c r="L627" t="str">
        <f t="shared" si="245"/>
        <v>Комитет по управлению муниципальным имуществом города Курска</v>
      </c>
      <c r="M627" t="str">
        <f t="shared" si="242"/>
        <v>Неизвестно</v>
      </c>
      <c r="N627" t="str">
        <f t="shared" si="246"/>
        <v>Да</v>
      </c>
      <c r="O627" t="str">
        <f t="shared" si="247"/>
        <v>[46/3169] Т 6.4 - Т 6.5</v>
      </c>
      <c r="P627">
        <v>36.22537483</v>
      </c>
      <c r="Q627">
        <v>51.744437490000003</v>
      </c>
      <c r="R627" t="str">
        <f>"20000006262722"</f>
        <v>20000006262722</v>
      </c>
    </row>
    <row r="628" spans="1:18" x14ac:dyDescent="0.25">
      <c r="A628">
        <v>907</v>
      </c>
      <c r="B628" t="str">
        <f t="shared" si="236"/>
        <v>Курск</v>
      </c>
      <c r="C628">
        <v>920019</v>
      </c>
      <c r="D628" t="str">
        <f t="shared" si="239"/>
        <v>Опора</v>
      </c>
      <c r="E628" t="str">
        <f>"КИ 111 (053)"</f>
        <v>КИ 111 (053)</v>
      </c>
      <c r="F628" t="str">
        <f>""</f>
        <v/>
      </c>
      <c r="G628" t="str">
        <f t="shared" si="240"/>
        <v>_ТС (CAB_TS)</v>
      </c>
      <c r="H628" t="str">
        <f t="shared" si="241"/>
        <v>ТС</v>
      </c>
      <c r="I628" t="str">
        <f t="shared" si="243"/>
        <v>21.12.2020</v>
      </c>
      <c r="J628" t="str">
        <f>""</f>
        <v/>
      </c>
      <c r="K628" t="str">
        <f t="shared" si="244"/>
        <v>АКТ №4654</v>
      </c>
      <c r="L628" t="str">
        <f t="shared" si="245"/>
        <v>Комитет по управлению муниципальным имуществом города Курска</v>
      </c>
      <c r="M628" t="str">
        <f t="shared" si="242"/>
        <v>Неизвестно</v>
      </c>
      <c r="N628" t="str">
        <f t="shared" si="246"/>
        <v>Да</v>
      </c>
      <c r="O628" t="str">
        <f t="shared" si="247"/>
        <v>[46/3169] Т 6.4 - Т 6.5</v>
      </c>
      <c r="P628">
        <v>36.225128060000003</v>
      </c>
      <c r="Q628">
        <v>51.744714829999999</v>
      </c>
      <c r="R628" t="str">
        <f>"20000006262721"</f>
        <v>20000006262721</v>
      </c>
    </row>
    <row r="629" spans="1:18" x14ac:dyDescent="0.25">
      <c r="A629">
        <v>907</v>
      </c>
      <c r="B629" t="str">
        <f t="shared" si="236"/>
        <v>Курск</v>
      </c>
      <c r="C629">
        <v>920018</v>
      </c>
      <c r="D629" t="str">
        <f t="shared" si="239"/>
        <v>Опора</v>
      </c>
      <c r="E629" t="str">
        <f>"КИ 111 (054)"</f>
        <v>КИ 111 (054)</v>
      </c>
      <c r="F629" t="str">
        <f>""</f>
        <v/>
      </c>
      <c r="G629" t="str">
        <f t="shared" si="240"/>
        <v>_ТС (CAB_TS)</v>
      </c>
      <c r="H629" t="str">
        <f t="shared" si="241"/>
        <v>ТС</v>
      </c>
      <c r="I629" t="str">
        <f t="shared" si="243"/>
        <v>21.12.2020</v>
      </c>
      <c r="J629" t="str">
        <f>""</f>
        <v/>
      </c>
      <c r="K629" t="str">
        <f t="shared" si="244"/>
        <v>АКТ №4654</v>
      </c>
      <c r="L629" t="str">
        <f t="shared" si="245"/>
        <v>Комитет по управлению муниципальным имуществом города Курска</v>
      </c>
      <c r="M629" t="str">
        <f t="shared" si="242"/>
        <v>Неизвестно</v>
      </c>
      <c r="N629" t="str">
        <f t="shared" si="246"/>
        <v>Да</v>
      </c>
      <c r="O629" t="str">
        <f t="shared" si="247"/>
        <v>[46/3169] Т 6.4 - Т 6.5</v>
      </c>
      <c r="P629">
        <v>36.22491617</v>
      </c>
      <c r="Q629">
        <v>51.745005460000002</v>
      </c>
      <c r="R629" t="str">
        <f>"20000006262720"</f>
        <v>20000006262720</v>
      </c>
    </row>
    <row r="630" spans="1:18" x14ac:dyDescent="0.25">
      <c r="A630">
        <v>907</v>
      </c>
      <c r="B630" t="str">
        <f t="shared" si="236"/>
        <v>Курск</v>
      </c>
      <c r="C630">
        <v>920017</v>
      </c>
      <c r="D630" t="str">
        <f t="shared" si="239"/>
        <v>Опора</v>
      </c>
      <c r="E630" t="str">
        <f>"КИ 111 (055)"</f>
        <v>КИ 111 (055)</v>
      </c>
      <c r="F630" t="str">
        <f>""</f>
        <v/>
      </c>
      <c r="G630" t="str">
        <f t="shared" si="240"/>
        <v>_ТС (CAB_TS)</v>
      </c>
      <c r="H630" t="str">
        <f t="shared" si="241"/>
        <v>ТС</v>
      </c>
      <c r="I630" t="str">
        <f t="shared" si="243"/>
        <v>21.12.2020</v>
      </c>
      <c r="J630" t="str">
        <f>""</f>
        <v/>
      </c>
      <c r="K630" t="str">
        <f t="shared" si="244"/>
        <v>АКТ №4654</v>
      </c>
      <c r="L630" t="str">
        <f t="shared" si="245"/>
        <v>Комитет по управлению муниципальным имуществом города Курска</v>
      </c>
      <c r="M630" t="str">
        <f t="shared" si="242"/>
        <v>Неизвестно</v>
      </c>
      <c r="N630" t="str">
        <f t="shared" si="246"/>
        <v>Да</v>
      </c>
      <c r="O630" t="str">
        <f t="shared" si="247"/>
        <v>[46/3169] Т 6.4 - Т 6.5</v>
      </c>
      <c r="P630">
        <v>36.224747190000002</v>
      </c>
      <c r="Q630">
        <v>51.745297739999998</v>
      </c>
      <c r="R630" t="str">
        <f>"20000006262719"</f>
        <v>20000006262719</v>
      </c>
    </row>
    <row r="631" spans="1:18" x14ac:dyDescent="0.25">
      <c r="A631">
        <v>907</v>
      </c>
      <c r="B631" t="str">
        <f t="shared" si="236"/>
        <v>Курск</v>
      </c>
      <c r="C631">
        <v>920016</v>
      </c>
      <c r="D631" t="str">
        <f t="shared" si="239"/>
        <v>Опора</v>
      </c>
      <c r="E631" t="str">
        <f>"КИ 111 (056)"</f>
        <v>КИ 111 (056)</v>
      </c>
      <c r="F631" t="str">
        <f>""</f>
        <v/>
      </c>
      <c r="G631" t="str">
        <f t="shared" si="240"/>
        <v>_ТС (CAB_TS)</v>
      </c>
      <c r="H631" t="str">
        <f t="shared" si="241"/>
        <v>ТС</v>
      </c>
      <c r="I631" t="str">
        <f t="shared" si="243"/>
        <v>21.12.2020</v>
      </c>
      <c r="J631" t="str">
        <f>""</f>
        <v/>
      </c>
      <c r="K631" t="str">
        <f t="shared" si="244"/>
        <v>АКТ №4654</v>
      </c>
      <c r="L631" t="str">
        <f t="shared" si="245"/>
        <v>Комитет по управлению муниципальным имуществом города Курска</v>
      </c>
      <c r="M631" t="str">
        <f t="shared" si="242"/>
        <v>Неизвестно</v>
      </c>
      <c r="N631" t="str">
        <f t="shared" si="246"/>
        <v>Да</v>
      </c>
      <c r="O631" t="str">
        <f t="shared" si="247"/>
        <v>[46/3169] Т 6.4 - Т 6.5</v>
      </c>
      <c r="P631">
        <v>36.224586260000002</v>
      </c>
      <c r="Q631">
        <v>51.745611619999998</v>
      </c>
      <c r="R631" t="str">
        <f>"20000006262718"</f>
        <v>20000006262718</v>
      </c>
    </row>
    <row r="632" spans="1:18" x14ac:dyDescent="0.25">
      <c r="A632">
        <v>907</v>
      </c>
      <c r="B632" t="str">
        <f t="shared" si="236"/>
        <v>Курск</v>
      </c>
      <c r="C632">
        <v>920015</v>
      </c>
      <c r="D632" t="str">
        <f t="shared" si="239"/>
        <v>Опора</v>
      </c>
      <c r="E632" t="str">
        <f>"КИ 111 (057)"</f>
        <v>КИ 111 (057)</v>
      </c>
      <c r="F632" t="str">
        <f>""</f>
        <v/>
      </c>
      <c r="G632" t="str">
        <f t="shared" ref="G632:G668" si="248">"_ТС (CAB_TS)"</f>
        <v>_ТС (CAB_TS)</v>
      </c>
      <c r="H632" t="str">
        <f t="shared" ref="H632:H668" si="249">"ТС"</f>
        <v>ТС</v>
      </c>
      <c r="I632" t="str">
        <f t="shared" si="243"/>
        <v>21.12.2020</v>
      </c>
      <c r="J632" t="str">
        <f>""</f>
        <v/>
      </c>
      <c r="K632" t="str">
        <f t="shared" si="244"/>
        <v>АКТ №4654</v>
      </c>
      <c r="L632" t="str">
        <f t="shared" si="245"/>
        <v>Комитет по управлению муниципальным имуществом города Курска</v>
      </c>
      <c r="M632" t="str">
        <f t="shared" si="242"/>
        <v>Неизвестно</v>
      </c>
      <c r="N632" t="str">
        <f t="shared" si="246"/>
        <v>Да</v>
      </c>
      <c r="O632" t="str">
        <f t="shared" si="247"/>
        <v>[46/3169] Т 6.4 - Т 6.5</v>
      </c>
      <c r="P632">
        <v>36.224414600000003</v>
      </c>
      <c r="Q632">
        <v>51.745938770000002</v>
      </c>
      <c r="R632" t="str">
        <f>"20000006262717"</f>
        <v>20000006262717</v>
      </c>
    </row>
    <row r="633" spans="1:18" x14ac:dyDescent="0.25">
      <c r="A633">
        <v>907</v>
      </c>
      <c r="B633" t="str">
        <f t="shared" si="236"/>
        <v>Курск</v>
      </c>
      <c r="C633">
        <v>920014</v>
      </c>
      <c r="D633" t="str">
        <f t="shared" si="239"/>
        <v>Опора</v>
      </c>
      <c r="E633" t="str">
        <f>"КИ 111 (058)"</f>
        <v>КИ 111 (058)</v>
      </c>
      <c r="F633" t="str">
        <f>""</f>
        <v/>
      </c>
      <c r="G633" t="str">
        <f t="shared" si="248"/>
        <v>_ТС (CAB_TS)</v>
      </c>
      <c r="H633" t="str">
        <f t="shared" si="249"/>
        <v>ТС</v>
      </c>
      <c r="I633" t="str">
        <f t="shared" si="243"/>
        <v>21.12.2020</v>
      </c>
      <c r="J633" t="str">
        <f>""</f>
        <v/>
      </c>
      <c r="K633" t="str">
        <f t="shared" si="244"/>
        <v>АКТ №4654</v>
      </c>
      <c r="L633" t="str">
        <f t="shared" si="245"/>
        <v>Комитет по управлению муниципальным имуществом города Курска</v>
      </c>
      <c r="M633" t="str">
        <f t="shared" si="242"/>
        <v>Неизвестно</v>
      </c>
      <c r="N633" t="str">
        <f t="shared" si="246"/>
        <v>Да</v>
      </c>
      <c r="O633" t="str">
        <f t="shared" si="247"/>
        <v>[46/3169] Т 6.4 - Т 6.5</v>
      </c>
      <c r="P633">
        <v>36.224304629999999</v>
      </c>
      <c r="Q633">
        <v>51.746239359999997</v>
      </c>
      <c r="R633" t="str">
        <f>"20000006262716"</f>
        <v>20000006262716</v>
      </c>
    </row>
    <row r="634" spans="1:18" x14ac:dyDescent="0.25">
      <c r="A634">
        <v>907</v>
      </c>
      <c r="B634" t="str">
        <f t="shared" si="236"/>
        <v>Курск</v>
      </c>
      <c r="C634">
        <v>920013</v>
      </c>
      <c r="D634" t="str">
        <f t="shared" si="239"/>
        <v>Опора</v>
      </c>
      <c r="E634" t="str">
        <f>"КИ 111 (059)"</f>
        <v>КИ 111 (059)</v>
      </c>
      <c r="F634" t="str">
        <f>""</f>
        <v/>
      </c>
      <c r="G634" t="str">
        <f t="shared" si="248"/>
        <v>_ТС (CAB_TS)</v>
      </c>
      <c r="H634" t="str">
        <f t="shared" si="249"/>
        <v>ТС</v>
      </c>
      <c r="I634" t="str">
        <f t="shared" si="243"/>
        <v>21.12.2020</v>
      </c>
      <c r="J634" t="str">
        <f>""</f>
        <v/>
      </c>
      <c r="K634" t="str">
        <f t="shared" si="244"/>
        <v>АКТ №4654</v>
      </c>
      <c r="L634" t="str">
        <f t="shared" si="245"/>
        <v>Комитет по управлению муниципальным имуществом города Курска</v>
      </c>
      <c r="M634" t="str">
        <f t="shared" si="242"/>
        <v>Неизвестно</v>
      </c>
      <c r="N634" t="str">
        <f t="shared" si="246"/>
        <v>Да</v>
      </c>
      <c r="O634" t="str">
        <f t="shared" si="247"/>
        <v>[46/3169] Т 6.4 - Т 6.5</v>
      </c>
      <c r="P634">
        <v>36.22423757</v>
      </c>
      <c r="Q634">
        <v>51.74655156</v>
      </c>
      <c r="R634" t="str">
        <f>"20000006262715"</f>
        <v>20000006262715</v>
      </c>
    </row>
    <row r="635" spans="1:18" x14ac:dyDescent="0.25">
      <c r="A635">
        <v>907</v>
      </c>
      <c r="B635" t="str">
        <f t="shared" si="236"/>
        <v>Курск</v>
      </c>
      <c r="C635">
        <v>858752</v>
      </c>
      <c r="D635" t="str">
        <f>"Опора контактной сети"</f>
        <v>Опора контактной сети</v>
      </c>
      <c r="E635" t="str">
        <f>"08/479 (35)"</f>
        <v>08/479 (35)</v>
      </c>
      <c r="F635" t="str">
        <f>""</f>
        <v/>
      </c>
      <c r="G635" t="str">
        <f t="shared" si="248"/>
        <v>_ТС (CAB_TS)</v>
      </c>
      <c r="H635" t="str">
        <f t="shared" si="249"/>
        <v>ТС</v>
      </c>
      <c r="I635" t="str">
        <f>"14.05.2013"</f>
        <v>14.05.2013</v>
      </c>
      <c r="J635" t="str">
        <f>""</f>
        <v/>
      </c>
      <c r="K635" t="str">
        <f>"КСК-00506725"</f>
        <v>КСК-00506725</v>
      </c>
      <c r="L635" t="str">
        <f>"МУП ""Курскэлектротранс"""</f>
        <v>МУП "Курскэлектротранс"</v>
      </c>
      <c r="M635" t="str">
        <f>"Да"</f>
        <v>Да</v>
      </c>
      <c r="N635" t="str">
        <f t="shared" si="246"/>
        <v>Да</v>
      </c>
      <c r="O635" t="str">
        <f>"[46/2375] ТОК1.5 Курск, Добролюбова, 22 а п.  - Т5.1"</f>
        <v>[46/2375] ТОК1.5 Курск, Добролюбова, 22 а п.  - Т5.1</v>
      </c>
      <c r="P635">
        <v>36.180893740000002</v>
      </c>
      <c r="Q635">
        <v>51.731125149999997</v>
      </c>
      <c r="R635" t="str">
        <f>""</f>
        <v/>
      </c>
    </row>
    <row r="636" spans="1:18" x14ac:dyDescent="0.25">
      <c r="A636">
        <v>907</v>
      </c>
      <c r="B636" t="str">
        <f t="shared" si="236"/>
        <v>Курск</v>
      </c>
      <c r="C636">
        <v>858741</v>
      </c>
      <c r="D636" t="str">
        <f>"Опора контактной сети"</f>
        <v>Опора контактной сети</v>
      </c>
      <c r="E636" t="str">
        <f>"08/479 (24)"</f>
        <v>08/479 (24)</v>
      </c>
      <c r="F636" t="str">
        <f>""</f>
        <v/>
      </c>
      <c r="G636" t="str">
        <f t="shared" si="248"/>
        <v>_ТС (CAB_TS)</v>
      </c>
      <c r="H636" t="str">
        <f t="shared" si="249"/>
        <v>ТС</v>
      </c>
      <c r="I636" t="str">
        <f>"14.05.2013"</f>
        <v>14.05.2013</v>
      </c>
      <c r="J636" t="str">
        <f>""</f>
        <v/>
      </c>
      <c r="K636" t="str">
        <f>"КСК-00506725"</f>
        <v>КСК-00506725</v>
      </c>
      <c r="L636" t="str">
        <f>"МУП ""Курскэлектротранс"""</f>
        <v>МУП "Курскэлектротранс"</v>
      </c>
      <c r="M636" t="str">
        <f>"Да"</f>
        <v>Да</v>
      </c>
      <c r="N636" t="str">
        <f t="shared" si="246"/>
        <v>Да</v>
      </c>
      <c r="O636" t="str">
        <f>"[46/2375] ТОК1.5 Курск, Добролюбова, 22 а п.  - Т5.1"</f>
        <v>[46/2375] ТОК1.5 Курск, Добролюбова, 22 а п.  - Т5.1</v>
      </c>
      <c r="P636">
        <v>36.183490450000001</v>
      </c>
      <c r="Q636">
        <v>51.72831343</v>
      </c>
      <c r="R636" t="str">
        <f>""</f>
        <v/>
      </c>
    </row>
    <row r="637" spans="1:18" x14ac:dyDescent="0.25">
      <c r="A637">
        <v>907</v>
      </c>
      <c r="B637" t="str">
        <f t="shared" si="236"/>
        <v>Курск</v>
      </c>
      <c r="C637">
        <v>858740</v>
      </c>
      <c r="D637" t="str">
        <f>"Опора контактной сети"</f>
        <v>Опора контактной сети</v>
      </c>
      <c r="E637" t="str">
        <f>"08/479 (23)"</f>
        <v>08/479 (23)</v>
      </c>
      <c r="F637" t="str">
        <f>""</f>
        <v/>
      </c>
      <c r="G637" t="str">
        <f t="shared" si="248"/>
        <v>_ТС (CAB_TS)</v>
      </c>
      <c r="H637" t="str">
        <f t="shared" si="249"/>
        <v>ТС</v>
      </c>
      <c r="I637" t="str">
        <f>"14.05.2013"</f>
        <v>14.05.2013</v>
      </c>
      <c r="J637" t="str">
        <f>""</f>
        <v/>
      </c>
      <c r="K637" t="str">
        <f>"КСК-00506725"</f>
        <v>КСК-00506725</v>
      </c>
      <c r="L637" t="str">
        <f>"МУП ""Курскэлектротранс"""</f>
        <v>МУП "Курскэлектротранс"</v>
      </c>
      <c r="M637" t="str">
        <f>"Да"</f>
        <v>Да</v>
      </c>
      <c r="N637" t="str">
        <f t="shared" si="246"/>
        <v>Да</v>
      </c>
      <c r="O637" t="str">
        <f>"[46/2375] ТОК1.5 Курск, Добролюбова, 22 а п.  - Т5.1"</f>
        <v>[46/2375] ТОК1.5 Курск, Добролюбова, 22 а п.  - Т5.1</v>
      </c>
      <c r="P637">
        <v>36.183769400000003</v>
      </c>
      <c r="Q637">
        <v>51.727980119999998</v>
      </c>
      <c r="R637" t="str">
        <f>""</f>
        <v/>
      </c>
    </row>
    <row r="638" spans="1:18" x14ac:dyDescent="0.25">
      <c r="A638">
        <v>907</v>
      </c>
      <c r="B638" t="str">
        <f t="shared" si="236"/>
        <v>Курск</v>
      </c>
      <c r="C638">
        <v>858739</v>
      </c>
      <c r="D638" t="str">
        <f>"Опора контактной сети"</f>
        <v>Опора контактной сети</v>
      </c>
      <c r="E638" t="str">
        <f>"08/479 (22)"</f>
        <v>08/479 (22)</v>
      </c>
      <c r="F638" t="str">
        <f>""</f>
        <v/>
      </c>
      <c r="G638" t="str">
        <f t="shared" si="248"/>
        <v>_ТС (CAB_TS)</v>
      </c>
      <c r="H638" t="str">
        <f t="shared" si="249"/>
        <v>ТС</v>
      </c>
      <c r="I638" t="str">
        <f>"14.05.2013"</f>
        <v>14.05.2013</v>
      </c>
      <c r="J638" t="str">
        <f>""</f>
        <v/>
      </c>
      <c r="K638" t="str">
        <f>"КСК-00506725"</f>
        <v>КСК-00506725</v>
      </c>
      <c r="L638" t="str">
        <f>"МУП ""Курскэлектротранс"""</f>
        <v>МУП "Курскэлектротранс"</v>
      </c>
      <c r="M638" t="str">
        <f>"Да"</f>
        <v>Да</v>
      </c>
      <c r="N638" t="str">
        <f t="shared" si="246"/>
        <v>Да</v>
      </c>
      <c r="O638" t="str">
        <f>"[46/2375] ТОК1.5 Курск, Добролюбова, 22 а п.  - Т5.1"</f>
        <v>[46/2375] ТОК1.5 Курск, Добролюбова, 22 а п.  - Т5.1</v>
      </c>
      <c r="P638">
        <v>36.184072489999998</v>
      </c>
      <c r="Q638">
        <v>51.727676090000003</v>
      </c>
      <c r="R638" t="str">
        <f>""</f>
        <v/>
      </c>
    </row>
    <row r="639" spans="1:18" x14ac:dyDescent="0.25">
      <c r="A639">
        <v>907</v>
      </c>
      <c r="B639" t="str">
        <f t="shared" si="236"/>
        <v>Курск</v>
      </c>
      <c r="C639">
        <v>858738</v>
      </c>
      <c r="D639" t="str">
        <f>"Опора контактной сети"</f>
        <v>Опора контактной сети</v>
      </c>
      <c r="E639" t="str">
        <f>"08/479 (21)"</f>
        <v>08/479 (21)</v>
      </c>
      <c r="F639" t="str">
        <f>""</f>
        <v/>
      </c>
      <c r="G639" t="str">
        <f t="shared" si="248"/>
        <v>_ТС (CAB_TS)</v>
      </c>
      <c r="H639" t="str">
        <f t="shared" si="249"/>
        <v>ТС</v>
      </c>
      <c r="I639" t="str">
        <f>"14.05.2013"</f>
        <v>14.05.2013</v>
      </c>
      <c r="J639" t="str">
        <f>""</f>
        <v/>
      </c>
      <c r="K639" t="str">
        <f>"КСК-00506725"</f>
        <v>КСК-00506725</v>
      </c>
      <c r="L639" t="str">
        <f>"МУП ""Курскэлектротранс"""</f>
        <v>МУП "Курскэлектротранс"</v>
      </c>
      <c r="M639" t="str">
        <f>"Да"</f>
        <v>Да</v>
      </c>
      <c r="N639" t="str">
        <f t="shared" si="246"/>
        <v>Да</v>
      </c>
      <c r="O639" t="str">
        <f>"[46/2375] ТОК1.5 Курск, Добролюбова, 22 а п.  - Т5.1"</f>
        <v>[46/2375] ТОК1.5 Курск, Добролюбова, 22 а п.  - Т5.1</v>
      </c>
      <c r="P639">
        <v>36.184311209999997</v>
      </c>
      <c r="Q639">
        <v>51.727420240000001</v>
      </c>
      <c r="R639" t="str">
        <f>""</f>
        <v/>
      </c>
    </row>
    <row r="640" spans="1:18" x14ac:dyDescent="0.25">
      <c r="A640">
        <v>907</v>
      </c>
      <c r="B640" t="str">
        <f t="shared" si="236"/>
        <v>Курск</v>
      </c>
      <c r="C640">
        <v>999581</v>
      </c>
      <c r="D640" t="str">
        <f t="shared" ref="D640:D662" si="250">"Опора"</f>
        <v>Опора</v>
      </c>
      <c r="E640" t="str">
        <f t="shared" ref="E640:E661" si="251">"(Опора)"</f>
        <v>(Опора)</v>
      </c>
      <c r="F640" t="str">
        <f>""</f>
        <v/>
      </c>
      <c r="G640" t="str">
        <f t="shared" si="248"/>
        <v>_ТС (CAB_TS)</v>
      </c>
      <c r="H640" t="str">
        <f t="shared" si="249"/>
        <v>ТС</v>
      </c>
      <c r="I640" t="str">
        <f t="shared" ref="I640:I661" si="252">"18.10.2023"</f>
        <v>18.10.2023</v>
      </c>
      <c r="J640" t="str">
        <f>""</f>
        <v/>
      </c>
      <c r="K640" t="str">
        <f t="shared" ref="K640:K661" si="253">"Отсутствует"</f>
        <v>Отсутствует</v>
      </c>
      <c r="L640" t="str">
        <f t="shared" ref="L640:L662" si="254">"Комитет по управлению муниципальным имуществом города Курска"</f>
        <v>Комитет по управлению муниципальным имуществом города Курска</v>
      </c>
      <c r="M640" t="str">
        <f t="shared" ref="M640:N661" si="255">"Неизвестно"</f>
        <v>Неизвестно</v>
      </c>
      <c r="N640" t="str">
        <f t="shared" si="255"/>
        <v>Неизвестно</v>
      </c>
      <c r="O640" t="str">
        <f t="shared" ref="O640:O645" si="256">"[46/3007] М1.1.15 - ОК2а.1 ППК 1.1.1 Курск, Радищева, 5  п. 1"</f>
        <v>[46/3007] М1.1.15 - ОК2а.1 ППК 1.1.1 Курск, Радищева, 5  п. 1</v>
      </c>
      <c r="P640">
        <v>36.188042500000002</v>
      </c>
      <c r="Q640">
        <v>51.728230570000001</v>
      </c>
      <c r="R640" t="str">
        <f>""</f>
        <v/>
      </c>
    </row>
    <row r="641" spans="1:18" x14ac:dyDescent="0.25">
      <c r="A641">
        <v>907</v>
      </c>
      <c r="B641" t="str">
        <f t="shared" si="236"/>
        <v>Курск</v>
      </c>
      <c r="C641">
        <v>999579</v>
      </c>
      <c r="D641" t="str">
        <f t="shared" si="250"/>
        <v>Опора</v>
      </c>
      <c r="E641" t="str">
        <f t="shared" si="251"/>
        <v>(Опора)</v>
      </c>
      <c r="F641" t="str">
        <f>""</f>
        <v/>
      </c>
      <c r="G641" t="str">
        <f t="shared" si="248"/>
        <v>_ТС (CAB_TS)</v>
      </c>
      <c r="H641" t="str">
        <f t="shared" si="249"/>
        <v>ТС</v>
      </c>
      <c r="I641" t="str">
        <f t="shared" si="252"/>
        <v>18.10.2023</v>
      </c>
      <c r="J641" t="str">
        <f>""</f>
        <v/>
      </c>
      <c r="K641" t="str">
        <f t="shared" si="253"/>
        <v>Отсутствует</v>
      </c>
      <c r="L641" t="str">
        <f t="shared" si="254"/>
        <v>Комитет по управлению муниципальным имуществом города Курска</v>
      </c>
      <c r="M641" t="str">
        <f t="shared" si="255"/>
        <v>Неизвестно</v>
      </c>
      <c r="N641" t="str">
        <f t="shared" si="255"/>
        <v>Неизвестно</v>
      </c>
      <c r="O641" t="str">
        <f t="shared" si="256"/>
        <v>[46/3007] М1.1.15 - ОК2а.1 ППК 1.1.1 Курск, Радищева, 5  п. 1</v>
      </c>
      <c r="P641">
        <v>36.188782789999998</v>
      </c>
      <c r="Q641">
        <v>51.728496380000003</v>
      </c>
      <c r="R641" t="str">
        <f>""</f>
        <v/>
      </c>
    </row>
    <row r="642" spans="1:18" x14ac:dyDescent="0.25">
      <c r="A642">
        <v>907</v>
      </c>
      <c r="B642" t="str">
        <f t="shared" ref="B642:B668" si="257">"Курск"</f>
        <v>Курск</v>
      </c>
      <c r="C642">
        <v>999578</v>
      </c>
      <c r="D642" t="str">
        <f t="shared" si="250"/>
        <v>Опора</v>
      </c>
      <c r="E642" t="str">
        <f t="shared" si="251"/>
        <v>(Опора)</v>
      </c>
      <c r="F642" t="str">
        <f>""</f>
        <v/>
      </c>
      <c r="G642" t="str">
        <f t="shared" si="248"/>
        <v>_ТС (CAB_TS)</v>
      </c>
      <c r="H642" t="str">
        <f t="shared" si="249"/>
        <v>ТС</v>
      </c>
      <c r="I642" t="str">
        <f t="shared" si="252"/>
        <v>18.10.2023</v>
      </c>
      <c r="J642" t="str">
        <f>""</f>
        <v/>
      </c>
      <c r="K642" t="str">
        <f t="shared" si="253"/>
        <v>Отсутствует</v>
      </c>
      <c r="L642" t="str">
        <f t="shared" si="254"/>
        <v>Комитет по управлению муниципальным имуществом города Курска</v>
      </c>
      <c r="M642" t="str">
        <f t="shared" si="255"/>
        <v>Неизвестно</v>
      </c>
      <c r="N642" t="str">
        <f t="shared" si="255"/>
        <v>Неизвестно</v>
      </c>
      <c r="O642" t="str">
        <f t="shared" si="256"/>
        <v>[46/3007] М1.1.15 - ОК2а.1 ППК 1.1.1 Курск, Радищева, 5  п. 1</v>
      </c>
      <c r="P642">
        <v>36.189136840000003</v>
      </c>
      <c r="Q642">
        <v>51.728629290000001</v>
      </c>
      <c r="R642" t="str">
        <f>""</f>
        <v/>
      </c>
    </row>
    <row r="643" spans="1:18" x14ac:dyDescent="0.25">
      <c r="A643">
        <v>907</v>
      </c>
      <c r="B643" t="str">
        <f t="shared" si="257"/>
        <v>Курск</v>
      </c>
      <c r="C643">
        <v>999577</v>
      </c>
      <c r="D643" t="str">
        <f t="shared" si="250"/>
        <v>Опора</v>
      </c>
      <c r="E643" t="str">
        <f t="shared" si="251"/>
        <v>(Опора)</v>
      </c>
      <c r="F643" t="str">
        <f>""</f>
        <v/>
      </c>
      <c r="G643" t="str">
        <f t="shared" si="248"/>
        <v>_ТС (CAB_TS)</v>
      </c>
      <c r="H643" t="str">
        <f t="shared" si="249"/>
        <v>ТС</v>
      </c>
      <c r="I643" t="str">
        <f t="shared" si="252"/>
        <v>18.10.2023</v>
      </c>
      <c r="J643" t="str">
        <f>""</f>
        <v/>
      </c>
      <c r="K643" t="str">
        <f t="shared" si="253"/>
        <v>Отсутствует</v>
      </c>
      <c r="L643" t="str">
        <f t="shared" si="254"/>
        <v>Комитет по управлению муниципальным имуществом города Курска</v>
      </c>
      <c r="M643" t="str">
        <f t="shared" si="255"/>
        <v>Неизвестно</v>
      </c>
      <c r="N643" t="str">
        <f t="shared" si="255"/>
        <v>Неизвестно</v>
      </c>
      <c r="O643" t="str">
        <f t="shared" si="256"/>
        <v>[46/3007] М1.1.15 - ОК2а.1 ППК 1.1.1 Курск, Радищева, 5  п. 1</v>
      </c>
      <c r="P643">
        <v>36.18955527</v>
      </c>
      <c r="Q643">
        <v>51.728768840000001</v>
      </c>
      <c r="R643" t="str">
        <f>""</f>
        <v/>
      </c>
    </row>
    <row r="644" spans="1:18" x14ac:dyDescent="0.25">
      <c r="A644">
        <v>907</v>
      </c>
      <c r="B644" t="str">
        <f t="shared" si="257"/>
        <v>Курск</v>
      </c>
      <c r="C644">
        <v>999576</v>
      </c>
      <c r="D644" t="str">
        <f t="shared" si="250"/>
        <v>Опора</v>
      </c>
      <c r="E644" t="str">
        <f t="shared" si="251"/>
        <v>(Опора)</v>
      </c>
      <c r="F644" t="str">
        <f>""</f>
        <v/>
      </c>
      <c r="G644" t="str">
        <f t="shared" si="248"/>
        <v>_ТС (CAB_TS)</v>
      </c>
      <c r="H644" t="str">
        <f t="shared" si="249"/>
        <v>ТС</v>
      </c>
      <c r="I644" t="str">
        <f t="shared" si="252"/>
        <v>18.10.2023</v>
      </c>
      <c r="J644" t="str">
        <f>""</f>
        <v/>
      </c>
      <c r="K644" t="str">
        <f t="shared" si="253"/>
        <v>Отсутствует</v>
      </c>
      <c r="L644" t="str">
        <f t="shared" si="254"/>
        <v>Комитет по управлению муниципальным имуществом города Курска</v>
      </c>
      <c r="M644" t="str">
        <f t="shared" si="255"/>
        <v>Неизвестно</v>
      </c>
      <c r="N644" t="str">
        <f t="shared" si="255"/>
        <v>Неизвестно</v>
      </c>
      <c r="O644" t="str">
        <f t="shared" si="256"/>
        <v>[46/3007] М1.1.15 - ОК2а.1 ППК 1.1.1 Курск, Радищева, 5  п. 1</v>
      </c>
      <c r="P644">
        <v>36.189887859999999</v>
      </c>
      <c r="Q644">
        <v>51.728885130000002</v>
      </c>
      <c r="R644" t="str">
        <f>""</f>
        <v/>
      </c>
    </row>
    <row r="645" spans="1:18" x14ac:dyDescent="0.25">
      <c r="A645">
        <v>907</v>
      </c>
      <c r="B645" t="str">
        <f t="shared" si="257"/>
        <v>Курск</v>
      </c>
      <c r="C645">
        <v>999575</v>
      </c>
      <c r="D645" t="str">
        <f t="shared" si="250"/>
        <v>Опора</v>
      </c>
      <c r="E645" t="str">
        <f t="shared" si="251"/>
        <v>(Опора)</v>
      </c>
      <c r="F645" t="str">
        <f>""</f>
        <v/>
      </c>
      <c r="G645" t="str">
        <f t="shared" si="248"/>
        <v>_ТС (CAB_TS)</v>
      </c>
      <c r="H645" t="str">
        <f t="shared" si="249"/>
        <v>ТС</v>
      </c>
      <c r="I645" t="str">
        <f t="shared" si="252"/>
        <v>18.10.2023</v>
      </c>
      <c r="J645" t="str">
        <f>""</f>
        <v/>
      </c>
      <c r="K645" t="str">
        <f t="shared" si="253"/>
        <v>Отсутствует</v>
      </c>
      <c r="L645" t="str">
        <f t="shared" si="254"/>
        <v>Комитет по управлению муниципальным имуществом города Курска</v>
      </c>
      <c r="M645" t="str">
        <f t="shared" si="255"/>
        <v>Неизвестно</v>
      </c>
      <c r="N645" t="str">
        <f t="shared" si="255"/>
        <v>Неизвестно</v>
      </c>
      <c r="O645" t="str">
        <f t="shared" si="256"/>
        <v>[46/3007] М1.1.15 - ОК2а.1 ППК 1.1.1 Курск, Радищева, 5  п. 1</v>
      </c>
      <c r="P645">
        <v>36.190166810000001</v>
      </c>
      <c r="Q645">
        <v>51.728981490000002</v>
      </c>
      <c r="R645" t="str">
        <f>""</f>
        <v/>
      </c>
    </row>
    <row r="646" spans="1:18" x14ac:dyDescent="0.25">
      <c r="A646">
        <v>907</v>
      </c>
      <c r="B646" t="str">
        <f t="shared" si="257"/>
        <v>Курск</v>
      </c>
      <c r="C646">
        <v>999558</v>
      </c>
      <c r="D646" t="str">
        <f t="shared" si="250"/>
        <v>Опора</v>
      </c>
      <c r="E646" t="str">
        <f t="shared" si="251"/>
        <v>(Опора)</v>
      </c>
      <c r="F646" t="str">
        <f>""</f>
        <v/>
      </c>
      <c r="G646" t="str">
        <f t="shared" si="248"/>
        <v>_ТС (CAB_TS)</v>
      </c>
      <c r="H646" t="str">
        <f t="shared" si="249"/>
        <v>ТС</v>
      </c>
      <c r="I646" t="str">
        <f t="shared" si="252"/>
        <v>18.10.2023</v>
      </c>
      <c r="J646" t="str">
        <f>""</f>
        <v/>
      </c>
      <c r="K646" t="str">
        <f t="shared" si="253"/>
        <v>Отсутствует</v>
      </c>
      <c r="L646" t="str">
        <f t="shared" si="254"/>
        <v>Комитет по управлению муниципальным имуществом города Курска</v>
      </c>
      <c r="M646" t="str">
        <f t="shared" si="255"/>
        <v>Неизвестно</v>
      </c>
      <c r="N646" t="str">
        <f t="shared" si="255"/>
        <v>Неизвестно</v>
      </c>
      <c r="O646" t="str">
        <f>"[46/2375] ТОК1.5 Курск, Добролюбова, 22 а п.  - Т5.1"</f>
        <v>[46/2375] ТОК1.5 Курск, Добролюбова, 22 а п.  - Т5.1</v>
      </c>
      <c r="P646">
        <v>36.183918599999998</v>
      </c>
      <c r="Q646">
        <v>51.72674447</v>
      </c>
      <c r="R646" t="str">
        <f>""</f>
        <v/>
      </c>
    </row>
    <row r="647" spans="1:18" x14ac:dyDescent="0.25">
      <c r="A647">
        <v>907</v>
      </c>
      <c r="B647" t="str">
        <f t="shared" si="257"/>
        <v>Курск</v>
      </c>
      <c r="C647">
        <v>999557</v>
      </c>
      <c r="D647" t="str">
        <f t="shared" si="250"/>
        <v>Опора</v>
      </c>
      <c r="E647" t="str">
        <f t="shared" si="251"/>
        <v>(Опора)</v>
      </c>
      <c r="F647" t="str">
        <f>""</f>
        <v/>
      </c>
      <c r="G647" t="str">
        <f t="shared" si="248"/>
        <v>_ТС (CAB_TS)</v>
      </c>
      <c r="H647" t="str">
        <f t="shared" si="249"/>
        <v>ТС</v>
      </c>
      <c r="I647" t="str">
        <f t="shared" si="252"/>
        <v>18.10.2023</v>
      </c>
      <c r="J647" t="str">
        <f>""</f>
        <v/>
      </c>
      <c r="K647" t="str">
        <f t="shared" si="253"/>
        <v>Отсутствует</v>
      </c>
      <c r="L647" t="str">
        <f t="shared" si="254"/>
        <v>Комитет по управлению муниципальным имуществом города Курска</v>
      </c>
      <c r="M647" t="str">
        <f t="shared" si="255"/>
        <v>Неизвестно</v>
      </c>
      <c r="N647" t="str">
        <f t="shared" si="255"/>
        <v>Неизвестно</v>
      </c>
      <c r="O647" t="str">
        <f>"[46/2375] ТОК1.5 Курск, Добролюбова, 22 а п.  - Т5.1"</f>
        <v>[46/2375] ТОК1.5 Курск, Добролюбова, 22 а п.  - Т5.1</v>
      </c>
      <c r="P647">
        <v>36.184000750000003</v>
      </c>
      <c r="Q647">
        <v>51.726656630000001</v>
      </c>
      <c r="R647" t="str">
        <f>""</f>
        <v/>
      </c>
    </row>
    <row r="648" spans="1:18" x14ac:dyDescent="0.25">
      <c r="A648">
        <v>907</v>
      </c>
      <c r="B648" t="str">
        <f t="shared" si="257"/>
        <v>Курск</v>
      </c>
      <c r="C648">
        <v>999553</v>
      </c>
      <c r="D648" t="str">
        <f t="shared" si="250"/>
        <v>Опора</v>
      </c>
      <c r="E648" t="str">
        <f t="shared" si="251"/>
        <v>(Опора)</v>
      </c>
      <c r="F648" t="str">
        <f>""</f>
        <v/>
      </c>
      <c r="G648" t="str">
        <f t="shared" si="248"/>
        <v>_ТС (CAB_TS)</v>
      </c>
      <c r="H648" t="str">
        <f t="shared" si="249"/>
        <v>ТС</v>
      </c>
      <c r="I648" t="str">
        <f t="shared" si="252"/>
        <v>18.10.2023</v>
      </c>
      <c r="J648" t="str">
        <f>""</f>
        <v/>
      </c>
      <c r="K648" t="str">
        <f t="shared" si="253"/>
        <v>Отсутствует</v>
      </c>
      <c r="L648" t="str">
        <f t="shared" si="254"/>
        <v>Комитет по управлению муниципальным имуществом города Курска</v>
      </c>
      <c r="M648" t="str">
        <f t="shared" si="255"/>
        <v>Неизвестно</v>
      </c>
      <c r="N648" t="str">
        <f t="shared" si="255"/>
        <v>Неизвестно</v>
      </c>
      <c r="O648" t="str">
        <f>"[46/2905] Т 1.3 - ОК1.1.5-2.1 ППК1.1.5 Курск, Дзержинского, 99 а п. 1"</f>
        <v>[46/2905] Т 1.3 - ОК1.1.5-2.1 ППК1.1.5 Курск, Дзержинского, 99 а п. 1</v>
      </c>
      <c r="P648">
        <v>36.166805103421098</v>
      </c>
      <c r="Q648">
        <v>51.7206843411116</v>
      </c>
      <c r="R648" t="str">
        <f>""</f>
        <v/>
      </c>
    </row>
    <row r="649" spans="1:18" x14ac:dyDescent="0.25">
      <c r="A649">
        <v>907</v>
      </c>
      <c r="B649" t="str">
        <f t="shared" si="257"/>
        <v>Курск</v>
      </c>
      <c r="C649">
        <v>999552</v>
      </c>
      <c r="D649" t="str">
        <f t="shared" si="250"/>
        <v>Опора</v>
      </c>
      <c r="E649" t="str">
        <f t="shared" si="251"/>
        <v>(Опора)</v>
      </c>
      <c r="F649" t="str">
        <f>""</f>
        <v/>
      </c>
      <c r="G649" t="str">
        <f t="shared" si="248"/>
        <v>_ТС (CAB_TS)</v>
      </c>
      <c r="H649" t="str">
        <f t="shared" si="249"/>
        <v>ТС</v>
      </c>
      <c r="I649" t="str">
        <f t="shared" si="252"/>
        <v>18.10.2023</v>
      </c>
      <c r="J649" t="str">
        <f>""</f>
        <v/>
      </c>
      <c r="K649" t="str">
        <f t="shared" si="253"/>
        <v>Отсутствует</v>
      </c>
      <c r="L649" t="str">
        <f t="shared" si="254"/>
        <v>Комитет по управлению муниципальным имуществом города Курска</v>
      </c>
      <c r="M649" t="str">
        <f t="shared" si="255"/>
        <v>Неизвестно</v>
      </c>
      <c r="N649" t="str">
        <f t="shared" si="255"/>
        <v>Неизвестно</v>
      </c>
      <c r="O649" t="str">
        <f>"[46/2700] Т 1.10 - Т 1.11, [46/2699] Т 1.5 - Т 1.10"</f>
        <v>[46/2700] Т 1.10 - Т 1.11, [46/2699] Т 1.5 - Т 1.10</v>
      </c>
      <c r="P649">
        <v>36.164089369999999</v>
      </c>
      <c r="Q649">
        <v>51.719722249999997</v>
      </c>
      <c r="R649" t="str">
        <f>""</f>
        <v/>
      </c>
    </row>
    <row r="650" spans="1:18" x14ac:dyDescent="0.25">
      <c r="A650">
        <v>907</v>
      </c>
      <c r="B650" t="str">
        <f t="shared" si="257"/>
        <v>Курск</v>
      </c>
      <c r="C650">
        <v>999551</v>
      </c>
      <c r="D650" t="str">
        <f t="shared" si="250"/>
        <v>Опора</v>
      </c>
      <c r="E650" t="str">
        <f t="shared" si="251"/>
        <v>(Опора)</v>
      </c>
      <c r="F650" t="str">
        <f>""</f>
        <v/>
      </c>
      <c r="G650" t="str">
        <f t="shared" si="248"/>
        <v>_ТС (CAB_TS)</v>
      </c>
      <c r="H650" t="str">
        <f t="shared" si="249"/>
        <v>ТС</v>
      </c>
      <c r="I650" t="str">
        <f t="shared" si="252"/>
        <v>18.10.2023</v>
      </c>
      <c r="J650" t="str">
        <f>""</f>
        <v/>
      </c>
      <c r="K650" t="str">
        <f t="shared" si="253"/>
        <v>Отсутствует</v>
      </c>
      <c r="L650" t="str">
        <f t="shared" si="254"/>
        <v>Комитет по управлению муниципальным имуществом города Курска</v>
      </c>
      <c r="M650" t="str">
        <f t="shared" si="255"/>
        <v>Неизвестно</v>
      </c>
      <c r="N650" t="str">
        <f t="shared" si="255"/>
        <v>Неизвестно</v>
      </c>
      <c r="O650" t="str">
        <f>"[46/2700] Т 1.10 - Т 1.11, [46/2699] Т 1.5 - Т 1.10, [46/2698] Т 1.10 - Т 1.9"</f>
        <v>[46/2700] Т 1.10 - Т 1.11, [46/2699] Т 1.5 - Т 1.10, [46/2698] Т 1.10 - Т 1.9</v>
      </c>
      <c r="P650">
        <v>36.164617759999999</v>
      </c>
      <c r="Q650">
        <v>51.719814479999997</v>
      </c>
      <c r="R650" t="str">
        <f>""</f>
        <v/>
      </c>
    </row>
    <row r="651" spans="1:18" x14ac:dyDescent="0.25">
      <c r="A651">
        <v>907</v>
      </c>
      <c r="B651" t="str">
        <f t="shared" si="257"/>
        <v>Курск</v>
      </c>
      <c r="C651">
        <v>999538</v>
      </c>
      <c r="D651" t="str">
        <f t="shared" si="250"/>
        <v>Опора</v>
      </c>
      <c r="E651" t="str">
        <f t="shared" si="251"/>
        <v>(Опора)</v>
      </c>
      <c r="F651" t="str">
        <f>""</f>
        <v/>
      </c>
      <c r="G651" t="str">
        <f t="shared" si="248"/>
        <v>_ТС (CAB_TS)</v>
      </c>
      <c r="H651" t="str">
        <f t="shared" si="249"/>
        <v>ТС</v>
      </c>
      <c r="I651" t="str">
        <f t="shared" si="252"/>
        <v>18.10.2023</v>
      </c>
      <c r="J651" t="str">
        <f>""</f>
        <v/>
      </c>
      <c r="K651" t="str">
        <f t="shared" si="253"/>
        <v>Отсутствует</v>
      </c>
      <c r="L651" t="str">
        <f t="shared" si="254"/>
        <v>Комитет по управлению муниципальным имуществом города Курска</v>
      </c>
      <c r="M651" t="str">
        <f t="shared" si="255"/>
        <v>Неизвестно</v>
      </c>
      <c r="N651" t="str">
        <f t="shared" si="255"/>
        <v>Неизвестно</v>
      </c>
      <c r="O651" t="s">
        <v>2</v>
      </c>
      <c r="P651">
        <v>36.178291659999999</v>
      </c>
      <c r="Q651">
        <v>51.724610570000003</v>
      </c>
      <c r="R651" t="str">
        <f>""</f>
        <v/>
      </c>
    </row>
    <row r="652" spans="1:18" x14ac:dyDescent="0.25">
      <c r="A652">
        <v>907</v>
      </c>
      <c r="B652" t="str">
        <f t="shared" si="257"/>
        <v>Курск</v>
      </c>
      <c r="C652">
        <v>999537</v>
      </c>
      <c r="D652" t="str">
        <f t="shared" si="250"/>
        <v>Опора</v>
      </c>
      <c r="E652" t="str">
        <f t="shared" si="251"/>
        <v>(Опора)</v>
      </c>
      <c r="F652" t="str">
        <f>""</f>
        <v/>
      </c>
      <c r="G652" t="str">
        <f t="shared" si="248"/>
        <v>_ТС (CAB_TS)</v>
      </c>
      <c r="H652" t="str">
        <f t="shared" si="249"/>
        <v>ТС</v>
      </c>
      <c r="I652" t="str">
        <f t="shared" si="252"/>
        <v>18.10.2023</v>
      </c>
      <c r="J652" t="str">
        <f>""</f>
        <v/>
      </c>
      <c r="K652" t="str">
        <f t="shared" si="253"/>
        <v>Отсутствует</v>
      </c>
      <c r="L652" t="str">
        <f t="shared" si="254"/>
        <v>Комитет по управлению муниципальным имуществом города Курска</v>
      </c>
      <c r="M652" t="str">
        <f t="shared" si="255"/>
        <v>Неизвестно</v>
      </c>
      <c r="N652" t="str">
        <f t="shared" si="255"/>
        <v>Неизвестно</v>
      </c>
      <c r="O652" t="str">
        <f>"[46/2866] Т 1.2 - ОК1.5.3-3 ППК1.5.3 Курск, Дзержинского, 47 а п. 1"</f>
        <v>[46/2866] Т 1.2 - ОК1.5.3-3 ППК1.5.3 Курск, Дзержинского, 47 а п. 1</v>
      </c>
      <c r="P652">
        <v>36.179125829999997</v>
      </c>
      <c r="Q652">
        <v>51.725012649999996</v>
      </c>
      <c r="R652" t="str">
        <f>""</f>
        <v/>
      </c>
    </row>
    <row r="653" spans="1:18" x14ac:dyDescent="0.25">
      <c r="A653">
        <v>907</v>
      </c>
      <c r="B653" t="str">
        <f t="shared" si="257"/>
        <v>Курск</v>
      </c>
      <c r="C653">
        <v>999536</v>
      </c>
      <c r="D653" t="str">
        <f t="shared" si="250"/>
        <v>Опора</v>
      </c>
      <c r="E653" t="str">
        <f t="shared" si="251"/>
        <v>(Опора)</v>
      </c>
      <c r="F653" t="str">
        <f>""</f>
        <v/>
      </c>
      <c r="G653" t="str">
        <f t="shared" si="248"/>
        <v>_ТС (CAB_TS)</v>
      </c>
      <c r="H653" t="str">
        <f t="shared" si="249"/>
        <v>ТС</v>
      </c>
      <c r="I653" t="str">
        <f t="shared" si="252"/>
        <v>18.10.2023</v>
      </c>
      <c r="J653" t="str">
        <f>""</f>
        <v/>
      </c>
      <c r="K653" t="str">
        <f t="shared" si="253"/>
        <v>Отсутствует</v>
      </c>
      <c r="L653" t="str">
        <f t="shared" si="254"/>
        <v>Комитет по управлению муниципальным имуществом города Курска</v>
      </c>
      <c r="M653" t="str">
        <f t="shared" si="255"/>
        <v>Неизвестно</v>
      </c>
      <c r="N653" t="str">
        <f t="shared" si="255"/>
        <v>Неизвестно</v>
      </c>
      <c r="O653" t="str">
        <f>"[46/2866] Т 1.2 - ОК1.5.3-3 ППК1.5.3 Курск, Дзержинского, 47 а п. 1, [46/2565] Т 1.2 - ОК1.1.1-33 Курск, Дзержинского, 49  п. 1, [46/2807] Т 1.2 - ОК 1.1.1-82.1 ППК 1.1.1 Курск, Дзержинского, 47 а п. 1"</f>
        <v>[46/2866] Т 1.2 - ОК1.5.3-3 ППК1.5.3 Курск, Дзержинского, 47 а п. 1, [46/2565] Т 1.2 - ОК1.1.1-33 Курск, Дзержинского, 49  п. 1, [46/2807] Т 1.2 - ОК 1.1.1-82.1 ППК 1.1.1 Курск, Дзержинского, 47 а п. 1</v>
      </c>
      <c r="P653">
        <v>36.178736909999998</v>
      </c>
      <c r="Q653">
        <v>51.724875580000003</v>
      </c>
      <c r="R653" t="str">
        <f>""</f>
        <v/>
      </c>
    </row>
    <row r="654" spans="1:18" x14ac:dyDescent="0.25">
      <c r="A654">
        <v>907</v>
      </c>
      <c r="B654" t="str">
        <f t="shared" si="257"/>
        <v>Курск</v>
      </c>
      <c r="C654">
        <v>999535</v>
      </c>
      <c r="D654" t="str">
        <f t="shared" si="250"/>
        <v>Опора</v>
      </c>
      <c r="E654" t="str">
        <f t="shared" si="251"/>
        <v>(Опора)</v>
      </c>
      <c r="F654" t="str">
        <f>""</f>
        <v/>
      </c>
      <c r="G654" t="str">
        <f t="shared" si="248"/>
        <v>_ТС (CAB_TS)</v>
      </c>
      <c r="H654" t="str">
        <f t="shared" si="249"/>
        <v>ТС</v>
      </c>
      <c r="I654" t="str">
        <f t="shared" si="252"/>
        <v>18.10.2023</v>
      </c>
      <c r="J654" t="str">
        <f>""</f>
        <v/>
      </c>
      <c r="K654" t="str">
        <f t="shared" si="253"/>
        <v>Отсутствует</v>
      </c>
      <c r="L654" t="str">
        <f t="shared" si="254"/>
        <v>Комитет по управлению муниципальным имуществом города Курска</v>
      </c>
      <c r="M654" t="str">
        <f t="shared" si="255"/>
        <v>Неизвестно</v>
      </c>
      <c r="N654" t="str">
        <f t="shared" si="255"/>
        <v>Неизвестно</v>
      </c>
      <c r="O654" t="str">
        <f>"[46/2866] Т 1.2 - ОК1.5.3-3 ППК1.5.3 Курск, Дзержинского, 47 а п. 1, [46/859] Т 1.2 - Т 1.1, [46/2565] Т 1.2 - ОК1.1.1-33 Курск, Дзержинского, 49  п. 1, [46/2807] Т 1.2 - ОК 1.1.1-82.1 ППК 1.1.1 Курск, Дзержинского, 47 а п. 1"</f>
        <v>[46/2866] Т 1.2 - ОК1.5.3-3 ППК1.5.3 Курск, Дзержинского, 47 а п. 1, [46/859] Т 1.2 - Т 1.1, [46/2565] Т 1.2 - ОК1.1.1-33 Курск, Дзержинского, 49  п. 1, [46/2807] Т 1.2 - ОК 1.1.1-82.1 ППК 1.1.1 Курск, Дзержинского, 47 а п. 1</v>
      </c>
      <c r="P654">
        <v>36.178786529999996</v>
      </c>
      <c r="Q654">
        <v>51.724785859999997</v>
      </c>
      <c r="R654" t="str">
        <f>""</f>
        <v/>
      </c>
    </row>
    <row r="655" spans="1:18" x14ac:dyDescent="0.25">
      <c r="A655">
        <v>907</v>
      </c>
      <c r="B655" t="str">
        <f t="shared" si="257"/>
        <v>Курск</v>
      </c>
      <c r="C655">
        <v>999532</v>
      </c>
      <c r="D655" t="str">
        <f t="shared" si="250"/>
        <v>Опора</v>
      </c>
      <c r="E655" t="str">
        <f t="shared" si="251"/>
        <v>(Опора)</v>
      </c>
      <c r="F655" t="str">
        <f>""</f>
        <v/>
      </c>
      <c r="G655" t="str">
        <f t="shared" si="248"/>
        <v>_ТС (CAB_TS)</v>
      </c>
      <c r="H655" t="str">
        <f t="shared" si="249"/>
        <v>ТС</v>
      </c>
      <c r="I655" t="str">
        <f t="shared" si="252"/>
        <v>18.10.2023</v>
      </c>
      <c r="J655" t="str">
        <f>""</f>
        <v/>
      </c>
      <c r="K655" t="str">
        <f t="shared" si="253"/>
        <v>Отсутствует</v>
      </c>
      <c r="L655" t="str">
        <f t="shared" si="254"/>
        <v>Комитет по управлению муниципальным имуществом города Курска</v>
      </c>
      <c r="M655" t="str">
        <f t="shared" si="255"/>
        <v>Неизвестно</v>
      </c>
      <c r="N655" t="str">
        <f t="shared" si="255"/>
        <v>Неизвестно</v>
      </c>
      <c r="O655" t="str">
        <f>"[46/2628] Т 1.1 - ООО ТК ""ТАКТ"" Курск, Дзержинского, 41 а п. 1, [46/829] Т 1.15 - Т 1.1, [46/859] Т 1.2 - Т 1.1, [46/2498] Т 1.1 - OK1.1.1 - 22 ППК 1.1.1 Курск, Дзержинского, 58  п. 1"</f>
        <v>[46/2628] Т 1.1 - ООО ТК "ТАКТ" Курск, Дзержинского, 41 а п. 1, [46/829] Т 1.15 - Т 1.1, [46/859] Т 1.2 - Т 1.1, [46/2498] Т 1.1 - OK1.1.1 - 22 ППК 1.1.1 Курск, Дзержинского, 58  п. 1</v>
      </c>
      <c r="P655">
        <v>36.180080029999999</v>
      </c>
      <c r="Q655">
        <v>51.725245659999999</v>
      </c>
      <c r="R655" t="str">
        <f>""</f>
        <v/>
      </c>
    </row>
    <row r="656" spans="1:18" x14ac:dyDescent="0.25">
      <c r="A656">
        <v>907</v>
      </c>
      <c r="B656" t="str">
        <f t="shared" si="257"/>
        <v>Курск</v>
      </c>
      <c r="C656">
        <v>999531</v>
      </c>
      <c r="D656" t="str">
        <f t="shared" si="250"/>
        <v>Опора</v>
      </c>
      <c r="E656" t="str">
        <f t="shared" si="251"/>
        <v>(Опора)</v>
      </c>
      <c r="F656" t="str">
        <f>""</f>
        <v/>
      </c>
      <c r="G656" t="str">
        <f t="shared" si="248"/>
        <v>_ТС (CAB_TS)</v>
      </c>
      <c r="H656" t="str">
        <f t="shared" si="249"/>
        <v>ТС</v>
      </c>
      <c r="I656" t="str">
        <f t="shared" si="252"/>
        <v>18.10.2023</v>
      </c>
      <c r="J656" t="str">
        <f>""</f>
        <v/>
      </c>
      <c r="K656" t="str">
        <f t="shared" si="253"/>
        <v>Отсутствует</v>
      </c>
      <c r="L656" t="str">
        <f t="shared" si="254"/>
        <v>Комитет по управлению муниципальным имуществом города Курска</v>
      </c>
      <c r="M656" t="str">
        <f t="shared" si="255"/>
        <v>Неизвестно</v>
      </c>
      <c r="N656" t="str">
        <f t="shared" si="255"/>
        <v>Неизвестно</v>
      </c>
      <c r="O656" t="str">
        <f>"[46/2628] Т 1.1 - ООО ТК ""ТАКТ"" Курск, Дзержинского, 41 а п. 1"</f>
        <v>[46/2628] Т 1.1 - ООО ТК "ТАКТ" Курск, Дзержинского, 41 а п. 1</v>
      </c>
      <c r="P656">
        <v>36.180574893951402</v>
      </c>
      <c r="Q656">
        <v>51.725525618139798</v>
      </c>
      <c r="R656" t="str">
        <f>""</f>
        <v/>
      </c>
    </row>
    <row r="657" spans="1:18" x14ac:dyDescent="0.25">
      <c r="A657">
        <v>907</v>
      </c>
      <c r="B657" t="str">
        <f t="shared" si="257"/>
        <v>Курск</v>
      </c>
      <c r="C657">
        <v>999530</v>
      </c>
      <c r="D657" t="str">
        <f t="shared" si="250"/>
        <v>Опора</v>
      </c>
      <c r="E657" t="str">
        <f t="shared" si="251"/>
        <v>(Опора)</v>
      </c>
      <c r="F657" t="str">
        <f>""</f>
        <v/>
      </c>
      <c r="G657" t="str">
        <f t="shared" si="248"/>
        <v>_ТС (CAB_TS)</v>
      </c>
      <c r="H657" t="str">
        <f t="shared" si="249"/>
        <v>ТС</v>
      </c>
      <c r="I657" t="str">
        <f t="shared" si="252"/>
        <v>18.10.2023</v>
      </c>
      <c r="J657" t="str">
        <f>""</f>
        <v/>
      </c>
      <c r="K657" t="str">
        <f t="shared" si="253"/>
        <v>Отсутствует</v>
      </c>
      <c r="L657" t="str">
        <f t="shared" si="254"/>
        <v>Комитет по управлению муниципальным имуществом города Курска</v>
      </c>
      <c r="M657" t="str">
        <f t="shared" si="255"/>
        <v>Неизвестно</v>
      </c>
      <c r="N657" t="str">
        <f t="shared" si="255"/>
        <v>Неизвестно</v>
      </c>
      <c r="O657" t="str">
        <f>"[46/2628] Т 1.1 - ООО ТК ""ТАКТ"" Курск, Дзержинского, 41 а п. 1, [46/829] Т 1.15 - Т 1.1, [46/2498] Т 1.1 - OK1.1.1 - 22 ППК 1.1.1 Курск, Дзержинского, 58  п. 1"</f>
        <v>[46/2628] Т 1.1 - ООО ТК "ТАКТ" Курск, Дзержинского, 41 а п. 1, [46/829] Т 1.15 - Т 1.1, [46/2498] Т 1.1 - OK1.1.1 - 22 ППК 1.1.1 Курск, Дзержинского, 58  п. 1</v>
      </c>
      <c r="P657">
        <v>36.180643289999999</v>
      </c>
      <c r="Q657">
        <v>51.725452509999997</v>
      </c>
      <c r="R657" t="str">
        <f>""</f>
        <v/>
      </c>
    </row>
    <row r="658" spans="1:18" x14ac:dyDescent="0.25">
      <c r="A658">
        <v>907</v>
      </c>
      <c r="B658" t="str">
        <f t="shared" si="257"/>
        <v>Курск</v>
      </c>
      <c r="C658">
        <v>999529</v>
      </c>
      <c r="D658" t="str">
        <f t="shared" si="250"/>
        <v>Опора</v>
      </c>
      <c r="E658" t="str">
        <f t="shared" si="251"/>
        <v>(Опора)</v>
      </c>
      <c r="F658" t="str">
        <f>""</f>
        <v/>
      </c>
      <c r="G658" t="str">
        <f t="shared" si="248"/>
        <v>_ТС (CAB_TS)</v>
      </c>
      <c r="H658" t="str">
        <f t="shared" si="249"/>
        <v>ТС</v>
      </c>
      <c r="I658" t="str">
        <f t="shared" si="252"/>
        <v>18.10.2023</v>
      </c>
      <c r="J658" t="str">
        <f>""</f>
        <v/>
      </c>
      <c r="K658" t="str">
        <f t="shared" si="253"/>
        <v>Отсутствует</v>
      </c>
      <c r="L658" t="str">
        <f t="shared" si="254"/>
        <v>Комитет по управлению муниципальным имуществом города Курска</v>
      </c>
      <c r="M658" t="str">
        <f t="shared" si="255"/>
        <v>Неизвестно</v>
      </c>
      <c r="N658" t="str">
        <f t="shared" si="255"/>
        <v>Неизвестно</v>
      </c>
      <c r="O658" t="str">
        <f>"[46/2498] Т 1.1 - OK1.1.1 - 22 ППК 1.1.1 Курск, Дзержинского, 58  п. 1, [46/829] Т 1.15 - Т 1.1"</f>
        <v>[46/2498] Т 1.1 - OK1.1.1 - 22 ППК 1.1.1 Курск, Дзержинского, 58  п. 1, [46/829] Т 1.15 - Т 1.1</v>
      </c>
      <c r="P658">
        <v>36.181174370000001</v>
      </c>
      <c r="Q658">
        <v>51.725650229999999</v>
      </c>
      <c r="R658" t="str">
        <f>""</f>
        <v/>
      </c>
    </row>
    <row r="659" spans="1:18" x14ac:dyDescent="0.25">
      <c r="A659">
        <v>907</v>
      </c>
      <c r="B659" t="str">
        <f t="shared" si="257"/>
        <v>Курск</v>
      </c>
      <c r="C659">
        <v>999528</v>
      </c>
      <c r="D659" t="str">
        <f t="shared" si="250"/>
        <v>Опора</v>
      </c>
      <c r="E659" t="str">
        <f t="shared" si="251"/>
        <v>(Опора)</v>
      </c>
      <c r="F659" t="str">
        <f>""</f>
        <v/>
      </c>
      <c r="G659" t="str">
        <f t="shared" si="248"/>
        <v>_ТС (CAB_TS)</v>
      </c>
      <c r="H659" t="str">
        <f t="shared" si="249"/>
        <v>ТС</v>
      </c>
      <c r="I659" t="str">
        <f t="shared" si="252"/>
        <v>18.10.2023</v>
      </c>
      <c r="J659" t="str">
        <f>""</f>
        <v/>
      </c>
      <c r="K659" t="str">
        <f t="shared" si="253"/>
        <v>Отсутствует</v>
      </c>
      <c r="L659" t="str">
        <f t="shared" si="254"/>
        <v>Комитет по управлению муниципальным имуществом города Курска</v>
      </c>
      <c r="M659" t="str">
        <f t="shared" si="255"/>
        <v>Неизвестно</v>
      </c>
      <c r="N659" t="str">
        <f t="shared" si="255"/>
        <v>Неизвестно</v>
      </c>
      <c r="O659" t="str">
        <f>"[46/2548] ОК1.1.1 - 22_ ППК1.1.1 Курск, Дзержинского, 58  п. 1 - ОК1.1.1-32 ППК1.1.1 Курск, Дзержинского, 54  п. 1, [46/829] Т 1.15 - Т 1.1, [46/2498] Т 1.1 - OK1.1.1 - 22 ППК 1.1.1 Курск, Дзержинского, 58  п. 1"</f>
        <v>[46/2548] ОК1.1.1 - 22_ ППК1.1.1 Курск, Дзержинского, 58  п. 1 - ОК1.1.1-32 ППК1.1.1 Курск, Дзержинского, 54  п. 1, [46/829] Т 1.15 - Т 1.1, [46/2498] Т 1.1 - OK1.1.1 - 22 ППК 1.1.1 Курск, Дзержинского, 58  п. 1</v>
      </c>
      <c r="P659">
        <v>36.181726900000001</v>
      </c>
      <c r="Q659">
        <v>51.725847940000001</v>
      </c>
      <c r="R659" t="str">
        <f>""</f>
        <v/>
      </c>
    </row>
    <row r="660" spans="1:18" x14ac:dyDescent="0.25">
      <c r="A660">
        <v>907</v>
      </c>
      <c r="B660" t="str">
        <f t="shared" si="257"/>
        <v>Курск</v>
      </c>
      <c r="C660">
        <v>999527</v>
      </c>
      <c r="D660" t="str">
        <f t="shared" si="250"/>
        <v>Опора</v>
      </c>
      <c r="E660" t="str">
        <f t="shared" si="251"/>
        <v>(Опора)</v>
      </c>
      <c r="F660" t="str">
        <f>""</f>
        <v/>
      </c>
      <c r="G660" t="str">
        <f t="shared" si="248"/>
        <v>_ТС (CAB_TS)</v>
      </c>
      <c r="H660" t="str">
        <f t="shared" si="249"/>
        <v>ТС</v>
      </c>
      <c r="I660" t="str">
        <f t="shared" si="252"/>
        <v>18.10.2023</v>
      </c>
      <c r="J660" t="str">
        <f>""</f>
        <v/>
      </c>
      <c r="K660" t="str">
        <f t="shared" si="253"/>
        <v>Отсутствует</v>
      </c>
      <c r="L660" t="str">
        <f t="shared" si="254"/>
        <v>Комитет по управлению муниципальным имуществом города Курска</v>
      </c>
      <c r="M660" t="str">
        <f t="shared" si="255"/>
        <v>Неизвестно</v>
      </c>
      <c r="N660" t="str">
        <f t="shared" si="255"/>
        <v>Неизвестно</v>
      </c>
      <c r="O660" t="str">
        <f>"[46/2548] ОК1.1.1 - 22_ ППК1.1.1 Курск, Дзержинского, 58  п. 1 - ОК1.1.1-32 ППК1.1.1 Курск, Дзержинского, 54  п. 1, [46/4549] ТОК1.1 Курск, Добролюбова, 22 а п.  - Т 1.15, [46/829] Т 1.15 - Т 1.1"</f>
        <v>[46/2548] ОК1.1.1 - 22_ ППК1.1.1 Курск, Дзержинского, 58  п. 1 - ОК1.1.1-32 ППК1.1.1 Курск, Дзержинского, 54  п. 1, [46/4549] ТОК1.1 Курск, Добролюбова, 22 а п.  - Т 1.15, [46/829] Т 1.15 - Т 1.1</v>
      </c>
      <c r="P660">
        <v>36.182177510000002</v>
      </c>
      <c r="Q660">
        <v>51.726017400000003</v>
      </c>
      <c r="R660" t="str">
        <f>""</f>
        <v/>
      </c>
    </row>
    <row r="661" spans="1:18" x14ac:dyDescent="0.25">
      <c r="A661">
        <v>907</v>
      </c>
      <c r="B661" t="str">
        <f t="shared" si="257"/>
        <v>Курск</v>
      </c>
      <c r="C661">
        <v>999526</v>
      </c>
      <c r="D661" t="str">
        <f t="shared" si="250"/>
        <v>Опора</v>
      </c>
      <c r="E661" t="str">
        <f t="shared" si="251"/>
        <v>(Опора)</v>
      </c>
      <c r="F661" t="str">
        <f>""</f>
        <v/>
      </c>
      <c r="G661" t="str">
        <f t="shared" si="248"/>
        <v>_ТС (CAB_TS)</v>
      </c>
      <c r="H661" t="str">
        <f t="shared" si="249"/>
        <v>ТС</v>
      </c>
      <c r="I661" t="str">
        <f t="shared" si="252"/>
        <v>18.10.2023</v>
      </c>
      <c r="J661" t="str">
        <f>""</f>
        <v/>
      </c>
      <c r="K661" t="str">
        <f t="shared" si="253"/>
        <v>Отсутствует</v>
      </c>
      <c r="L661" t="str">
        <f t="shared" si="254"/>
        <v>Комитет по управлению муниципальным имуществом города Курска</v>
      </c>
      <c r="M661" t="str">
        <f t="shared" si="255"/>
        <v>Неизвестно</v>
      </c>
      <c r="N661" t="str">
        <f t="shared" si="255"/>
        <v>Неизвестно</v>
      </c>
      <c r="O661" t="str">
        <f>"[46/2548] ОК1.1.1 - 22_ ППК1.1.1 Курск, Дзержинского, 58  п. 1 - ОК1.1.1-32 ППК1.1.1 Курск, Дзержинского, 54  п. 1"</f>
        <v>[46/2548] ОК1.1.1 - 22_ ППК1.1.1 Курск, Дзержинского, 58  п. 1 - ОК1.1.1-32 ППК1.1.1 Курск, Дзержинского, 54  п. 1</v>
      </c>
      <c r="P661">
        <v>36.18262678</v>
      </c>
      <c r="Q661">
        <v>51.726176479999999</v>
      </c>
      <c r="R661" t="str">
        <f>""</f>
        <v/>
      </c>
    </row>
    <row r="662" spans="1:18" x14ac:dyDescent="0.25">
      <c r="A662">
        <v>907</v>
      </c>
      <c r="B662" t="str">
        <f t="shared" si="257"/>
        <v>Курск</v>
      </c>
      <c r="C662">
        <v>920109</v>
      </c>
      <c r="D662" t="str">
        <f t="shared" si="250"/>
        <v>Опора</v>
      </c>
      <c r="E662" t="str">
        <f>"КИ 111 (0108)"</f>
        <v>КИ 111 (0108)</v>
      </c>
      <c r="F662" t="str">
        <f>""</f>
        <v/>
      </c>
      <c r="G662" t="str">
        <f t="shared" si="248"/>
        <v>_ТС (CAB_TS)</v>
      </c>
      <c r="H662" t="str">
        <f t="shared" si="249"/>
        <v>ТС</v>
      </c>
      <c r="I662" t="str">
        <f>"21.12.2020"</f>
        <v>21.12.2020</v>
      </c>
      <c r="J662" t="str">
        <f>""</f>
        <v/>
      </c>
      <c r="K662" t="str">
        <f>"АКТ №4654"</f>
        <v>АКТ №4654</v>
      </c>
      <c r="L662" t="str">
        <f t="shared" si="254"/>
        <v>Комитет по управлению муниципальным имуществом города Курска</v>
      </c>
      <c r="M662" t="str">
        <f t="shared" ref="M662:M668" si="258">"Неизвестно"</f>
        <v>Неизвестно</v>
      </c>
      <c r="N662" t="str">
        <f t="shared" ref="N662:N668" si="259">"Да"</f>
        <v>Да</v>
      </c>
      <c r="O662" t="str">
        <f>"[46/3167] Т 6.2 - Т 6.9"</f>
        <v>[46/3167] Т 6.2 - Т 6.9</v>
      </c>
      <c r="P662">
        <v>36.209203119999998</v>
      </c>
      <c r="Q662">
        <v>51.72130404</v>
      </c>
      <c r="R662" t="str">
        <f>"20000006262886"</f>
        <v>20000006262886</v>
      </c>
    </row>
    <row r="663" spans="1:18" x14ac:dyDescent="0.25">
      <c r="A663">
        <v>907</v>
      </c>
      <c r="B663" t="str">
        <f t="shared" si="257"/>
        <v>Курск</v>
      </c>
      <c r="C663">
        <v>922047</v>
      </c>
      <c r="D663" t="str">
        <f t="shared" ref="D663:D668" si="260">"Опора контактной сети"</f>
        <v>Опора контактной сети</v>
      </c>
      <c r="E663" t="str">
        <f t="shared" ref="E663:E668" si="261">"(Опора контактной сети)"</f>
        <v>(Опора контактной сети)</v>
      </c>
      <c r="F663" t="str">
        <f>""</f>
        <v/>
      </c>
      <c r="G663" t="str">
        <f t="shared" si="248"/>
        <v>_ТС (CAB_TS)</v>
      </c>
      <c r="H663" t="str">
        <f t="shared" si="249"/>
        <v>ТС</v>
      </c>
      <c r="I663" t="str">
        <f t="shared" ref="I663:I668" si="262">"11.03.2021"</f>
        <v>11.03.2021</v>
      </c>
      <c r="J663" t="str">
        <f>""</f>
        <v/>
      </c>
      <c r="K663" t="str">
        <f t="shared" ref="K663:K668" si="263">"КСК-00506725"</f>
        <v>КСК-00506725</v>
      </c>
      <c r="L663" t="str">
        <f t="shared" ref="L663:L668" si="264">"МУП ""Курскэлектротранс"""</f>
        <v>МУП "Курскэлектротранс"</v>
      </c>
      <c r="M663" t="str">
        <f t="shared" si="258"/>
        <v>Неизвестно</v>
      </c>
      <c r="N663" t="str">
        <f t="shared" si="259"/>
        <v>Да</v>
      </c>
      <c r="O663" t="str">
        <f t="shared" ref="O663:O668" si="265">"[46/3171] Т 6.1 - Т 6.2"</f>
        <v>[46/3171] Т 6.1 - Т 6.2</v>
      </c>
      <c r="P663">
        <v>36.200584849999998</v>
      </c>
      <c r="Q663">
        <v>51.717212600000003</v>
      </c>
      <c r="R663" t="str">
        <f>""</f>
        <v/>
      </c>
    </row>
    <row r="664" spans="1:18" x14ac:dyDescent="0.25">
      <c r="A664">
        <v>907</v>
      </c>
      <c r="B664" t="str">
        <f t="shared" si="257"/>
        <v>Курск</v>
      </c>
      <c r="C664">
        <v>922046</v>
      </c>
      <c r="D664" t="str">
        <f t="shared" si="260"/>
        <v>Опора контактной сети</v>
      </c>
      <c r="E664" t="str">
        <f t="shared" si="261"/>
        <v>(Опора контактной сети)</v>
      </c>
      <c r="F664" t="str">
        <f>""</f>
        <v/>
      </c>
      <c r="G664" t="str">
        <f t="shared" si="248"/>
        <v>_ТС (CAB_TS)</v>
      </c>
      <c r="H664" t="str">
        <f t="shared" si="249"/>
        <v>ТС</v>
      </c>
      <c r="I664" t="str">
        <f t="shared" si="262"/>
        <v>11.03.2021</v>
      </c>
      <c r="J664" t="str">
        <f>""</f>
        <v/>
      </c>
      <c r="K664" t="str">
        <f t="shared" si="263"/>
        <v>КСК-00506725</v>
      </c>
      <c r="L664" t="str">
        <f t="shared" si="264"/>
        <v>МУП "Курскэлектротранс"</v>
      </c>
      <c r="M664" t="str">
        <f t="shared" si="258"/>
        <v>Неизвестно</v>
      </c>
      <c r="N664" t="str">
        <f t="shared" si="259"/>
        <v>Да</v>
      </c>
      <c r="O664" t="str">
        <f t="shared" si="265"/>
        <v>[46/3171] Т 6.1 - Т 6.2</v>
      </c>
      <c r="P664">
        <v>36.200214699999997</v>
      </c>
      <c r="Q664">
        <v>51.71735468</v>
      </c>
      <c r="R664" t="str">
        <f>""</f>
        <v/>
      </c>
    </row>
    <row r="665" spans="1:18" x14ac:dyDescent="0.25">
      <c r="A665">
        <v>907</v>
      </c>
      <c r="B665" t="str">
        <f t="shared" si="257"/>
        <v>Курск</v>
      </c>
      <c r="C665">
        <v>922045</v>
      </c>
      <c r="D665" t="str">
        <f t="shared" si="260"/>
        <v>Опора контактной сети</v>
      </c>
      <c r="E665" t="str">
        <f t="shared" si="261"/>
        <v>(Опора контактной сети)</v>
      </c>
      <c r="F665" t="str">
        <f>""</f>
        <v/>
      </c>
      <c r="G665" t="str">
        <f t="shared" si="248"/>
        <v>_ТС (CAB_TS)</v>
      </c>
      <c r="H665" t="str">
        <f t="shared" si="249"/>
        <v>ТС</v>
      </c>
      <c r="I665" t="str">
        <f t="shared" si="262"/>
        <v>11.03.2021</v>
      </c>
      <c r="J665" t="str">
        <f>""</f>
        <v/>
      </c>
      <c r="K665" t="str">
        <f t="shared" si="263"/>
        <v>КСК-00506725</v>
      </c>
      <c r="L665" t="str">
        <f t="shared" si="264"/>
        <v>МУП "Курскэлектротранс"</v>
      </c>
      <c r="M665" t="str">
        <f t="shared" si="258"/>
        <v>Неизвестно</v>
      </c>
      <c r="N665" t="str">
        <f t="shared" si="259"/>
        <v>Да</v>
      </c>
      <c r="O665" t="str">
        <f t="shared" si="265"/>
        <v>[46/3171] Т 6.1 - Т 6.2</v>
      </c>
      <c r="P665">
        <v>36.199851260000003</v>
      </c>
      <c r="Q665">
        <v>51.717502580000001</v>
      </c>
      <c r="R665" t="str">
        <f>""</f>
        <v/>
      </c>
    </row>
    <row r="666" spans="1:18" x14ac:dyDescent="0.25">
      <c r="A666">
        <v>907</v>
      </c>
      <c r="B666" t="str">
        <f t="shared" si="257"/>
        <v>Курск</v>
      </c>
      <c r="C666">
        <v>922044</v>
      </c>
      <c r="D666" t="str">
        <f t="shared" si="260"/>
        <v>Опора контактной сети</v>
      </c>
      <c r="E666" t="str">
        <f t="shared" si="261"/>
        <v>(Опора контактной сети)</v>
      </c>
      <c r="F666" t="str">
        <f>""</f>
        <v/>
      </c>
      <c r="G666" t="str">
        <f t="shared" si="248"/>
        <v>_ТС (CAB_TS)</v>
      </c>
      <c r="H666" t="str">
        <f t="shared" si="249"/>
        <v>ТС</v>
      </c>
      <c r="I666" t="str">
        <f t="shared" si="262"/>
        <v>11.03.2021</v>
      </c>
      <c r="J666" t="str">
        <f>""</f>
        <v/>
      </c>
      <c r="K666" t="str">
        <f t="shared" si="263"/>
        <v>КСК-00506725</v>
      </c>
      <c r="L666" t="str">
        <f t="shared" si="264"/>
        <v>МУП "Курскэлектротранс"</v>
      </c>
      <c r="M666" t="str">
        <f t="shared" si="258"/>
        <v>Неизвестно</v>
      </c>
      <c r="N666" t="str">
        <f t="shared" si="259"/>
        <v>Да</v>
      </c>
      <c r="O666" t="str">
        <f t="shared" si="265"/>
        <v>[46/3171] Т 6.1 - Т 6.2</v>
      </c>
      <c r="P666">
        <v>36.199456980000001</v>
      </c>
      <c r="Q666">
        <v>51.71767706</v>
      </c>
      <c r="R666" t="str">
        <f>""</f>
        <v/>
      </c>
    </row>
    <row r="667" spans="1:18" x14ac:dyDescent="0.25">
      <c r="A667">
        <v>907</v>
      </c>
      <c r="B667" t="str">
        <f t="shared" si="257"/>
        <v>Курск</v>
      </c>
      <c r="C667">
        <v>922043</v>
      </c>
      <c r="D667" t="str">
        <f t="shared" si="260"/>
        <v>Опора контактной сети</v>
      </c>
      <c r="E667" t="str">
        <f t="shared" si="261"/>
        <v>(Опора контактной сети)</v>
      </c>
      <c r="F667" t="str">
        <f>""</f>
        <v/>
      </c>
      <c r="G667" t="str">
        <f t="shared" si="248"/>
        <v>_ТС (CAB_TS)</v>
      </c>
      <c r="H667" t="str">
        <f t="shared" si="249"/>
        <v>ТС</v>
      </c>
      <c r="I667" t="str">
        <f t="shared" si="262"/>
        <v>11.03.2021</v>
      </c>
      <c r="J667" t="str">
        <f>""</f>
        <v/>
      </c>
      <c r="K667" t="str">
        <f t="shared" si="263"/>
        <v>КСК-00506725</v>
      </c>
      <c r="L667" t="str">
        <f t="shared" si="264"/>
        <v>МУП "Курскэлектротранс"</v>
      </c>
      <c r="M667" t="str">
        <f t="shared" si="258"/>
        <v>Неизвестно</v>
      </c>
      <c r="N667" t="str">
        <f t="shared" si="259"/>
        <v>Да</v>
      </c>
      <c r="O667" t="str">
        <f t="shared" si="265"/>
        <v>[46/3171] Т 6.1 - Т 6.2</v>
      </c>
      <c r="P667">
        <v>36.199018440000003</v>
      </c>
      <c r="Q667">
        <v>51.717883110000002</v>
      </c>
      <c r="R667" t="str">
        <f>""</f>
        <v/>
      </c>
    </row>
    <row r="668" spans="1:18" x14ac:dyDescent="0.25">
      <c r="A668">
        <v>907</v>
      </c>
      <c r="B668" t="str">
        <f t="shared" si="257"/>
        <v>Курск</v>
      </c>
      <c r="C668">
        <v>922042</v>
      </c>
      <c r="D668" t="str">
        <f t="shared" si="260"/>
        <v>Опора контактной сети</v>
      </c>
      <c r="E668" t="str">
        <f t="shared" si="261"/>
        <v>(Опора контактной сети)</v>
      </c>
      <c r="F668" t="str">
        <f>""</f>
        <v/>
      </c>
      <c r="G668" t="str">
        <f t="shared" si="248"/>
        <v>_ТС (CAB_TS)</v>
      </c>
      <c r="H668" t="str">
        <f t="shared" si="249"/>
        <v>ТС</v>
      </c>
      <c r="I668" t="str">
        <f t="shared" si="262"/>
        <v>11.03.2021</v>
      </c>
      <c r="J668" t="str">
        <f>""</f>
        <v/>
      </c>
      <c r="K668" t="str">
        <f t="shared" si="263"/>
        <v>КСК-00506725</v>
      </c>
      <c r="L668" t="str">
        <f t="shared" si="264"/>
        <v>МУП "Курскэлектротранс"</v>
      </c>
      <c r="M668" t="str">
        <f t="shared" si="258"/>
        <v>Неизвестно</v>
      </c>
      <c r="N668" t="str">
        <f t="shared" si="259"/>
        <v>Да</v>
      </c>
      <c r="O668" t="str">
        <f t="shared" si="265"/>
        <v>[46/3171] Т 6.1 - Т 6.2</v>
      </c>
      <c r="P668">
        <v>36.198598670000003</v>
      </c>
      <c r="Q668">
        <v>51.718071719999998</v>
      </c>
      <c r="R668" t="str">
        <f>""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SQLT0697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Хомяков Андрей Владимирович</dc:creator>
  <cp:lastModifiedBy>Хомяков Андрей Владимирович</cp:lastModifiedBy>
  <dcterms:created xsi:type="dcterms:W3CDTF">2024-09-26T09:21:21Z</dcterms:created>
  <dcterms:modified xsi:type="dcterms:W3CDTF">2024-09-26T09:21:21Z</dcterms:modified>
</cp:coreProperties>
</file>