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5940" windowHeight="6912" tabRatio="894"/>
  </bookViews>
  <sheets>
    <sheet name="Valuation" sheetId="8" r:id="rId1"/>
    <sheet name="BS" sheetId="10" r:id="rId2"/>
    <sheet name="IS" sheetId="11" r:id="rId3"/>
    <sheet name="CF" sheetId="12" r:id="rId4"/>
    <sheet name="Beta" sheetId="15" r:id="rId5"/>
    <sheet name="Obligations" sheetId="14" r:id="rId6"/>
    <sheet name="DCF Growth Rates" sheetId="7" r:id="rId7"/>
    <sheet name="DCF" sheetId="13" r:id="rId8"/>
    <sheet name="Relative" sheetId="5" r:id="rId9"/>
    <sheet name="Historical" sheetId="6" r:id="rId10"/>
    <sheet name="DuPont" sheetId="4" r:id="rId11"/>
  </sheets>
  <definedNames>
    <definedName name="AS2DocOpenMode" hidden="1">"AS2DocumentEdit"</definedName>
    <definedName name="BalSheet" localSheetId="4" hidden="1">{"closed",#N/A,FALSE,"Consolidated Products - Budget";"expanded",#N/A,FALSE,"Consolidated Products - Budget"}</definedName>
    <definedName name="BalSheet" localSheetId="1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localSheetId="7" hidden="1">{"closed",#N/A,FALSE,"Consolidated Products - Budget";"expanded",#N/A,FALSE,"Consolidated Products - Budget"}</definedName>
    <definedName name="BalSheet" localSheetId="6" hidden="1">{"closed",#N/A,FALSE,"Consolidated Products - Budget";"expanded",#N/A,FALSE,"Consolidated Products - Budget"}</definedName>
    <definedName name="BalSheet" localSheetId="9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5" hidden="1">{"closed",#N/A,FALSE,"Consolidated Products - Budget";"expanded",#N/A,FALSE,"Consolidated Products - Budget"}</definedName>
    <definedName name="BalSheet" localSheetId="8" hidden="1">{"closed",#N/A,FALSE,"Consolidated Products - Budget";"expanded",#N/A,FALSE,"Consolidated Products - Budget"}</definedName>
    <definedName name="BalSheet" localSheetId="0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4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localSheetId="7" hidden="1">{"closed",#N/A,FALSE,"Consolidated Products - Budget";"expanded",#N/A,FALSE,"Consolidated Products - Budget"}</definedName>
    <definedName name="BS" localSheetId="6" hidden="1">{"closed",#N/A,FALSE,"Consolidated Products - Budget";"expanded",#N/A,FALSE,"Consolidated Products - Budget"}</definedName>
    <definedName name="BS" localSheetId="9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5" hidden="1">{"closed",#N/A,FALSE,"Consolidated Products - Budget";"expanded",#N/A,FALSE,"Consolidated Products - Budget"}</definedName>
    <definedName name="BS" localSheetId="8" hidden="1">{"closed",#N/A,FALSE,"Consolidated Products - Budget";"expanded",#N/A,FALSE,"Consolidated Products - Budget"}</definedName>
    <definedName name="BS" localSheetId="0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Cash" localSheetId="4" hidden="1">{"closed",#N/A,FALSE,"Consolidated Products - Budget";"expanded",#N/A,FALSE,"Consolidated Products - Budget"}</definedName>
    <definedName name="Cash" localSheetId="1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localSheetId="7" hidden="1">{"closed",#N/A,FALSE,"Consolidated Products - Budget";"expanded",#N/A,FALSE,"Consolidated Products - Budget"}</definedName>
    <definedName name="Cash" localSheetId="6" hidden="1">{"closed",#N/A,FALSE,"Consolidated Products - Budget";"expanded",#N/A,FALSE,"Consolidated Products - Budget"}</definedName>
    <definedName name="Cash" localSheetId="9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5" hidden="1">{"closed",#N/A,FALSE,"Consolidated Products - Budget";"expanded",#N/A,FALSE,"Consolidated Products - Budget"}</definedName>
    <definedName name="Cash" localSheetId="8" hidden="1">{"closed",#N/A,FALSE,"Consolidated Products - Budget";"expanded",#N/A,FALSE,"Consolidated Products - Budget"}</definedName>
    <definedName name="Cash" localSheetId="0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MBV" localSheetId="4" hidden="1">{"closed",#N/A,FALSE,"Consolidated Products - Budget";"expanded",#N/A,FALSE,"Consolidated Products - Budget"}</definedName>
    <definedName name="MBV" localSheetId="1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localSheetId="7" hidden="1">{"closed",#N/A,FALSE,"Consolidated Products - Budget";"expanded",#N/A,FALSE,"Consolidated Products - Budget"}</definedName>
    <definedName name="MBV" localSheetId="6" hidden="1">{"closed",#N/A,FALSE,"Consolidated Products - Budget";"expanded",#N/A,FALSE,"Consolidated Products - Budget"}</definedName>
    <definedName name="MBV" localSheetId="9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5" hidden="1">{"closed",#N/A,FALSE,"Consolidated Products - Budget";"expanded",#N/A,FALSE,"Consolidated Products - Budget"}</definedName>
    <definedName name="MBV" localSheetId="8" hidden="1">{"closed",#N/A,FALSE,"Consolidated Products - Budget";"expanded",#N/A,FALSE,"Consolidated Products - Budget"}</definedName>
    <definedName name="MBV" localSheetId="0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Pivot2" localSheetId="4" hidden="1">{"closed",#N/A,FALSE,"Consolidated Products - Budget";"expanded",#N/A,FALSE,"Consolidated Products - Budget"}</definedName>
    <definedName name="Pivot2" localSheetId="1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localSheetId="7" hidden="1">{"closed",#N/A,FALSE,"Consolidated Products - Budget";"expanded",#N/A,FALSE,"Consolidated Products - Budget"}</definedName>
    <definedName name="Pivot2" localSheetId="6" hidden="1">{"closed",#N/A,FALSE,"Consolidated Products - Budget";"expanded",#N/A,FALSE,"Consolidated Products - Budget"}</definedName>
    <definedName name="Pivot2" localSheetId="9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5" hidden="1">{"closed",#N/A,FALSE,"Consolidated Products - Budget";"expanded",#N/A,FALSE,"Consolidated Products - Budget"}</definedName>
    <definedName name="Pivot2" localSheetId="8" hidden="1">{"closed",#N/A,FALSE,"Consolidated Products - Budget";"expanded",#N/A,FALSE,"Consolidated Products - Budget"}</definedName>
    <definedName name="Pivot2" localSheetId="0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summary" localSheetId="4" hidden="1">{"closed",#N/A,FALSE,"Consolidated Products - Budget";"expanded",#N/A,FALSE,"Consolidated Products - Budget"}</definedName>
    <definedName name="summary" localSheetId="1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localSheetId="7" hidden="1">{"closed",#N/A,FALSE,"Consolidated Products - Budget";"expanded",#N/A,FALSE,"Consolidated Products - Budget"}</definedName>
    <definedName name="summary" localSheetId="6" hidden="1">{"closed",#N/A,FALSE,"Consolidated Products - Budget";"expanded",#N/A,FALSE,"Consolidated Products - Budget"}</definedName>
    <definedName name="summary" localSheetId="9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5" hidden="1">{"closed",#N/A,FALSE,"Consolidated Products - Budget";"expanded",#N/A,FALSE,"Consolidated Products - Budget"}</definedName>
    <definedName name="summary" localSheetId="8" hidden="1">{"closed",#N/A,FALSE,"Consolidated Products - Budget";"expanded",#N/A,FALSE,"Consolidated Products - Budget"}</definedName>
    <definedName name="summary" localSheetId="0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wrn.prodcon." localSheetId="4" hidden="1">{"closed",#N/A,FALSE,"Consolidated Products - Budget";"expanded",#N/A,FALSE,"Consolidated Products - Budget"}</definedName>
    <definedName name="wrn.prodcon." localSheetId="1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localSheetId="7" hidden="1">{"closed",#N/A,FALSE,"Consolidated Products - Budget";"expanded",#N/A,FALSE,"Consolidated Products - Budget"}</definedName>
    <definedName name="wrn.prodcon." localSheetId="6" hidden="1">{"closed",#N/A,FALSE,"Consolidated Products - Budget";"expanded",#N/A,FALSE,"Consolidated Products - Budget"}</definedName>
    <definedName name="wrn.prodcon." localSheetId="9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5" hidden="1">{"closed",#N/A,FALSE,"Consolidated Products - Budget";"expanded",#N/A,FALSE,"Consolidated Products - Budget"}</definedName>
    <definedName name="wrn.prodcon." localSheetId="8" hidden="1">{"closed",#N/A,FALSE,"Consolidated Products - Budget";"expanded",#N/A,FALSE,"Consolidated Products - Budget"}</definedName>
    <definedName name="wrn.prodcon." localSheetId="0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RangeCount" hidden="1">2</definedName>
  </definedNames>
  <calcPr calcId="144525"/>
</workbook>
</file>

<file path=xl/calcChain.xml><?xml version="1.0" encoding="utf-8"?>
<calcChain xmlns="http://schemas.openxmlformats.org/spreadsheetml/2006/main">
  <c r="V29" i="5" l="1"/>
  <c r="L28" i="13"/>
  <c r="M28" i="13"/>
  <c r="N28" i="13"/>
  <c r="J28" i="13"/>
  <c r="K28" i="13"/>
  <c r="C32" i="13"/>
  <c r="E24" i="13"/>
  <c r="G22" i="13"/>
  <c r="H22" i="13"/>
  <c r="I22" i="13"/>
  <c r="G15" i="13"/>
  <c r="H15" i="13"/>
  <c r="I15" i="13"/>
  <c r="E15" i="13"/>
  <c r="F15" i="13"/>
  <c r="D15" i="13"/>
  <c r="C15" i="13"/>
  <c r="D22" i="13"/>
  <c r="E22" i="13"/>
  <c r="F22" i="13"/>
  <c r="C22" i="13"/>
  <c r="G12" i="6" l="1"/>
  <c r="G11" i="6"/>
  <c r="H12" i="6"/>
  <c r="H11" i="6"/>
  <c r="F17" i="6"/>
  <c r="F16" i="6"/>
  <c r="E16" i="6"/>
  <c r="E17" i="6"/>
  <c r="F18" i="6"/>
  <c r="E18" i="6"/>
  <c r="D7" i="4" l="1"/>
  <c r="E7" i="4"/>
  <c r="F7" i="4"/>
  <c r="G7" i="4"/>
  <c r="D10" i="4"/>
  <c r="E10" i="4"/>
  <c r="F10" i="4"/>
  <c r="G10" i="4"/>
  <c r="D13" i="4"/>
  <c r="E13" i="4"/>
  <c r="F13" i="4"/>
  <c r="F15" i="4" s="1"/>
  <c r="G13" i="4"/>
  <c r="D14" i="4"/>
  <c r="E14" i="4"/>
  <c r="F14" i="4"/>
  <c r="G14" i="4"/>
  <c r="G15" i="4"/>
  <c r="C7" i="4"/>
  <c r="C10" i="4"/>
  <c r="C13" i="4"/>
  <c r="C14" i="4"/>
  <c r="Z16" i="5"/>
  <c r="Z15" i="5"/>
  <c r="Z11" i="5"/>
  <c r="N26" i="5"/>
  <c r="N22" i="5"/>
  <c r="N18" i="5"/>
  <c r="N14" i="5"/>
  <c r="N10" i="5"/>
  <c r="G10" i="15"/>
  <c r="D15" i="4" l="1"/>
  <c r="E15" i="4"/>
  <c r="G33" i="13" l="1"/>
  <c r="H33" i="13"/>
  <c r="I33" i="13"/>
  <c r="G25" i="13"/>
  <c r="H25" i="13"/>
  <c r="I25" i="13"/>
  <c r="G26" i="13"/>
  <c r="H26" i="13"/>
  <c r="I26" i="13"/>
  <c r="G27" i="13"/>
  <c r="H27" i="13"/>
  <c r="I27" i="13"/>
  <c r="G28" i="13"/>
  <c r="H28" i="13"/>
  <c r="I28" i="13"/>
  <c r="G23" i="13"/>
  <c r="H23" i="13"/>
  <c r="I23" i="13"/>
  <c r="J23" i="13" s="1"/>
  <c r="G18" i="13"/>
  <c r="H18" i="13"/>
  <c r="I18" i="13"/>
  <c r="G19" i="13"/>
  <c r="H19" i="13"/>
  <c r="I19" i="13"/>
  <c r="G20" i="13"/>
  <c r="H20" i="13"/>
  <c r="I20" i="13"/>
  <c r="G21" i="13"/>
  <c r="H21" i="13"/>
  <c r="I21" i="13"/>
  <c r="G12" i="13"/>
  <c r="H12" i="13"/>
  <c r="I12" i="13"/>
  <c r="G13" i="13"/>
  <c r="H13" i="13"/>
  <c r="I13" i="13"/>
  <c r="G14" i="13"/>
  <c r="H14" i="13"/>
  <c r="I14" i="13"/>
  <c r="G16" i="13"/>
  <c r="H16" i="13"/>
  <c r="I16" i="13"/>
  <c r="G8" i="13"/>
  <c r="H8" i="13"/>
  <c r="I8" i="13"/>
  <c r="G7" i="13"/>
  <c r="H7" i="13"/>
  <c r="I7" i="13"/>
  <c r="E14" i="14"/>
  <c r="C15" i="14"/>
  <c r="P41" i="13" s="1"/>
  <c r="C44" i="13" s="1"/>
  <c r="C49" i="13"/>
  <c r="F14" i="14"/>
  <c r="I85" i="7"/>
  <c r="H85" i="7"/>
  <c r="F84" i="7"/>
  <c r="F85" i="7"/>
  <c r="E84" i="7"/>
  <c r="E85" i="7"/>
  <c r="I29" i="13" l="1"/>
  <c r="G29" i="13"/>
  <c r="H9" i="13"/>
  <c r="H10" i="13" s="1"/>
  <c r="G9" i="13"/>
  <c r="G8" i="4" s="1"/>
  <c r="G9" i="4" s="1"/>
  <c r="C47" i="13"/>
  <c r="Z10" i="5" s="1"/>
  <c r="P18" i="5" s="1"/>
  <c r="T18" i="5" s="1"/>
  <c r="H29" i="13"/>
  <c r="I9" i="13"/>
  <c r="K23" i="13"/>
  <c r="L23" i="13" s="1"/>
  <c r="M23" i="13" s="1"/>
  <c r="N23" i="13" s="1"/>
  <c r="H30" i="13" l="1"/>
  <c r="G17" i="13"/>
  <c r="G24" i="13" s="1"/>
  <c r="G10" i="13"/>
  <c r="H17" i="13"/>
  <c r="H24" i="13" s="1"/>
  <c r="R18" i="5"/>
  <c r="I10" i="13"/>
  <c r="I17" i="13"/>
  <c r="I24" i="13" s="1"/>
  <c r="I30" i="13"/>
  <c r="P40" i="13"/>
  <c r="N41" i="13" s="1"/>
  <c r="H32" i="13" l="1"/>
  <c r="H34" i="13" s="1"/>
  <c r="I32" i="13"/>
  <c r="I34" i="13" s="1"/>
  <c r="D33" i="13"/>
  <c r="E33" i="13"/>
  <c r="F33" i="13"/>
  <c r="D25" i="13"/>
  <c r="E25" i="13"/>
  <c r="F25" i="13"/>
  <c r="D26" i="13"/>
  <c r="E26" i="13"/>
  <c r="F26" i="13"/>
  <c r="D27" i="13"/>
  <c r="E27" i="13"/>
  <c r="F27" i="13"/>
  <c r="D28" i="13"/>
  <c r="E28" i="13"/>
  <c r="F28" i="13"/>
  <c r="D23" i="13"/>
  <c r="E23" i="13"/>
  <c r="F23" i="13"/>
  <c r="D21" i="13"/>
  <c r="E21" i="13"/>
  <c r="F21" i="13"/>
  <c r="D20" i="13"/>
  <c r="E20" i="13"/>
  <c r="F20" i="13"/>
  <c r="D19" i="13"/>
  <c r="E19" i="13"/>
  <c r="F19" i="13"/>
  <c r="D18" i="13"/>
  <c r="E18" i="13"/>
  <c r="F18" i="13"/>
  <c r="D16" i="13"/>
  <c r="E16" i="13"/>
  <c r="F16" i="13"/>
  <c r="E12" i="13"/>
  <c r="F12" i="13"/>
  <c r="J12" i="13" s="1"/>
  <c r="E13" i="13"/>
  <c r="F13" i="13"/>
  <c r="J13" i="13" s="1"/>
  <c r="D13" i="13"/>
  <c r="D12" i="13"/>
  <c r="E7" i="13"/>
  <c r="F7" i="13"/>
  <c r="J7" i="13" s="1"/>
  <c r="E8" i="13"/>
  <c r="F8" i="13"/>
  <c r="D7" i="13"/>
  <c r="D8" i="13"/>
  <c r="C25" i="13"/>
  <c r="C26" i="13"/>
  <c r="C27" i="13"/>
  <c r="C28" i="13"/>
  <c r="C43" i="13"/>
  <c r="C33" i="13"/>
  <c r="C23" i="13"/>
  <c r="C21" i="13"/>
  <c r="C20" i="13"/>
  <c r="C18" i="13"/>
  <c r="C16" i="13"/>
  <c r="C13" i="13"/>
  <c r="C12" i="13"/>
  <c r="C8" i="13"/>
  <c r="C7" i="13"/>
  <c r="C19" i="13"/>
  <c r="J25" i="13" l="1"/>
  <c r="J33" i="13"/>
  <c r="J16" i="13"/>
  <c r="J14" i="13"/>
  <c r="J15" i="13" s="1"/>
  <c r="J18" i="13"/>
  <c r="J19" i="13"/>
  <c r="J26" i="13"/>
  <c r="J8" i="13"/>
  <c r="J9" i="13" s="1"/>
  <c r="Z7" i="5"/>
  <c r="P14" i="5" s="1"/>
  <c r="F9" i="13"/>
  <c r="F8" i="4" s="1"/>
  <c r="F9" i="4" s="1"/>
  <c r="C9" i="13"/>
  <c r="E9" i="13"/>
  <c r="E8" i="4" s="1"/>
  <c r="E9" i="4" s="1"/>
  <c r="D9" i="13"/>
  <c r="J17" i="13" l="1"/>
  <c r="J10" i="13"/>
  <c r="J27" i="13"/>
  <c r="J29" i="13" s="1"/>
  <c r="D10" i="13"/>
  <c r="D8" i="4"/>
  <c r="D9" i="4" s="1"/>
  <c r="C10" i="13"/>
  <c r="C8" i="4"/>
  <c r="C9" i="4" s="1"/>
  <c r="D98" i="7"/>
  <c r="J20" i="13" l="1"/>
  <c r="J21" i="13" s="1"/>
  <c r="J22" i="13" s="1"/>
  <c r="J24" i="13" s="1"/>
  <c r="F98" i="7"/>
  <c r="G98" i="7"/>
  <c r="G99" i="7" s="1"/>
  <c r="H98" i="7"/>
  <c r="E98" i="7"/>
  <c r="E92" i="7"/>
  <c r="F92" i="7"/>
  <c r="G92" i="7"/>
  <c r="D92" i="7"/>
  <c r="C92" i="7"/>
  <c r="E87" i="7"/>
  <c r="F87" i="7"/>
  <c r="G87" i="7"/>
  <c r="D87" i="7"/>
  <c r="C87" i="7"/>
  <c r="G82" i="7"/>
  <c r="E76" i="7"/>
  <c r="F76" i="7"/>
  <c r="G76" i="7"/>
  <c r="D76" i="7"/>
  <c r="C76" i="7"/>
  <c r="E71" i="7"/>
  <c r="F71" i="7"/>
  <c r="G71" i="7"/>
  <c r="C71" i="7"/>
  <c r="E66" i="7"/>
  <c r="E69" i="7" s="1"/>
  <c r="F66" i="7"/>
  <c r="G66" i="7"/>
  <c r="G69" i="7" s="1"/>
  <c r="D66" i="7"/>
  <c r="C66" i="7"/>
  <c r="E61" i="7"/>
  <c r="F61" i="7"/>
  <c r="G61" i="7"/>
  <c r="D61" i="7"/>
  <c r="C61" i="7"/>
  <c r="E49" i="7"/>
  <c r="F49" i="7"/>
  <c r="G49" i="7"/>
  <c r="D49" i="7"/>
  <c r="C39" i="7"/>
  <c r="C49" i="7"/>
  <c r="E55" i="7"/>
  <c r="F55" i="7"/>
  <c r="G55" i="7"/>
  <c r="E54" i="7"/>
  <c r="F54" i="7"/>
  <c r="G54" i="7"/>
  <c r="C54" i="7"/>
  <c r="D54" i="7"/>
  <c r="D55" i="7"/>
  <c r="C55" i="7"/>
  <c r="G44" i="7"/>
  <c r="E44" i="7"/>
  <c r="F46" i="7" s="1"/>
  <c r="F44" i="7"/>
  <c r="D44" i="7"/>
  <c r="C44" i="7"/>
  <c r="E39" i="7"/>
  <c r="F39" i="7"/>
  <c r="G39" i="7"/>
  <c r="D39" i="7"/>
  <c r="E34" i="7"/>
  <c r="F34" i="7"/>
  <c r="G34" i="7"/>
  <c r="D34" i="7"/>
  <c r="C34" i="7"/>
  <c r="E19" i="7"/>
  <c r="F19" i="7"/>
  <c r="G19" i="7"/>
  <c r="E24" i="7"/>
  <c r="F24" i="7"/>
  <c r="G24" i="7"/>
  <c r="D24" i="7"/>
  <c r="C24" i="7"/>
  <c r="E10" i="7"/>
  <c r="F10" i="7"/>
  <c r="G10" i="7"/>
  <c r="D10" i="7"/>
  <c r="C10" i="7"/>
  <c r="E14" i="7"/>
  <c r="F14" i="7"/>
  <c r="G14" i="7"/>
  <c r="D14" i="7"/>
  <c r="C14" i="7"/>
  <c r="D19" i="7"/>
  <c r="C19" i="7"/>
  <c r="E29" i="7"/>
  <c r="F29" i="7"/>
  <c r="G29" i="7"/>
  <c r="D29" i="7"/>
  <c r="C14" i="13" s="1"/>
  <c r="C17" i="13" s="1"/>
  <c r="C29" i="7"/>
  <c r="C82" i="7"/>
  <c r="N325" i="15"/>
  <c r="L325" i="15"/>
  <c r="N324" i="15"/>
  <c r="L324" i="15"/>
  <c r="N323" i="15"/>
  <c r="L323" i="15"/>
  <c r="N322" i="15"/>
  <c r="L322" i="15"/>
  <c r="N321" i="15"/>
  <c r="L321" i="15"/>
  <c r="N320" i="15"/>
  <c r="L320" i="15"/>
  <c r="N319" i="15"/>
  <c r="L319" i="15"/>
  <c r="N318" i="15"/>
  <c r="L318" i="15"/>
  <c r="N317" i="15"/>
  <c r="L317" i="15"/>
  <c r="N316" i="15"/>
  <c r="L316" i="15"/>
  <c r="N315" i="15"/>
  <c r="L315" i="15"/>
  <c r="N314" i="15"/>
  <c r="L314" i="15"/>
  <c r="N313" i="15"/>
  <c r="L313" i="15"/>
  <c r="N312" i="15"/>
  <c r="L312" i="15"/>
  <c r="N311" i="15"/>
  <c r="L311" i="15"/>
  <c r="N310" i="15"/>
  <c r="L310" i="15"/>
  <c r="N309" i="15"/>
  <c r="L309" i="15"/>
  <c r="N308" i="15"/>
  <c r="L308" i="15"/>
  <c r="N307" i="15"/>
  <c r="L307" i="15"/>
  <c r="N306" i="15"/>
  <c r="L306" i="15"/>
  <c r="N305" i="15"/>
  <c r="L305" i="15"/>
  <c r="N304" i="15"/>
  <c r="L304" i="15"/>
  <c r="N303" i="15"/>
  <c r="L303" i="15"/>
  <c r="N302" i="15"/>
  <c r="L302" i="15"/>
  <c r="N301" i="15"/>
  <c r="L301" i="15"/>
  <c r="N300" i="15"/>
  <c r="L300" i="15"/>
  <c r="N299" i="15"/>
  <c r="L299" i="15"/>
  <c r="N298" i="15"/>
  <c r="L298" i="15"/>
  <c r="N297" i="15"/>
  <c r="L297" i="15"/>
  <c r="N296" i="15"/>
  <c r="L296" i="15"/>
  <c r="N295" i="15"/>
  <c r="L295" i="15"/>
  <c r="N294" i="15"/>
  <c r="L294" i="15"/>
  <c r="N293" i="15"/>
  <c r="L293" i="15"/>
  <c r="N292" i="15"/>
  <c r="L292" i="15"/>
  <c r="N291" i="15"/>
  <c r="L291" i="15"/>
  <c r="N290" i="15"/>
  <c r="L290" i="15"/>
  <c r="N289" i="15"/>
  <c r="L289" i="15"/>
  <c r="N288" i="15"/>
  <c r="L288" i="15"/>
  <c r="N287" i="15"/>
  <c r="L287" i="15"/>
  <c r="N286" i="15"/>
  <c r="L286" i="15"/>
  <c r="N285" i="15"/>
  <c r="L285" i="15"/>
  <c r="N284" i="15"/>
  <c r="L284" i="15"/>
  <c r="N283" i="15"/>
  <c r="L283" i="15"/>
  <c r="N282" i="15"/>
  <c r="L282" i="15"/>
  <c r="N281" i="15"/>
  <c r="L281" i="15"/>
  <c r="N280" i="15"/>
  <c r="L280" i="15"/>
  <c r="N279" i="15"/>
  <c r="L279" i="15"/>
  <c r="N278" i="15"/>
  <c r="L278" i="15"/>
  <c r="N277" i="15"/>
  <c r="L277" i="15"/>
  <c r="N276" i="15"/>
  <c r="L276" i="15"/>
  <c r="N275" i="15"/>
  <c r="L275" i="15"/>
  <c r="N274" i="15"/>
  <c r="L274" i="15"/>
  <c r="N273" i="15"/>
  <c r="L273" i="15"/>
  <c r="N272" i="15"/>
  <c r="L272" i="15"/>
  <c r="N271" i="15"/>
  <c r="L271" i="15"/>
  <c r="N270" i="15"/>
  <c r="L270" i="15"/>
  <c r="N269" i="15"/>
  <c r="L269" i="15"/>
  <c r="N268" i="15"/>
  <c r="L268" i="15"/>
  <c r="N267" i="15"/>
  <c r="L267" i="15"/>
  <c r="N266" i="15"/>
  <c r="L266" i="15"/>
  <c r="N265" i="15"/>
  <c r="L265" i="15"/>
  <c r="N264" i="15"/>
  <c r="L264" i="15"/>
  <c r="N263" i="15"/>
  <c r="L263" i="15"/>
  <c r="N262" i="15"/>
  <c r="L262" i="15"/>
  <c r="N261" i="15"/>
  <c r="L261" i="15"/>
  <c r="N260" i="15"/>
  <c r="L260" i="15"/>
  <c r="N259" i="15"/>
  <c r="L259" i="15"/>
  <c r="N258" i="15"/>
  <c r="L258" i="15"/>
  <c r="N257" i="15"/>
  <c r="L257" i="15"/>
  <c r="N256" i="15"/>
  <c r="L256" i="15"/>
  <c r="N255" i="15"/>
  <c r="L255" i="15"/>
  <c r="N254" i="15"/>
  <c r="L254" i="15"/>
  <c r="N253" i="15"/>
  <c r="L253" i="15"/>
  <c r="N252" i="15"/>
  <c r="L252" i="15"/>
  <c r="N251" i="15"/>
  <c r="L251" i="15"/>
  <c r="N250" i="15"/>
  <c r="L250" i="15"/>
  <c r="N249" i="15"/>
  <c r="L249" i="15"/>
  <c r="N248" i="15"/>
  <c r="L248" i="15"/>
  <c r="N247" i="15"/>
  <c r="L247" i="15"/>
  <c r="N246" i="15"/>
  <c r="L246" i="15"/>
  <c r="N245" i="15"/>
  <c r="L245" i="15"/>
  <c r="N244" i="15"/>
  <c r="L244" i="15"/>
  <c r="N243" i="15"/>
  <c r="L243" i="15"/>
  <c r="N242" i="15"/>
  <c r="L242" i="15"/>
  <c r="N241" i="15"/>
  <c r="L241" i="15"/>
  <c r="N240" i="15"/>
  <c r="L240" i="15"/>
  <c r="N239" i="15"/>
  <c r="L239" i="15"/>
  <c r="N238" i="15"/>
  <c r="L238" i="15"/>
  <c r="N237" i="15"/>
  <c r="L237" i="15"/>
  <c r="N236" i="15"/>
  <c r="L236" i="15"/>
  <c r="N235" i="15"/>
  <c r="L235" i="15"/>
  <c r="N234" i="15"/>
  <c r="L234" i="15"/>
  <c r="N233" i="15"/>
  <c r="L233" i="15"/>
  <c r="N232" i="15"/>
  <c r="L232" i="15"/>
  <c r="N231" i="15"/>
  <c r="L231" i="15"/>
  <c r="N230" i="15"/>
  <c r="L230" i="15"/>
  <c r="N229" i="15"/>
  <c r="L229" i="15"/>
  <c r="N228" i="15"/>
  <c r="L228" i="15"/>
  <c r="N227" i="15"/>
  <c r="L227" i="15"/>
  <c r="N226" i="15"/>
  <c r="L226" i="15"/>
  <c r="N225" i="15"/>
  <c r="L225" i="15"/>
  <c r="N224" i="15"/>
  <c r="L224" i="15"/>
  <c r="N223" i="15"/>
  <c r="L223" i="15"/>
  <c r="N222" i="15"/>
  <c r="L222" i="15"/>
  <c r="N221" i="15"/>
  <c r="L221" i="15"/>
  <c r="N220" i="15"/>
  <c r="L220" i="15"/>
  <c r="N219" i="15"/>
  <c r="L219" i="15"/>
  <c r="N218" i="15"/>
  <c r="L218" i="15"/>
  <c r="N217" i="15"/>
  <c r="L217" i="15"/>
  <c r="N216" i="15"/>
  <c r="L216" i="15"/>
  <c r="N215" i="15"/>
  <c r="L215" i="15"/>
  <c r="N214" i="15"/>
  <c r="L214" i="15"/>
  <c r="N213" i="15"/>
  <c r="L213" i="15"/>
  <c r="N212" i="15"/>
  <c r="L212" i="15"/>
  <c r="N211" i="15"/>
  <c r="L211" i="15"/>
  <c r="N210" i="15"/>
  <c r="L210" i="15"/>
  <c r="N209" i="15"/>
  <c r="L209" i="15"/>
  <c r="N208" i="15"/>
  <c r="L208" i="15"/>
  <c r="N207" i="15"/>
  <c r="L207" i="15"/>
  <c r="N206" i="15"/>
  <c r="L206" i="15"/>
  <c r="N205" i="15"/>
  <c r="L205" i="15"/>
  <c r="N204" i="15"/>
  <c r="L204" i="15"/>
  <c r="N203" i="15"/>
  <c r="L203" i="15"/>
  <c r="N202" i="15"/>
  <c r="L202" i="15"/>
  <c r="N201" i="15"/>
  <c r="L201" i="15"/>
  <c r="N200" i="15"/>
  <c r="L200" i="15"/>
  <c r="N199" i="15"/>
  <c r="L199" i="15"/>
  <c r="N198" i="15"/>
  <c r="L198" i="15"/>
  <c r="N197" i="15"/>
  <c r="L197" i="15"/>
  <c r="N196" i="15"/>
  <c r="L196" i="15"/>
  <c r="N195" i="15"/>
  <c r="L195" i="15"/>
  <c r="N194" i="15"/>
  <c r="L194" i="15"/>
  <c r="N193" i="15"/>
  <c r="L193" i="15"/>
  <c r="N192" i="15"/>
  <c r="L192" i="15"/>
  <c r="N191" i="15"/>
  <c r="L191" i="15"/>
  <c r="N190" i="15"/>
  <c r="L190" i="15"/>
  <c r="N189" i="15"/>
  <c r="L189" i="15"/>
  <c r="N188" i="15"/>
  <c r="L188" i="15"/>
  <c r="N187" i="15"/>
  <c r="L187" i="15"/>
  <c r="N186" i="15"/>
  <c r="L186" i="15"/>
  <c r="N185" i="15"/>
  <c r="L185" i="15"/>
  <c r="N184" i="15"/>
  <c r="L184" i="15"/>
  <c r="N183" i="15"/>
  <c r="L183" i="15"/>
  <c r="N182" i="15"/>
  <c r="L182" i="15"/>
  <c r="N181" i="15"/>
  <c r="L181" i="15"/>
  <c r="N180" i="15"/>
  <c r="L180" i="15"/>
  <c r="N179" i="15"/>
  <c r="L179" i="15"/>
  <c r="N178" i="15"/>
  <c r="L178" i="15"/>
  <c r="N177" i="15"/>
  <c r="L177" i="15"/>
  <c r="N176" i="15"/>
  <c r="L176" i="15"/>
  <c r="N175" i="15"/>
  <c r="L175" i="15"/>
  <c r="N174" i="15"/>
  <c r="L174" i="15"/>
  <c r="N173" i="15"/>
  <c r="L173" i="15"/>
  <c r="N172" i="15"/>
  <c r="L172" i="15"/>
  <c r="N171" i="15"/>
  <c r="L171" i="15"/>
  <c r="N170" i="15"/>
  <c r="L170" i="15"/>
  <c r="N169" i="15"/>
  <c r="L169" i="15"/>
  <c r="N168" i="15"/>
  <c r="L168" i="15"/>
  <c r="N167" i="15"/>
  <c r="L167" i="15"/>
  <c r="N166" i="15"/>
  <c r="L166" i="15"/>
  <c r="N165" i="15"/>
  <c r="L165" i="15"/>
  <c r="N164" i="15"/>
  <c r="L164" i="15"/>
  <c r="N163" i="15"/>
  <c r="L163" i="15"/>
  <c r="N162" i="15"/>
  <c r="L162" i="15"/>
  <c r="N161" i="15"/>
  <c r="L161" i="15"/>
  <c r="N160" i="15"/>
  <c r="L160" i="15"/>
  <c r="N159" i="15"/>
  <c r="L159" i="15"/>
  <c r="N158" i="15"/>
  <c r="L158" i="15"/>
  <c r="N157" i="15"/>
  <c r="L157" i="15"/>
  <c r="N156" i="15"/>
  <c r="L156" i="15"/>
  <c r="N155" i="15"/>
  <c r="L155" i="15"/>
  <c r="N154" i="15"/>
  <c r="L154" i="15"/>
  <c r="N153" i="15"/>
  <c r="L153" i="15"/>
  <c r="N152" i="15"/>
  <c r="L152" i="15"/>
  <c r="N151" i="15"/>
  <c r="L151" i="15"/>
  <c r="N150" i="15"/>
  <c r="L150" i="15"/>
  <c r="N149" i="15"/>
  <c r="L149" i="15"/>
  <c r="N148" i="15"/>
  <c r="L148" i="15"/>
  <c r="N147" i="15"/>
  <c r="L147" i="15"/>
  <c r="N146" i="15"/>
  <c r="L146" i="15"/>
  <c r="N145" i="15"/>
  <c r="L145" i="15"/>
  <c r="N144" i="15"/>
  <c r="L144" i="15"/>
  <c r="N143" i="15"/>
  <c r="L143" i="15"/>
  <c r="N142" i="15"/>
  <c r="L142" i="15"/>
  <c r="N141" i="15"/>
  <c r="L141" i="15"/>
  <c r="N140" i="15"/>
  <c r="L140" i="15"/>
  <c r="N139" i="15"/>
  <c r="L139" i="15"/>
  <c r="N138" i="15"/>
  <c r="L138" i="15"/>
  <c r="N137" i="15"/>
  <c r="L137" i="15"/>
  <c r="N136" i="15"/>
  <c r="L136" i="15"/>
  <c r="N135" i="15"/>
  <c r="L135" i="15"/>
  <c r="N134" i="15"/>
  <c r="L134" i="15"/>
  <c r="N133" i="15"/>
  <c r="L133" i="15"/>
  <c r="N132" i="15"/>
  <c r="L132" i="15"/>
  <c r="N131" i="15"/>
  <c r="L131" i="15"/>
  <c r="N130" i="15"/>
  <c r="L130" i="15"/>
  <c r="N129" i="15"/>
  <c r="L129" i="15"/>
  <c r="N128" i="15"/>
  <c r="L128" i="15"/>
  <c r="N127" i="15"/>
  <c r="L127" i="15"/>
  <c r="N126" i="15"/>
  <c r="L126" i="15"/>
  <c r="N125" i="15"/>
  <c r="L125" i="15"/>
  <c r="N124" i="15"/>
  <c r="L124" i="15"/>
  <c r="N123" i="15"/>
  <c r="L123" i="15"/>
  <c r="N122" i="15"/>
  <c r="L122" i="15"/>
  <c r="N121" i="15"/>
  <c r="L121" i="15"/>
  <c r="N120" i="15"/>
  <c r="L120" i="15"/>
  <c r="N119" i="15"/>
  <c r="L119" i="15"/>
  <c r="N118" i="15"/>
  <c r="L118" i="15"/>
  <c r="N117" i="15"/>
  <c r="L117" i="15"/>
  <c r="N116" i="15"/>
  <c r="L116" i="15"/>
  <c r="N115" i="15"/>
  <c r="L115" i="15"/>
  <c r="N114" i="15"/>
  <c r="L114" i="15"/>
  <c r="N113" i="15"/>
  <c r="L113" i="15"/>
  <c r="N112" i="15"/>
  <c r="L112" i="15"/>
  <c r="N111" i="15"/>
  <c r="L111" i="15"/>
  <c r="N110" i="15"/>
  <c r="L110" i="15"/>
  <c r="N109" i="15"/>
  <c r="L109" i="15"/>
  <c r="N108" i="15"/>
  <c r="L108" i="15"/>
  <c r="N107" i="15"/>
  <c r="L107" i="15"/>
  <c r="N106" i="15"/>
  <c r="L106" i="15"/>
  <c r="N105" i="15"/>
  <c r="L105" i="15"/>
  <c r="N104" i="15"/>
  <c r="L104" i="15"/>
  <c r="N103" i="15"/>
  <c r="L103" i="15"/>
  <c r="N102" i="15"/>
  <c r="L102" i="15"/>
  <c r="N101" i="15"/>
  <c r="L101" i="15"/>
  <c r="N100" i="15"/>
  <c r="L100" i="15"/>
  <c r="N99" i="15"/>
  <c r="L99" i="15"/>
  <c r="N98" i="15"/>
  <c r="L98" i="15"/>
  <c r="N97" i="15"/>
  <c r="L97" i="15"/>
  <c r="N96" i="15"/>
  <c r="L96" i="15"/>
  <c r="N95" i="15"/>
  <c r="L95" i="15"/>
  <c r="N94" i="15"/>
  <c r="L94" i="15"/>
  <c r="N93" i="15"/>
  <c r="L93" i="15"/>
  <c r="N92" i="15"/>
  <c r="L92" i="15"/>
  <c r="N91" i="15"/>
  <c r="L91" i="15"/>
  <c r="N90" i="15"/>
  <c r="L90" i="15"/>
  <c r="N89" i="15"/>
  <c r="L89" i="15"/>
  <c r="N88" i="15"/>
  <c r="L88" i="15"/>
  <c r="N87" i="15"/>
  <c r="L87" i="15"/>
  <c r="N86" i="15"/>
  <c r="L86" i="15"/>
  <c r="N85" i="15"/>
  <c r="L85" i="15"/>
  <c r="N84" i="15"/>
  <c r="L84" i="15"/>
  <c r="N83" i="15"/>
  <c r="L83" i="15"/>
  <c r="N82" i="15"/>
  <c r="L82" i="15"/>
  <c r="N81" i="15"/>
  <c r="L81" i="15"/>
  <c r="N80" i="15"/>
  <c r="L80" i="15"/>
  <c r="N79" i="15"/>
  <c r="L79" i="15"/>
  <c r="N78" i="15"/>
  <c r="L78" i="15"/>
  <c r="N77" i="15"/>
  <c r="L77" i="15"/>
  <c r="N76" i="15"/>
  <c r="L76" i="15"/>
  <c r="N75" i="15"/>
  <c r="L75" i="15"/>
  <c r="N74" i="15"/>
  <c r="L74" i="15"/>
  <c r="T73" i="15"/>
  <c r="R73" i="15"/>
  <c r="N73" i="15"/>
  <c r="L73" i="15"/>
  <c r="T72" i="15"/>
  <c r="R72" i="15"/>
  <c r="N72" i="15"/>
  <c r="L72" i="15"/>
  <c r="T71" i="15"/>
  <c r="R71" i="15"/>
  <c r="N71" i="15"/>
  <c r="L71" i="15"/>
  <c r="T70" i="15"/>
  <c r="R70" i="15"/>
  <c r="N70" i="15"/>
  <c r="L70" i="15"/>
  <c r="T69" i="15"/>
  <c r="R69" i="15"/>
  <c r="N69" i="15"/>
  <c r="L69" i="15"/>
  <c r="T68" i="15"/>
  <c r="R68" i="15"/>
  <c r="N68" i="15"/>
  <c r="L68" i="15"/>
  <c r="T67" i="15"/>
  <c r="R67" i="15"/>
  <c r="N67" i="15"/>
  <c r="L67" i="15"/>
  <c r="T66" i="15"/>
  <c r="R66" i="15"/>
  <c r="N66" i="15"/>
  <c r="L66" i="15"/>
  <c r="T65" i="15"/>
  <c r="R65" i="15"/>
  <c r="N65" i="15"/>
  <c r="L65" i="15"/>
  <c r="T64" i="15"/>
  <c r="R64" i="15"/>
  <c r="N64" i="15"/>
  <c r="L64" i="15"/>
  <c r="T63" i="15"/>
  <c r="R63" i="15"/>
  <c r="N63" i="15"/>
  <c r="L63" i="15"/>
  <c r="T62" i="15"/>
  <c r="R62" i="15"/>
  <c r="N62" i="15"/>
  <c r="L62" i="15"/>
  <c r="T61" i="15"/>
  <c r="R61" i="15"/>
  <c r="N61" i="15"/>
  <c r="L61" i="15"/>
  <c r="T60" i="15"/>
  <c r="R60" i="15"/>
  <c r="N60" i="15"/>
  <c r="L60" i="15"/>
  <c r="T59" i="15"/>
  <c r="R59" i="15"/>
  <c r="N59" i="15"/>
  <c r="L59" i="15"/>
  <c r="T58" i="15"/>
  <c r="R58" i="15"/>
  <c r="N58" i="15"/>
  <c r="L58" i="15"/>
  <c r="T57" i="15"/>
  <c r="R57" i="15"/>
  <c r="N57" i="15"/>
  <c r="L57" i="15"/>
  <c r="T56" i="15"/>
  <c r="R56" i="15"/>
  <c r="N56" i="15"/>
  <c r="L56" i="15"/>
  <c r="T55" i="15"/>
  <c r="R55" i="15"/>
  <c r="N55" i="15"/>
  <c r="L55" i="15"/>
  <c r="T54" i="15"/>
  <c r="R54" i="15"/>
  <c r="N54" i="15"/>
  <c r="L54" i="15"/>
  <c r="T53" i="15"/>
  <c r="R53" i="15"/>
  <c r="N53" i="15"/>
  <c r="L53" i="15"/>
  <c r="T52" i="15"/>
  <c r="R52" i="15"/>
  <c r="N52" i="15"/>
  <c r="L52" i="15"/>
  <c r="T51" i="15"/>
  <c r="R51" i="15"/>
  <c r="N51" i="15"/>
  <c r="L51" i="15"/>
  <c r="T50" i="15"/>
  <c r="R50" i="15"/>
  <c r="N50" i="15"/>
  <c r="L50" i="15"/>
  <c r="T49" i="15"/>
  <c r="R49" i="15"/>
  <c r="N49" i="15"/>
  <c r="L49" i="15"/>
  <c r="T48" i="15"/>
  <c r="R48" i="15"/>
  <c r="N48" i="15"/>
  <c r="L48" i="15"/>
  <c r="T47" i="15"/>
  <c r="R47" i="15"/>
  <c r="N47" i="15"/>
  <c r="L47" i="15"/>
  <c r="T46" i="15"/>
  <c r="R46" i="15"/>
  <c r="N46" i="15"/>
  <c r="L46" i="15"/>
  <c r="T45" i="15"/>
  <c r="R45" i="15"/>
  <c r="N45" i="15"/>
  <c r="L45" i="15"/>
  <c r="T44" i="15"/>
  <c r="R44" i="15"/>
  <c r="N44" i="15"/>
  <c r="L44" i="15"/>
  <c r="T43" i="15"/>
  <c r="R43" i="15"/>
  <c r="N43" i="15"/>
  <c r="L43" i="15"/>
  <c r="T42" i="15"/>
  <c r="R42" i="15"/>
  <c r="N42" i="15"/>
  <c r="L42" i="15"/>
  <c r="T41" i="15"/>
  <c r="R41" i="15"/>
  <c r="N41" i="15"/>
  <c r="L41" i="15"/>
  <c r="T40" i="15"/>
  <c r="R40" i="15"/>
  <c r="N40" i="15"/>
  <c r="L40" i="15"/>
  <c r="T39" i="15"/>
  <c r="R39" i="15"/>
  <c r="N39" i="15"/>
  <c r="L39" i="15"/>
  <c r="T38" i="15"/>
  <c r="R38" i="15"/>
  <c r="N38" i="15"/>
  <c r="L38" i="15"/>
  <c r="T37" i="15"/>
  <c r="R37" i="15"/>
  <c r="N37" i="15"/>
  <c r="L37" i="15"/>
  <c r="T36" i="15"/>
  <c r="R36" i="15"/>
  <c r="N36" i="15"/>
  <c r="L36" i="15"/>
  <c r="T35" i="15"/>
  <c r="R35" i="15"/>
  <c r="N35" i="15"/>
  <c r="L35" i="15"/>
  <c r="T34" i="15"/>
  <c r="R34" i="15"/>
  <c r="N34" i="15"/>
  <c r="L34" i="15"/>
  <c r="T33" i="15"/>
  <c r="R33" i="15"/>
  <c r="N33" i="15"/>
  <c r="L33" i="15"/>
  <c r="T32" i="15"/>
  <c r="R32" i="15"/>
  <c r="N32" i="15"/>
  <c r="L32" i="15"/>
  <c r="T31" i="15"/>
  <c r="R31" i="15"/>
  <c r="N31" i="15"/>
  <c r="L31" i="15"/>
  <c r="T30" i="15"/>
  <c r="R30" i="15"/>
  <c r="N30" i="15"/>
  <c r="L30" i="15"/>
  <c r="T29" i="15"/>
  <c r="R29" i="15"/>
  <c r="N29" i="15"/>
  <c r="L29" i="15"/>
  <c r="T28" i="15"/>
  <c r="R28" i="15"/>
  <c r="N28" i="15"/>
  <c r="L28" i="15"/>
  <c r="T27" i="15"/>
  <c r="R27" i="15"/>
  <c r="N27" i="15"/>
  <c r="L27" i="15"/>
  <c r="T26" i="15"/>
  <c r="R26" i="15"/>
  <c r="N26" i="15"/>
  <c r="L26" i="15"/>
  <c r="T25" i="15"/>
  <c r="R25" i="15"/>
  <c r="N25" i="15"/>
  <c r="L25" i="15"/>
  <c r="T24" i="15"/>
  <c r="R24" i="15"/>
  <c r="N24" i="15"/>
  <c r="L24" i="15"/>
  <c r="T23" i="15"/>
  <c r="R23" i="15"/>
  <c r="N23" i="15"/>
  <c r="L23" i="15"/>
  <c r="Z22" i="15"/>
  <c r="X22" i="15"/>
  <c r="T22" i="15"/>
  <c r="R22" i="15"/>
  <c r="N22" i="15"/>
  <c r="L22" i="15"/>
  <c r="Z21" i="15"/>
  <c r="X21" i="15"/>
  <c r="T21" i="15"/>
  <c r="R21" i="15"/>
  <c r="N21" i="15"/>
  <c r="L21" i="15"/>
  <c r="Z20" i="15"/>
  <c r="X20" i="15"/>
  <c r="T20" i="15"/>
  <c r="R20" i="15"/>
  <c r="N20" i="15"/>
  <c r="L20" i="15"/>
  <c r="Z19" i="15"/>
  <c r="X19" i="15"/>
  <c r="T19" i="15"/>
  <c r="R19" i="15"/>
  <c r="N19" i="15"/>
  <c r="L19" i="15"/>
  <c r="Z18" i="15"/>
  <c r="X18" i="15"/>
  <c r="T18" i="15"/>
  <c r="R18" i="15"/>
  <c r="N18" i="15"/>
  <c r="L18" i="15"/>
  <c r="Z17" i="15"/>
  <c r="X17" i="15"/>
  <c r="T17" i="15"/>
  <c r="R17" i="15"/>
  <c r="N17" i="15"/>
  <c r="L17" i="15"/>
  <c r="Z16" i="15"/>
  <c r="X16" i="15"/>
  <c r="T16" i="15"/>
  <c r="R16" i="15"/>
  <c r="N16" i="15"/>
  <c r="L16" i="15"/>
  <c r="Z15" i="15"/>
  <c r="X15" i="15"/>
  <c r="T15" i="15"/>
  <c r="R15" i="15"/>
  <c r="N15" i="15"/>
  <c r="L15" i="15"/>
  <c r="Z14" i="15"/>
  <c r="X14" i="15"/>
  <c r="T14" i="15"/>
  <c r="R14" i="15"/>
  <c r="N14" i="15"/>
  <c r="L14" i="15"/>
  <c r="Z13" i="15"/>
  <c r="X13" i="15"/>
  <c r="T13" i="15"/>
  <c r="R13" i="15"/>
  <c r="N13" i="15"/>
  <c r="L13" i="15"/>
  <c r="Z12" i="15"/>
  <c r="X12" i="15"/>
  <c r="T12" i="15"/>
  <c r="R12" i="15"/>
  <c r="N12" i="15"/>
  <c r="L12" i="15"/>
  <c r="Z11" i="15"/>
  <c r="X11" i="15"/>
  <c r="H5" i="15" s="1"/>
  <c r="T11" i="15"/>
  <c r="R11" i="15"/>
  <c r="N11" i="15"/>
  <c r="L11" i="15"/>
  <c r="Z10" i="15"/>
  <c r="X10" i="15"/>
  <c r="T10" i="15"/>
  <c r="R10" i="15"/>
  <c r="N10" i="15"/>
  <c r="L10" i="15"/>
  <c r="Z9" i="15"/>
  <c r="X9" i="15"/>
  <c r="T9" i="15"/>
  <c r="R9" i="15"/>
  <c r="N9" i="15"/>
  <c r="H7" i="15" s="1"/>
  <c r="L9" i="15"/>
  <c r="F6" i="15" s="1"/>
  <c r="Z8" i="15"/>
  <c r="X8" i="15"/>
  <c r="T8" i="15"/>
  <c r="R8" i="15"/>
  <c r="G8" i="15" s="1"/>
  <c r="N8" i="15"/>
  <c r="L8" i="15"/>
  <c r="F8" i="15" s="1"/>
  <c r="F7" i="15"/>
  <c r="G14" i="14"/>
  <c r="K46" i="13"/>
  <c r="F29" i="13"/>
  <c r="G30" i="13" s="1"/>
  <c r="G32" i="13" s="1"/>
  <c r="G34" i="13" s="1"/>
  <c r="E29" i="13"/>
  <c r="F93" i="7"/>
  <c r="F77" i="7"/>
  <c r="E63" i="7"/>
  <c r="J30" i="13" l="1"/>
  <c r="J32" i="13" s="1"/>
  <c r="G17" i="7"/>
  <c r="E42" i="7"/>
  <c r="E17" i="7"/>
  <c r="E27" i="7"/>
  <c r="H100" i="7"/>
  <c r="F56" i="7"/>
  <c r="E64" i="7"/>
  <c r="F69" i="7"/>
  <c r="G64" i="7"/>
  <c r="I64" i="7" s="1"/>
  <c r="F64" i="7"/>
  <c r="G27" i="7"/>
  <c r="G37" i="7"/>
  <c r="G59" i="7"/>
  <c r="F27" i="7"/>
  <c r="H27" i="7" s="1"/>
  <c r="F37" i="7"/>
  <c r="D88" i="7"/>
  <c r="D67" i="7"/>
  <c r="D83" i="7"/>
  <c r="E37" i="7"/>
  <c r="F12" i="7"/>
  <c r="F22" i="7"/>
  <c r="G100" i="7"/>
  <c r="E12" i="7"/>
  <c r="E22" i="7"/>
  <c r="F100" i="7"/>
  <c r="F73" i="7"/>
  <c r="F74" i="7"/>
  <c r="G88" i="7"/>
  <c r="G90" i="7"/>
  <c r="G89" i="7"/>
  <c r="D78" i="7"/>
  <c r="D77" i="7"/>
  <c r="F89" i="7"/>
  <c r="F90" i="7"/>
  <c r="G80" i="7"/>
  <c r="G79" i="7"/>
  <c r="E90" i="7"/>
  <c r="E89" i="7"/>
  <c r="E74" i="7"/>
  <c r="E73" i="7"/>
  <c r="F80" i="7"/>
  <c r="F79" i="7"/>
  <c r="E79" i="7"/>
  <c r="E80" i="7"/>
  <c r="D93" i="7"/>
  <c r="F95" i="7" s="1"/>
  <c r="G74" i="7"/>
  <c r="G73" i="7"/>
  <c r="G84" i="7"/>
  <c r="G85" i="7"/>
  <c r="G83" i="7"/>
  <c r="F5" i="15"/>
  <c r="H8" i="15"/>
  <c r="H6" i="15"/>
  <c r="G5" i="15"/>
  <c r="E58" i="7"/>
  <c r="E59" i="7"/>
  <c r="F36" i="7"/>
  <c r="G12" i="7"/>
  <c r="G22" i="7"/>
  <c r="G47" i="7"/>
  <c r="G56" i="7"/>
  <c r="E52" i="7"/>
  <c r="G35" i="7"/>
  <c r="F42" i="7"/>
  <c r="F41" i="7"/>
  <c r="E56" i="7"/>
  <c r="G42" i="7"/>
  <c r="G41" i="7"/>
  <c r="G32" i="7"/>
  <c r="F14" i="13"/>
  <c r="F17" i="13" s="1"/>
  <c r="F17" i="7"/>
  <c r="I17" i="7" s="1"/>
  <c r="F32" i="7"/>
  <c r="E14" i="13"/>
  <c r="E17" i="13" s="1"/>
  <c r="E32" i="7"/>
  <c r="D14" i="13"/>
  <c r="D17" i="13" s="1"/>
  <c r="D24" i="13" s="1"/>
  <c r="F47" i="7"/>
  <c r="F59" i="7"/>
  <c r="I59" i="7" s="1"/>
  <c r="G52" i="7"/>
  <c r="E16" i="7"/>
  <c r="F31" i="7"/>
  <c r="E46" i="7"/>
  <c r="E47" i="7"/>
  <c r="F51" i="7"/>
  <c r="F52" i="7"/>
  <c r="G40" i="7"/>
  <c r="N40" i="13"/>
  <c r="K48" i="13" s="1"/>
  <c r="C29" i="13"/>
  <c r="D29" i="13"/>
  <c r="E30" i="13" s="1"/>
  <c r="E10" i="13"/>
  <c r="F10" i="13"/>
  <c r="E93" i="7"/>
  <c r="G93" i="7"/>
  <c r="E88" i="7"/>
  <c r="D50" i="7"/>
  <c r="F40" i="7"/>
  <c r="F20" i="7"/>
  <c r="F72" i="7"/>
  <c r="F50" i="7"/>
  <c r="H99" i="7"/>
  <c r="F99" i="7"/>
  <c r="I69" i="7"/>
  <c r="F25" i="7"/>
  <c r="F30" i="7"/>
  <c r="F35" i="7"/>
  <c r="D15" i="7"/>
  <c r="D20" i="7"/>
  <c r="D56" i="7"/>
  <c r="F26" i="7"/>
  <c r="F15" i="7"/>
  <c r="F45" i="7"/>
  <c r="F88" i="7"/>
  <c r="F16" i="7"/>
  <c r="G25" i="7"/>
  <c r="G30" i="7"/>
  <c r="G45" i="7"/>
  <c r="D25" i="7"/>
  <c r="D30" i="7"/>
  <c r="D35" i="7"/>
  <c r="D40" i="7"/>
  <c r="F11" i="7"/>
  <c r="E25" i="7"/>
  <c r="E30" i="7"/>
  <c r="E35" i="7"/>
  <c r="E40" i="7"/>
  <c r="E45" i="7"/>
  <c r="G11" i="7"/>
  <c r="E50" i="7"/>
  <c r="E15" i="7"/>
  <c r="E20" i="7"/>
  <c r="G50" i="7"/>
  <c r="G15" i="7"/>
  <c r="G20" i="7"/>
  <c r="G6" i="15"/>
  <c r="G7" i="15"/>
  <c r="R14" i="5"/>
  <c r="F30" i="13"/>
  <c r="C24" i="13"/>
  <c r="C34" i="13"/>
  <c r="Z13" i="5"/>
  <c r="P26" i="5" s="1"/>
  <c r="R26" i="5" s="1"/>
  <c r="K7" i="13"/>
  <c r="K13" i="13" s="1"/>
  <c r="D57" i="7"/>
  <c r="F58" i="7"/>
  <c r="D62" i="7"/>
  <c r="F63" i="7"/>
  <c r="I63" i="7" s="1"/>
  <c r="D72" i="7"/>
  <c r="E78" i="7"/>
  <c r="E83" i="7"/>
  <c r="E57" i="7"/>
  <c r="G58" i="7"/>
  <c r="E62" i="7"/>
  <c r="G63" i="7"/>
  <c r="E67" i="7"/>
  <c r="E72" i="7"/>
  <c r="E77" i="7"/>
  <c r="F78" i="7"/>
  <c r="F83" i="7"/>
  <c r="F57" i="7"/>
  <c r="F62" i="7"/>
  <c r="F67" i="7"/>
  <c r="G78" i="7"/>
  <c r="E11" i="7"/>
  <c r="E26" i="7"/>
  <c r="E31" i="7"/>
  <c r="E36" i="7"/>
  <c r="E41" i="7"/>
  <c r="E51" i="7"/>
  <c r="G57" i="7"/>
  <c r="G62" i="7"/>
  <c r="G67" i="7"/>
  <c r="G72" i="7"/>
  <c r="G77" i="7"/>
  <c r="D45" i="7"/>
  <c r="G16" i="7"/>
  <c r="G26" i="7"/>
  <c r="G31" i="7"/>
  <c r="G36" i="7"/>
  <c r="G46" i="7"/>
  <c r="G51" i="7"/>
  <c r="Z14" i="5" l="1"/>
  <c r="T26" i="5" s="1"/>
  <c r="H22" i="7"/>
  <c r="I12" i="7"/>
  <c r="H17" i="7"/>
  <c r="I100" i="7"/>
  <c r="H88" i="7"/>
  <c r="I22" i="7"/>
  <c r="H12" i="7"/>
  <c r="H37" i="7"/>
  <c r="I27" i="7"/>
  <c r="H63" i="7"/>
  <c r="I37" i="7"/>
  <c r="H59" i="7"/>
  <c r="F68" i="7"/>
  <c r="H42" i="7"/>
  <c r="G95" i="7"/>
  <c r="G94" i="7"/>
  <c r="I89" i="7"/>
  <c r="H89" i="7"/>
  <c r="I79" i="7"/>
  <c r="H79" i="7"/>
  <c r="E95" i="7"/>
  <c r="H95" i="7" s="1"/>
  <c r="E94" i="7"/>
  <c r="I74" i="7"/>
  <c r="H74" i="7"/>
  <c r="I90" i="7"/>
  <c r="H90" i="7"/>
  <c r="I77" i="7"/>
  <c r="H77" i="7"/>
  <c r="H83" i="7"/>
  <c r="I83" i="7"/>
  <c r="F94" i="7"/>
  <c r="H84" i="7"/>
  <c r="I84" i="7"/>
  <c r="I73" i="7"/>
  <c r="H73" i="7"/>
  <c r="D30" i="13"/>
  <c r="D32" i="13" s="1"/>
  <c r="D34" i="13" s="1"/>
  <c r="H51" i="7"/>
  <c r="I51" i="7"/>
  <c r="I72" i="7"/>
  <c r="H72" i="7"/>
  <c r="H57" i="7"/>
  <c r="I57" i="7"/>
  <c r="H56" i="7"/>
  <c r="I56" i="7"/>
  <c r="H46" i="7"/>
  <c r="I46" i="7"/>
  <c r="I41" i="7"/>
  <c r="H41" i="7"/>
  <c r="H67" i="7"/>
  <c r="I40" i="7"/>
  <c r="H40" i="7"/>
  <c r="I20" i="7"/>
  <c r="H20" i="7"/>
  <c r="H32" i="7"/>
  <c r="I32" i="7"/>
  <c r="I42" i="7"/>
  <c r="H36" i="7"/>
  <c r="I36" i="7"/>
  <c r="I78" i="7"/>
  <c r="H78" i="7"/>
  <c r="H35" i="7"/>
  <c r="I35" i="7"/>
  <c r="I15" i="7"/>
  <c r="H15" i="7"/>
  <c r="H31" i="7"/>
  <c r="I31" i="7"/>
  <c r="H25" i="7"/>
  <c r="I25" i="7"/>
  <c r="I99" i="7"/>
  <c r="H16" i="7"/>
  <c r="I16" i="7"/>
  <c r="H58" i="7"/>
  <c r="I58" i="7"/>
  <c r="I30" i="7"/>
  <c r="H30" i="7"/>
  <c r="I50" i="7"/>
  <c r="H50" i="7"/>
  <c r="I26" i="7"/>
  <c r="H26" i="7"/>
  <c r="H45" i="7"/>
  <c r="I45" i="7"/>
  <c r="I11" i="7"/>
  <c r="H11" i="7"/>
  <c r="I88" i="7"/>
  <c r="I52" i="7"/>
  <c r="H52" i="7"/>
  <c r="I62" i="7"/>
  <c r="H62" i="7"/>
  <c r="I47" i="7"/>
  <c r="H47" i="7"/>
  <c r="I67" i="7"/>
  <c r="E32" i="13"/>
  <c r="E34" i="13" s="1"/>
  <c r="H93" i="7"/>
  <c r="Z12" i="5" s="1"/>
  <c r="P22" i="5" s="1"/>
  <c r="I93" i="7"/>
  <c r="H69" i="7"/>
  <c r="G21" i="7"/>
  <c r="H64" i="7"/>
  <c r="I94" i="7"/>
  <c r="E21" i="7"/>
  <c r="F21" i="7"/>
  <c r="G68" i="7"/>
  <c r="E68" i="7"/>
  <c r="C15" i="4"/>
  <c r="K26" i="13"/>
  <c r="K19" i="13"/>
  <c r="K14" i="13"/>
  <c r="K33" i="13"/>
  <c r="K18" i="13"/>
  <c r="K8" i="13"/>
  <c r="K9" i="13" s="1"/>
  <c r="L7" i="13"/>
  <c r="L13" i="13" s="1"/>
  <c r="K25" i="13"/>
  <c r="K12" i="13"/>
  <c r="K16" i="13"/>
  <c r="F32" i="13"/>
  <c r="F34" i="13" s="1"/>
  <c r="F24" i="13"/>
  <c r="H80" i="7"/>
  <c r="I80" i="7"/>
  <c r="T14" i="5" l="1"/>
  <c r="H68" i="7"/>
  <c r="I68" i="7"/>
  <c r="I21" i="7"/>
  <c r="H21" i="7"/>
  <c r="K15" i="13"/>
  <c r="K17" i="13" s="1"/>
  <c r="I95" i="7"/>
  <c r="H94" i="7"/>
  <c r="K27" i="13"/>
  <c r="K29" i="13" s="1"/>
  <c r="K30" i="13" s="1"/>
  <c r="K10" i="13"/>
  <c r="L26" i="13"/>
  <c r="L19" i="13"/>
  <c r="L14" i="13"/>
  <c r="L33" i="13"/>
  <c r="L18" i="13"/>
  <c r="L8" i="13"/>
  <c r="L9" i="13" s="1"/>
  <c r="M7" i="13"/>
  <c r="L25" i="13"/>
  <c r="L12" i="13"/>
  <c r="L16" i="13"/>
  <c r="L10" i="13" l="1"/>
  <c r="L15" i="13"/>
  <c r="L17" i="13" s="1"/>
  <c r="L27" i="13"/>
  <c r="L29" i="13" s="1"/>
  <c r="L30" i="13" s="1"/>
  <c r="M14" i="13"/>
  <c r="M33" i="13"/>
  <c r="M18" i="13"/>
  <c r="M8" i="13"/>
  <c r="M9" i="13" s="1"/>
  <c r="N7" i="13"/>
  <c r="N33" i="13" s="1"/>
  <c r="M25" i="13"/>
  <c r="M13" i="13"/>
  <c r="M12" i="13"/>
  <c r="M16" i="13"/>
  <c r="M26" i="13"/>
  <c r="M19" i="13"/>
  <c r="K20" i="13"/>
  <c r="K21" i="13" s="1"/>
  <c r="K22" i="13" s="1"/>
  <c r="K24" i="13" s="1"/>
  <c r="M15" i="13" l="1"/>
  <c r="M17" i="13" s="1"/>
  <c r="L20" i="13"/>
  <c r="L21" i="13" s="1"/>
  <c r="L22" i="13" s="1"/>
  <c r="L24" i="13" s="1"/>
  <c r="K32" i="13"/>
  <c r="K34" i="13" s="1"/>
  <c r="K37" i="13" s="1"/>
  <c r="M27" i="13"/>
  <c r="M29" i="13" s="1"/>
  <c r="M30" i="13" s="1"/>
  <c r="N18" i="13"/>
  <c r="N8" i="13"/>
  <c r="N9" i="13" s="1"/>
  <c r="N25" i="13"/>
  <c r="N13" i="13"/>
  <c r="N12" i="13"/>
  <c r="N16" i="13"/>
  <c r="N26" i="13"/>
  <c r="N19" i="13"/>
  <c r="N14" i="13"/>
  <c r="M10" i="13"/>
  <c r="L32" i="13" l="1"/>
  <c r="L34" i="13" s="1"/>
  <c r="L37" i="13" s="1"/>
  <c r="N15" i="13"/>
  <c r="N17" i="13" s="1"/>
  <c r="N10" i="13"/>
  <c r="N27" i="13"/>
  <c r="N29" i="13" s="1"/>
  <c r="N30" i="13" s="1"/>
  <c r="M20" i="13"/>
  <c r="M21" i="13" s="1"/>
  <c r="M22" i="13" s="1"/>
  <c r="M24" i="13" s="1"/>
  <c r="M32" i="13" l="1"/>
  <c r="M34" i="13" s="1"/>
  <c r="M37" i="13" s="1"/>
  <c r="N20" i="13"/>
  <c r="N21" i="13" s="1"/>
  <c r="N22" i="13" s="1"/>
  <c r="N24" i="13" s="1"/>
  <c r="N32" i="13" l="1"/>
  <c r="N34" i="13" s="1"/>
  <c r="C41" i="13" s="1"/>
  <c r="N37" i="13" l="1"/>
  <c r="J34" i="13" l="1"/>
  <c r="J37" i="13" l="1"/>
  <c r="C40" i="13" s="1"/>
  <c r="C42" i="13" s="1"/>
  <c r="C45" i="13" s="1"/>
  <c r="C48" i="13" s="1"/>
  <c r="Z8" i="5"/>
  <c r="I7" i="6"/>
  <c r="E19" i="6" s="1"/>
  <c r="E6" i="8" l="1"/>
  <c r="F6" i="8" s="1"/>
  <c r="C50" i="13"/>
  <c r="Z9" i="5"/>
  <c r="F19" i="6"/>
  <c r="E20" i="6" s="1"/>
  <c r="R22" i="5" l="1"/>
  <c r="AL22" i="5"/>
  <c r="E21" i="6"/>
  <c r="E8" i="8"/>
  <c r="F8" i="8" s="1"/>
  <c r="P10" i="5"/>
  <c r="R10" i="5" s="1"/>
  <c r="T10" i="5" s="1"/>
  <c r="V30" i="5" l="1"/>
  <c r="E7" i="8"/>
  <c r="F7" i="8" l="1"/>
  <c r="F11" i="8"/>
  <c r="F12" i="8" s="1"/>
</calcChain>
</file>

<file path=xl/comments1.xml><?xml version="1.0" encoding="utf-8"?>
<comments xmlns="http://schemas.openxmlformats.org/spreadsheetml/2006/main">
  <authors>
    <author>AHastings756@gmail.com</author>
  </authors>
  <commentList>
    <comment ref="C14" authorId="0">
      <text>
        <r>
          <rPr>
            <sz val="9"/>
            <color indexed="81"/>
            <rFont val="Tahoma"/>
            <family val="2"/>
          </rPr>
          <t>Could not find any bonds for the cost of debt for CYBR or any of it's relatives. However for this number I took the Cost of Debt of SYMC. A more mature cyber tech company.</t>
        </r>
      </text>
    </comment>
  </commentList>
</comments>
</file>

<file path=xl/comments2.xml><?xml version="1.0" encoding="utf-8"?>
<comments xmlns="http://schemas.openxmlformats.org/spreadsheetml/2006/main">
  <authors>
    <author>AHastings756@gmail.com</author>
  </authors>
  <commentList>
    <comment ref="K47" authorId="0">
      <text>
        <r>
          <rPr>
            <b/>
            <sz val="9"/>
            <color indexed="81"/>
            <rFont val="Tahoma"/>
            <family val="2"/>
          </rPr>
          <t xml:space="preserve">Could not find any bonds for the cost of debt for CYBR or any of it's relatives. However for this number I took the Cost of Debt of SYMC. A more mature cyber tech company
</t>
        </r>
      </text>
    </comment>
  </commentList>
</comments>
</file>

<file path=xl/comments3.xml><?xml version="1.0" encoding="utf-8"?>
<comments xmlns="http://schemas.openxmlformats.org/spreadsheetml/2006/main">
  <authors>
    <author>AHastings756@gmail.com</author>
  </authors>
  <commentList>
    <comment ref="Z12" authorId="0">
      <text>
        <r>
          <rPr>
            <b/>
            <sz val="9"/>
            <color indexed="81"/>
            <rFont val="Tahoma"/>
            <family val="2"/>
          </rPr>
          <t xml:space="preserve">0
</t>
        </r>
      </text>
    </comment>
  </commentList>
</comments>
</file>

<file path=xl/comments4.xml><?xml version="1.0" encoding="utf-8"?>
<comments xmlns="http://schemas.openxmlformats.org/spreadsheetml/2006/main">
  <authors>
    <author>AHastings756@gmail.com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No Operating Income available.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 xml:space="preserve">No Operating Income available.
</t>
        </r>
      </text>
    </comment>
  </commentList>
</comments>
</file>

<file path=xl/sharedStrings.xml><?xml version="1.0" encoding="utf-8"?>
<sst xmlns="http://schemas.openxmlformats.org/spreadsheetml/2006/main" count="655" uniqueCount="317">
  <si>
    <t>Return on Equity</t>
  </si>
  <si>
    <t>Leverage Ratio</t>
  </si>
  <si>
    <t>Asset Turnover</t>
  </si>
  <si>
    <t>Operating Profit Margin</t>
  </si>
  <si>
    <t>Interest Burden</t>
  </si>
  <si>
    <t>Tax Burden</t>
  </si>
  <si>
    <t>Return on Assets</t>
  </si>
  <si>
    <t>Profit Margin</t>
  </si>
  <si>
    <t>DuPont</t>
  </si>
  <si>
    <t>Relative Valuation</t>
  </si>
  <si>
    <t>Weighted Average</t>
  </si>
  <si>
    <t>Valutation</t>
  </si>
  <si>
    <t>Discounted Value</t>
  </si>
  <si>
    <t>Weights</t>
  </si>
  <si>
    <t>Market Cap</t>
  </si>
  <si>
    <t>Price to Earnings</t>
  </si>
  <si>
    <t>EPS</t>
  </si>
  <si>
    <t>P/E (ttm)</t>
  </si>
  <si>
    <t>Shares Outstanding</t>
  </si>
  <si>
    <t>Equity</t>
  </si>
  <si>
    <t>EPS Growth (5 yr)</t>
  </si>
  <si>
    <t>Price to Sales</t>
  </si>
  <si>
    <t>Rev/Share</t>
  </si>
  <si>
    <t>P/S (ttm)</t>
  </si>
  <si>
    <t>Cost of Capital</t>
  </si>
  <si>
    <t>Cash and Cash Equivalents</t>
  </si>
  <si>
    <t>Long-Term Debt</t>
  </si>
  <si>
    <t>Price to Book</t>
  </si>
  <si>
    <t>BV/Share</t>
  </si>
  <si>
    <t>Minority Interest</t>
  </si>
  <si>
    <t>P/BV (mrq)</t>
  </si>
  <si>
    <t>Preferred Shares</t>
  </si>
  <si>
    <t>Company weights</t>
  </si>
  <si>
    <t>Metric weights</t>
  </si>
  <si>
    <t>Price to Earnings Growth</t>
  </si>
  <si>
    <t>Earnings Growth</t>
  </si>
  <si>
    <t>PEG (5 yr expected)</t>
  </si>
  <si>
    <t>Enterprise Value to EBITDA</t>
  </si>
  <si>
    <t>EBITDA/Share</t>
  </si>
  <si>
    <t>EV/EBITDA (ttm)</t>
  </si>
  <si>
    <t>Valuation</t>
  </si>
  <si>
    <t>Undervalued</t>
  </si>
  <si>
    <t>Historical Valuation</t>
  </si>
  <si>
    <t>2016E</t>
  </si>
  <si>
    <t>Diluted EPS</t>
  </si>
  <si>
    <t>High Price</t>
  </si>
  <si>
    <t>Low Price</t>
  </si>
  <si>
    <t>High P/E</t>
  </si>
  <si>
    <t>Low P/E</t>
  </si>
  <si>
    <t>3-Year</t>
  </si>
  <si>
    <t>Average</t>
  </si>
  <si>
    <t>Median</t>
  </si>
  <si>
    <t>High</t>
  </si>
  <si>
    <t>Low</t>
  </si>
  <si>
    <t>Discounted</t>
  </si>
  <si>
    <t>Overvalued</t>
  </si>
  <si>
    <t>Growth Rates</t>
  </si>
  <si>
    <t>Period Ending</t>
  </si>
  <si>
    <t>Mean</t>
  </si>
  <si>
    <t># of Years Discounted</t>
  </si>
  <si>
    <t>Net Sales</t>
  </si>
  <si>
    <t>YOY</t>
  </si>
  <si>
    <t>CAGR</t>
  </si>
  <si>
    <t>Cost of Goods Sold</t>
  </si>
  <si>
    <t>% Revenue</t>
  </si>
  <si>
    <t>Research and Development</t>
  </si>
  <si>
    <t xml:space="preserve">Sales, Marketing and Administrative </t>
  </si>
  <si>
    <t>Amortization of acquisition-related intangible assets</t>
  </si>
  <si>
    <t>Total Operating Expenses</t>
  </si>
  <si>
    <t>Interest Income</t>
  </si>
  <si>
    <t>Interest (Expense) other Income (Expense), net</t>
  </si>
  <si>
    <t>Total Other Income (Expense), net</t>
  </si>
  <si>
    <t>Provision for Income Taxes</t>
  </si>
  <si>
    <t>EBT</t>
  </si>
  <si>
    <t>% EBT</t>
  </si>
  <si>
    <t>Depreciation and Amoratization</t>
  </si>
  <si>
    <t>Capital Expenditure</t>
  </si>
  <si>
    <t>Total Current Assets</t>
  </si>
  <si>
    <t>Cash and Cash Equivelant</t>
  </si>
  <si>
    <t>% Current Assets</t>
  </si>
  <si>
    <t xml:space="preserve">Short-term marketable securities </t>
  </si>
  <si>
    <t xml:space="preserve">Total Current Liabilities </t>
  </si>
  <si>
    <t>Short-Term Debt</t>
  </si>
  <si>
    <t>% Current Liabilities</t>
  </si>
  <si>
    <t>Earnings per Share</t>
  </si>
  <si>
    <t>Valuation Divided by Current Price</t>
  </si>
  <si>
    <t>DCF</t>
  </si>
  <si>
    <t>Relatives</t>
  </si>
  <si>
    <t>Historical</t>
  </si>
  <si>
    <t>Current Price</t>
  </si>
  <si>
    <t>Intrinsic Value</t>
  </si>
  <si>
    <t>Margin of Safety</t>
  </si>
  <si>
    <t>Daily</t>
  </si>
  <si>
    <t>Weekly</t>
  </si>
  <si>
    <t>Monthly</t>
  </si>
  <si>
    <t>Beta Regression (Daily)</t>
  </si>
  <si>
    <t>Beta</t>
  </si>
  <si>
    <t>Correlation</t>
  </si>
  <si>
    <t>S&amp;P 500</t>
  </si>
  <si>
    <t>R Square</t>
  </si>
  <si>
    <t>Date</t>
  </si>
  <si>
    <t>Adj Close</t>
  </si>
  <si>
    <t>Change</t>
  </si>
  <si>
    <t>Observations</t>
  </si>
  <si>
    <t>Average Beta</t>
  </si>
  <si>
    <t>Operating expenses:</t>
  </si>
  <si>
    <t>Research and development</t>
  </si>
  <si>
    <t>Total operating expenses</t>
  </si>
  <si>
    <t>Income before income taxes</t>
  </si>
  <si>
    <t>Stage 1</t>
  </si>
  <si>
    <t>Stage 2</t>
  </si>
  <si>
    <t>Stage 3</t>
  </si>
  <si>
    <t>2017E</t>
  </si>
  <si>
    <t>2018E</t>
  </si>
  <si>
    <t>2019E</t>
  </si>
  <si>
    <t>% of</t>
  </si>
  <si>
    <t>Revenue</t>
  </si>
  <si>
    <t>Gross Margin</t>
  </si>
  <si>
    <t>Gross Margin %</t>
  </si>
  <si>
    <t>Sales, General, and Administrative</t>
  </si>
  <si>
    <t>Operating income (EBIT)</t>
  </si>
  <si>
    <t>Interest income</t>
  </si>
  <si>
    <t>Interest (expense) and other income (expense), net</t>
  </si>
  <si>
    <t>Income before income taxes (EBT)</t>
  </si>
  <si>
    <t>Provision for income taxes</t>
  </si>
  <si>
    <t>Net Income</t>
  </si>
  <si>
    <t>Shares outstanding</t>
  </si>
  <si>
    <t>Current Assets</t>
  </si>
  <si>
    <t>Current Liabilities</t>
  </si>
  <si>
    <t>Net Working Capital</t>
  </si>
  <si>
    <t>∆ Net Working Capital</t>
  </si>
  <si>
    <t>Cash from Operations</t>
  </si>
  <si>
    <t>Capital Expenditures</t>
  </si>
  <si>
    <t>Free Cash Flow</t>
  </si>
  <si>
    <t>Discount Period</t>
  </si>
  <si>
    <t>PV of Future Cash Flow</t>
  </si>
  <si>
    <t>DCF Calculations</t>
  </si>
  <si>
    <t>CAPM Assumptions</t>
  </si>
  <si>
    <t>Capital Structure</t>
  </si>
  <si>
    <t>∑ of PV of Future Cash Flows</t>
  </si>
  <si>
    <t>PV of Terminal Value</t>
  </si>
  <si>
    <t>Risk Free</t>
  </si>
  <si>
    <t>Debt</t>
  </si>
  <si>
    <t>Enterprise Value</t>
  </si>
  <si>
    <t>Risk Premium</t>
  </si>
  <si>
    <t>Cash</t>
  </si>
  <si>
    <t>Terminal Growth Rate</t>
  </si>
  <si>
    <t>Other Assumptions</t>
  </si>
  <si>
    <t>Tax Rate</t>
  </si>
  <si>
    <t>Equity Value</t>
  </si>
  <si>
    <t>WACC Assumptions</t>
  </si>
  <si>
    <t>Cost of Equity</t>
  </si>
  <si>
    <t>Cost of Debt</t>
  </si>
  <si>
    <t>Under (Over) Valued</t>
  </si>
  <si>
    <t>Off-Balance Sheet Obligations ($MM)</t>
  </si>
  <si>
    <t>Payments due by Period</t>
  </si>
  <si>
    <t>Total</t>
  </si>
  <si>
    <t>Less than 1 Year</t>
  </si>
  <si>
    <t>2 - 3 Years</t>
  </si>
  <si>
    <t>4 - 5 Years</t>
  </si>
  <si>
    <t>More than 5 Years</t>
  </si>
  <si>
    <t>Revolving credit facility*</t>
  </si>
  <si>
    <t>Long-term debt, including current position*</t>
  </si>
  <si>
    <t>Operating leases</t>
  </si>
  <si>
    <t>Purchase obligations</t>
  </si>
  <si>
    <t>Total Contractual cash obligations</t>
  </si>
  <si>
    <t>Total (PV)</t>
  </si>
  <si>
    <t>CYBR</t>
  </si>
  <si>
    <t>1.46B</t>
  </si>
  <si>
    <t>PANW</t>
  </si>
  <si>
    <t>CyberArk</t>
  </si>
  <si>
    <t>Palo Alto Networks</t>
  </si>
  <si>
    <t>FireEye</t>
  </si>
  <si>
    <t>FEYE</t>
  </si>
  <si>
    <t>CHKP</t>
  </si>
  <si>
    <t>Check Point Software Technologies</t>
  </si>
  <si>
    <t>FTNT</t>
  </si>
  <si>
    <t>Fortinet</t>
  </si>
  <si>
    <t>5.44B</t>
  </si>
  <si>
    <t>14.94B</t>
  </si>
  <si>
    <t>-</t>
  </si>
  <si>
    <t>15.18B</t>
  </si>
  <si>
    <t>3.42B</t>
  </si>
  <si>
    <t>CYBR Multiple</t>
  </si>
  <si>
    <t>Cash &amp; Short Term Investments</t>
  </si>
  <si>
    <t>Cash Only</t>
  </si>
  <si>
    <t>Short-Term Investments</t>
  </si>
  <si>
    <t>Total Accounts Receivable</t>
  </si>
  <si>
    <t>Other Receivables</t>
  </si>
  <si>
    <t>Accounts Receivable Turnover</t>
  </si>
  <si>
    <t>Other Current Assets</t>
  </si>
  <si>
    <t>Prepaid Expenses</t>
  </si>
  <si>
    <t>Miscellaneous Current Assets</t>
  </si>
  <si>
    <t>Net Property, Plant &amp; Equipment</t>
  </si>
  <si>
    <t>Property, Plant &amp; Equipment - Gross</t>
  </si>
  <si>
    <t>Computer Software and Equipment</t>
  </si>
  <si>
    <t>Other Property, Plant &amp; Equipment</t>
  </si>
  <si>
    <t>Accumulated Depreciation</t>
  </si>
  <si>
    <t>Intangible Assets</t>
  </si>
  <si>
    <t>Net Goodwill</t>
  </si>
  <si>
    <t>Other Assets</t>
  </si>
  <si>
    <t>Total Assets</t>
  </si>
  <si>
    <t>Liabilities &amp; Shareholders' Equity</t>
  </si>
  <si>
    <t>ST Debt &amp; Current Portion LT Debt</t>
  </si>
  <si>
    <t>Short Term Debt</t>
  </si>
  <si>
    <t>Current Portion of Long Term Debt</t>
  </si>
  <si>
    <t>Accounts Payable</t>
  </si>
  <si>
    <t>Income Tax Payable</t>
  </si>
  <si>
    <t>Other Current Liabilities</t>
  </si>
  <si>
    <t>Accrued Payroll</t>
  </si>
  <si>
    <t>Miscellaneous Current Liabilities</t>
  </si>
  <si>
    <t>Total Current Liabilities</t>
  </si>
  <si>
    <t>Current Ratio</t>
  </si>
  <si>
    <t>Quick Ratio</t>
  </si>
  <si>
    <t>Cash Ratio</t>
  </si>
  <si>
    <t>Provision for Risks &amp; Charges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</si>
  <si>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</si>
  <si>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</si>
  <si>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</si>
  <si>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</si>
  <si>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</si>
  <si>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</si>
  <si>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Total Liabilities</t>
  </si>
  <si>
    <t>Non-Equity Reserves</t>
  </si>
  <si>
    <t>Preferred Stock (Carrying Value)</t>
  </si>
  <si>
    <t>Non-Redeemable Preferred Stock</t>
  </si>
  <si>
    <t>Common Equity (Total)</t>
  </si>
  <si>
    <t>Common Stock Par/Carry Value</t>
  </si>
  <si>
    <t>Additional Paid-In Capital/Capital Surplus</t>
  </si>
  <si>
    <t>Retained Earnings</t>
  </si>
  <si>
    <t>Other Appropriated Reserves</t>
  </si>
  <si>
    <t>Total Shareholders' Equity</t>
  </si>
  <si>
    <t>Fiscal year is January-December. All values USD Thousands.</t>
  </si>
  <si>
    <t>Cost of Goods Sold (COGS) incl. D&amp;A</t>
  </si>
  <si>
    <t>Gross Income</t>
  </si>
  <si>
    <t>Other Operating Expense</t>
  </si>
  <si>
    <t>Unusual Expense</t>
  </si>
  <si>
    <t>Non Operating Income/Expense</t>
  </si>
  <si>
    <t>Non-Operating Interest Income</t>
  </si>
  <si>
    <t>Interest Expense</t>
  </si>
  <si>
    <t>Consolidated Net Income</t>
  </si>
  <si>
    <t>Net Income After Extraordinaries</t>
  </si>
  <si>
    <t>Preferred Dividends</t>
  </si>
  <si>
    <t>Net Income Available to Common</t>
  </si>
  <si>
    <t>Basic Shares Outstanding</t>
  </si>
  <si>
    <t>Diluted Shares Outstanding</t>
  </si>
  <si>
    <t>EBITDA</t>
  </si>
  <si>
    <t>Other Funds</t>
  </si>
  <si>
    <t>Funds from Operations</t>
  </si>
  <si>
    <t>Other Accruals</t>
  </si>
  <si>
    <t>Other Assets/Liabilities</t>
  </si>
  <si>
    <t>Net Operating Cash Flow</t>
  </si>
  <si>
    <t>Net Assets from Acquisitions</t>
  </si>
  <si>
    <t>Purchase of Investments</t>
  </si>
  <si>
    <t>Sale/Maturity of Investments</t>
  </si>
  <si>
    <t>Other Uses</t>
  </si>
  <si>
    <t>Other Sources</t>
  </si>
  <si>
    <t>Net Investing Cash Flow</t>
  </si>
  <si>
    <t>Cash Dividends Paid - Total</t>
  </si>
  <si>
    <t>Change in Capital Stock</t>
  </si>
  <si>
    <t>Repurchase of Common &amp; Preferred Stk.</t>
  </si>
  <si>
    <t>Sale of Common &amp; Preferred Stock</t>
  </si>
  <si>
    <t>Proceeds from Stock Options</t>
  </si>
  <si>
    <t>Other Proceeds from Sale of Stock</t>
  </si>
  <si>
    <t>Change in Long-Term Debt</t>
  </si>
  <si>
    <t>Net Financing Cash Flow</t>
  </si>
  <si>
    <t>Miscellaneous Funds</t>
  </si>
  <si>
    <t>Net Change in Cash</t>
  </si>
  <si>
    <t>2015 Q1</t>
  </si>
  <si>
    <t>2015 Q2</t>
  </si>
  <si>
    <t>2015 Q3</t>
  </si>
  <si>
    <t>Beta Regression (Weekly)</t>
  </si>
  <si>
    <t>Beta Regression (Monthly)</t>
  </si>
  <si>
    <t>Net Sales/Revenue</t>
  </si>
  <si>
    <t>Diluted EPS (in dollars per share)</t>
  </si>
  <si>
    <t>Basic EPS (in dollars per share)</t>
  </si>
  <si>
    <t>Depreciation &amp; Amortization</t>
  </si>
  <si>
    <t xml:space="preserve">Changes in: </t>
  </si>
  <si>
    <t>Working Capital</t>
  </si>
  <si>
    <t>Accounts Receivable</t>
  </si>
  <si>
    <t>Liabilities Equity</t>
  </si>
  <si>
    <t>Shareholders' Equity</t>
  </si>
  <si>
    <t>Current Assets:</t>
  </si>
  <si>
    <t>Adjustments to Reconcile Net Income to Net Cash Provided by Operations:</t>
  </si>
  <si>
    <t>Cash Flow from Investing Activites:</t>
  </si>
  <si>
    <t>Income Statement</t>
  </si>
  <si>
    <t>Operating Expenses:</t>
  </si>
  <si>
    <t>Earnings Per Share:</t>
  </si>
  <si>
    <t xml:space="preserve">  Research &amp; Development</t>
  </si>
  <si>
    <t xml:space="preserve">  Depreciation &amp; Amortization Expense</t>
  </si>
  <si>
    <t xml:space="preserve">  COGS excluding D&amp;A</t>
  </si>
  <si>
    <t xml:space="preserve">  Depreciation</t>
  </si>
  <si>
    <t>Total Operating Expense</t>
  </si>
  <si>
    <t xml:space="preserve">  Sales, General and Administrative</t>
  </si>
  <si>
    <t>2015 E</t>
  </si>
  <si>
    <t>2 Year</t>
  </si>
  <si>
    <t>Total cost of revenue (COGS)</t>
  </si>
  <si>
    <t>Provision for Income taxes</t>
  </si>
  <si>
    <t>Financing Activities:</t>
  </si>
  <si>
    <t>Issuance/Reduction of Debt, Net:</t>
  </si>
  <si>
    <t>Weighted Average Shares Outstanding:</t>
  </si>
  <si>
    <t>Balance Sheet</t>
  </si>
  <si>
    <t>Cash Flow</t>
  </si>
  <si>
    <t>SPLK</t>
  </si>
  <si>
    <t>SPLUNK</t>
  </si>
  <si>
    <t>7.63B</t>
  </si>
  <si>
    <t>2Q  15</t>
  </si>
  <si>
    <t>3Q 15</t>
  </si>
  <si>
    <t>1Q 15</t>
  </si>
  <si>
    <t>2015E</t>
  </si>
  <si>
    <t>information unavailable</t>
  </si>
  <si>
    <t>Discounted Cash Flows Model ($M)</t>
  </si>
  <si>
    <t>Amounts in Thousands</t>
  </si>
  <si>
    <t>Net Income 2015E</t>
  </si>
  <si>
    <t>EPS 2015E</t>
  </si>
  <si>
    <t>EBITDA 2015E</t>
  </si>
  <si>
    <t>Sales 2015E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</si>
</sst>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* #,##0.00_);\(#,##0.00\)"/>
    <numFmt numFmtId="166" formatCode="&quot;$&quot;#,##0;\-&quot;$&quot;#,##0"/>
    <numFmt numFmtId="167" formatCode="#,##0;\-#,##0;&quot;-&quot;"/>
    <numFmt numFmtId="168" formatCode="_(* #,##0,,_);_(* \(#,##0,,\);_(* &quot;-&quot;_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\ ;\(#,##0.0\)"/>
    <numFmt numFmtId="174" formatCode="_(* #,##0.00_);_(* \(#,##0.00\);_(* \-??_);_(@_)"/>
    <numFmt numFmtId="175" formatCode="#,##0.00;\-#,##0.00;&quot;-&quot;"/>
    <numFmt numFmtId="176" formatCode="_._.* \(#,##0\)_%;_._.* #,##0_)_%;_._.* 0_)_%;_._.@_)_%"/>
    <numFmt numFmtId="177" formatCode="_._.&quot;$&quot;* \(#,##0\)_%;_._.&quot;$&quot;* #,##0_)_%;_._.&quot;$&quot;* 0_)_%;_._.@_)_%"/>
    <numFmt numFmtId="178" formatCode="&quot;$&quot;0.00_)"/>
    <numFmt numFmtId="179" formatCode="_(\$* #,##0.00_);_(\$* \(#,##0.00\);_(\$* \-??_);_(@_)"/>
    <numFmt numFmtId="180" formatCode="&quot;SFr.&quot;\ #,##0.00;&quot;SFr.&quot;\ \-#,##0.00"/>
    <numFmt numFmtId="181" formatCode="#,##0;\(#,##0\)"/>
    <numFmt numFmtId="182" formatCode="_([$€-2]* #,##0.00_);_([$€-2]* \(#,##0.00\);_([$€-2]* &quot;-&quot;??_)"/>
    <numFmt numFmtId="183" formatCode="&quot;$&quot;#,##0;[Red]\-&quot;$&quot;#,##0"/>
    <numFmt numFmtId="184" formatCode="&quot;$&quot;#,##0.00;[Red]\-&quot;$&quot;#,##0.00"/>
    <numFmt numFmtId="185" formatCode="#,##0.0_);\(#,##0.0\)"/>
    <numFmt numFmtId="186" formatCode="#,##0.0\ ;\(#,##0.0\)"/>
    <numFmt numFmtId="187" formatCode="0%;\(0%\)"/>
    <numFmt numFmtId="188" formatCode="#,##0;[Red]\(#,##0\)"/>
    <numFmt numFmtId="189" formatCode="#,##0___);\(#,##0.00\)"/>
    <numFmt numFmtId="190" formatCode="#,##0&quot;%&quot;"/>
    <numFmt numFmtId="191" formatCode="#,##0_);[Red]\(#,##0\);&quot;-&quot;"/>
    <numFmt numFmtId="192" formatCode="*-"/>
    <numFmt numFmtId="193" formatCode="_-&quot;$&quot;* #,##0_-;\-&quot;$&quot;* #,##0_-;_-&quot;$&quot;* &quot;-&quot;_-;_-@_-"/>
    <numFmt numFmtId="194" formatCode="_-&quot;$&quot;* #,##0.00_-;\-&quot;$&quot;* #,##0.00_-;_-&quot;$&quot;* &quot;-&quot;??_-;_-@_-"/>
    <numFmt numFmtId="195" formatCode="_(&quot;$&quot;* #,##0_);_(&quot;$&quot;* \(#,##0\);_(&quot;$&quot;* &quot;-&quot;??_);_(@_)"/>
    <numFmt numFmtId="196" formatCode="_(* #,##0_);_(* \(#,##0\);_(* &quot;-&quot;??_);_(@_)"/>
    <numFmt numFmtId="197" formatCode="#,###,,"/>
    <numFmt numFmtId="198" formatCode="0.0%"/>
    <numFmt numFmtId="199" formatCode="&quot;$&quot;#,###,,"/>
    <numFmt numFmtId="200" formatCode="[$$-409]#,##0.00;[Red]\-[$$-409]#,##0.00"/>
    <numFmt numFmtId="201" formatCode="_(* #,##0.0_);_(* \(#,##0.0\);_(* &quot;-&quot;??_);_(@_)"/>
    <numFmt numFmtId="202" formatCode="&quot;$&quot;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Helv"/>
    </font>
    <font>
      <sz val="11"/>
      <color rgb="FF000000"/>
      <name val="Calibri"/>
      <family val="2"/>
      <charset val="1"/>
    </font>
    <font>
      <sz val="11"/>
      <color indexed="8"/>
      <name val="Calibri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3"/>
      <color theme="3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14"/>
      <name val="Arial"/>
      <family val="2"/>
    </font>
    <font>
      <sz val="10"/>
      <name val="Verdana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</font>
    <font>
      <b/>
      <sz val="10"/>
      <color indexed="10"/>
      <name val="Arial"/>
      <family val="2"/>
    </font>
    <font>
      <sz val="8"/>
      <name val="Tms Rmn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color theme="1"/>
      <name val="Calibri"/>
      <family val="2"/>
      <charset val="1"/>
    </font>
    <font>
      <sz val="10"/>
      <color indexed="8"/>
      <name val="Calibri"/>
      <family val="2"/>
      <charset val="1"/>
    </font>
    <font>
      <sz val="11"/>
      <name val="Calibri"/>
      <family val="2"/>
      <scheme val="minor"/>
    </font>
    <font>
      <sz val="6"/>
      <color theme="1"/>
      <name val="Arial"/>
      <family val="2"/>
    </font>
    <font>
      <sz val="6"/>
      <color rgb="FF45923D"/>
      <name val="Arial"/>
      <family val="2"/>
    </font>
    <font>
      <sz val="6"/>
      <color rgb="FFFF0000"/>
      <name val="Arial"/>
      <family val="2"/>
    </font>
    <font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sz val="11"/>
      <color rgb="FF45923D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7E84FA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6699FF"/>
        <bgColor rgb="FF993300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rgb="FF0070C0"/>
      </left>
      <right/>
      <top style="dashed">
        <color rgb="FF0070C0"/>
      </top>
      <bottom style="dashed">
        <color rgb="FF0070C0"/>
      </bottom>
      <diagonal/>
    </border>
    <border>
      <left/>
      <right/>
      <top style="dashed">
        <color rgb="FF0070C0"/>
      </top>
      <bottom style="dashed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/>
      <right/>
      <top/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medium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7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6" fillId="0" borderId="0">
      <alignment horizontal="center"/>
    </xf>
    <xf numFmtId="37" fontId="7" fillId="0" borderId="0"/>
    <xf numFmtId="37" fontId="8" fillId="0" borderId="0"/>
    <xf numFmtId="166" fontId="9" fillId="0" borderId="10" applyAlignment="0" applyProtection="0"/>
    <xf numFmtId="166" fontId="9" fillId="0" borderId="10" applyAlignment="0" applyProtection="0"/>
    <xf numFmtId="167" fontId="10" fillId="0" borderId="0" applyFill="0" applyBorder="0" applyAlignment="0"/>
    <xf numFmtId="168" fontId="11" fillId="0" borderId="0" applyFill="0" applyBorder="0" applyAlignment="0"/>
    <xf numFmtId="169" fontId="11" fillId="0" borderId="0" applyFill="0" applyBorder="0" applyAlignment="0"/>
    <xf numFmtId="170" fontId="11" fillId="0" borderId="0" applyFill="0" applyBorder="0" applyAlignment="0"/>
    <xf numFmtId="171" fontId="11" fillId="0" borderId="0" applyFill="0" applyBorder="0" applyAlignment="0"/>
    <xf numFmtId="167" fontId="10" fillId="0" borderId="0" applyFill="0" applyBorder="0" applyAlignment="0"/>
    <xf numFmtId="172" fontId="11" fillId="0" borderId="0" applyFill="0" applyBorder="0" applyAlignment="0"/>
    <xf numFmtId="168" fontId="11" fillId="0" borderId="0" applyFill="0" applyBorder="0" applyAlignment="0"/>
    <xf numFmtId="0" fontId="12" fillId="0" borderId="0" applyFill="0" applyBorder="0" applyProtection="0">
      <alignment horizontal="center"/>
      <protection locked="0"/>
    </xf>
    <xf numFmtId="0" fontId="13" fillId="0" borderId="0"/>
    <xf numFmtId="173" fontId="13" fillId="0" borderId="6"/>
    <xf numFmtId="167" fontId="11" fillId="0" borderId="0" applyFont="0" applyFill="0" applyBorder="0" applyAlignment="0" applyProtection="0"/>
    <xf numFmtId="174" fontId="14" fillId="0" borderId="0" applyBorder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174" fontId="14" fillId="0" borderId="0" applyBorder="0" applyProtection="0"/>
    <xf numFmtId="174" fontId="14" fillId="0" borderId="0" applyBorder="0" applyProtection="0"/>
    <xf numFmtId="174" fontId="14" fillId="0" borderId="0" applyBorder="0" applyProtection="0"/>
    <xf numFmtId="43" fontId="1" fillId="0" borderId="0" applyFont="0" applyFill="0" applyBorder="0" applyAlignment="0" applyProtection="0"/>
    <xf numFmtId="174" fontId="14" fillId="0" borderId="0" applyBorder="0" applyProtection="0"/>
    <xf numFmtId="43" fontId="1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Fill="0" applyBorder="0" applyAlignment="0" applyProtection="0">
      <protection locked="0"/>
    </xf>
    <xf numFmtId="175" fontId="11" fillId="0" borderId="0">
      <alignment horizontal="center"/>
    </xf>
    <xf numFmtId="176" fontId="18" fillId="0" borderId="0" applyFill="0" applyBorder="0" applyProtection="0"/>
    <xf numFmtId="177" fontId="19" fillId="0" borderId="0" applyFont="0" applyFill="0" applyBorder="0" applyAlignment="0" applyProtection="0"/>
    <xf numFmtId="178" fontId="20" fillId="0" borderId="17">
      <protection hidden="1"/>
    </xf>
    <xf numFmtId="178" fontId="20" fillId="0" borderId="17">
      <protection hidden="1"/>
    </xf>
    <xf numFmtId="168" fontId="11" fillId="0" borderId="0" applyFont="0" applyFill="0" applyBorder="0" applyAlignment="0" applyProtection="0"/>
    <xf numFmtId="179" fontId="14" fillId="0" borderId="0" applyBorder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4" fillId="0" borderId="0" applyBorder="0" applyProtection="0"/>
    <xf numFmtId="179" fontId="14" fillId="0" borderId="0" applyBorder="0" applyProtection="0"/>
    <xf numFmtId="179" fontId="14" fillId="0" borderId="0" applyBorder="0" applyProtection="0"/>
    <xf numFmtId="44" fontId="1" fillId="0" borderId="0" applyFont="0" applyFill="0" applyBorder="0" applyAlignment="0" applyProtection="0"/>
    <xf numFmtId="179" fontId="14" fillId="0" borderId="0" applyBorder="0" applyProtection="0"/>
    <xf numFmtId="44" fontId="1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" fontId="6" fillId="0" borderId="0"/>
    <xf numFmtId="14" fontId="21" fillId="0" borderId="0">
      <alignment horizontal="center"/>
    </xf>
    <xf numFmtId="14" fontId="10" fillId="0" borderId="0" applyFill="0" applyBorder="0" applyAlignment="0"/>
    <xf numFmtId="15" fontId="22" fillId="7" borderId="0" applyNumberFormat="0" applyFont="0" applyFill="0" applyBorder="0" applyAlignment="0">
      <alignment horizontal="center" wrapText="1"/>
    </xf>
    <xf numFmtId="0" fontId="10" fillId="0" borderId="18" applyNumberFormat="0" applyFill="0" applyBorder="0" applyAlignment="0" applyProtection="0"/>
    <xf numFmtId="0" fontId="10" fillId="0" borderId="18" applyNumberFormat="0" applyFill="0" applyBorder="0" applyAlignment="0" applyProtection="0"/>
    <xf numFmtId="180" fontId="13" fillId="0" borderId="0" applyFont="0" applyFill="0" applyBorder="0" applyAlignment="0" applyProtection="0"/>
    <xf numFmtId="181" fontId="19" fillId="0" borderId="0" applyFont="0" applyFill="0" applyBorder="0" applyAlignment="0" applyProtection="0"/>
    <xf numFmtId="167" fontId="23" fillId="0" borderId="0" applyFill="0" applyBorder="0" applyAlignment="0"/>
    <xf numFmtId="168" fontId="11" fillId="0" borderId="0" applyFill="0" applyBorder="0" applyAlignment="0"/>
    <xf numFmtId="167" fontId="23" fillId="0" borderId="0" applyFill="0" applyBorder="0" applyAlignment="0"/>
    <xf numFmtId="172" fontId="11" fillId="0" borderId="0" applyFill="0" applyBorder="0" applyAlignment="0"/>
    <xf numFmtId="168" fontId="11" fillId="0" borderId="0" applyFill="0" applyBorder="0" applyAlignment="0"/>
    <xf numFmtId="178" fontId="20" fillId="0" borderId="17">
      <protection hidden="1"/>
    </xf>
    <xf numFmtId="178" fontId="20" fillId="0" borderId="17">
      <protection hidden="1"/>
    </xf>
    <xf numFmtId="182" fontId="1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38" fontId="25" fillId="7" borderId="0" applyNumberFormat="0" applyBorder="0" applyAlignment="0" applyProtection="0"/>
    <xf numFmtId="0" fontId="26" fillId="0" borderId="19" applyNumberFormat="0" applyAlignment="0" applyProtection="0">
      <alignment horizontal="left" vertical="center"/>
    </xf>
    <xf numFmtId="0" fontId="26" fillId="0" borderId="19" applyNumberFormat="0" applyAlignment="0" applyProtection="0">
      <alignment horizontal="left" vertical="center"/>
    </xf>
    <xf numFmtId="0" fontId="26" fillId="0" borderId="8">
      <alignment horizontal="left" vertical="center"/>
    </xf>
    <xf numFmtId="0" fontId="26" fillId="0" borderId="8">
      <alignment horizontal="left" vertical="center"/>
    </xf>
    <xf numFmtId="14" fontId="27" fillId="8" borderId="17">
      <alignment horizontal="center" vertical="center" wrapText="1"/>
    </xf>
    <xf numFmtId="0" fontId="28" fillId="0" borderId="1" applyNumberFormat="0" applyFill="0" applyAlignment="0" applyProtection="0"/>
    <xf numFmtId="14" fontId="27" fillId="8" borderId="17">
      <alignment horizontal="center" vertical="center" wrapText="1"/>
    </xf>
    <xf numFmtId="0" fontId="12" fillId="0" borderId="0" applyFill="0" applyAlignment="0" applyProtection="0">
      <protection locked="0"/>
    </xf>
    <xf numFmtId="0" fontId="12" fillId="0" borderId="6" applyFill="0" applyAlignment="0" applyProtection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0" fontId="25" fillId="9" borderId="18" applyNumberFormat="0" applyBorder="0" applyAlignment="0" applyProtection="0"/>
    <xf numFmtId="10" fontId="25" fillId="9" borderId="18" applyNumberFormat="0" applyBorder="0" applyAlignment="0" applyProtection="0"/>
    <xf numFmtId="167" fontId="30" fillId="0" borderId="0" applyFill="0" applyBorder="0" applyAlignment="0"/>
    <xf numFmtId="168" fontId="11" fillId="0" borderId="0" applyFill="0" applyBorder="0" applyAlignment="0"/>
    <xf numFmtId="167" fontId="30" fillId="0" borderId="0" applyFill="0" applyBorder="0" applyAlignment="0"/>
    <xf numFmtId="172" fontId="11" fillId="0" borderId="0" applyFill="0" applyBorder="0" applyAlignment="0"/>
    <xf numFmtId="168" fontId="11" fillId="0" borderId="0" applyFill="0" applyBorder="0" applyAlignment="0"/>
    <xf numFmtId="183" fontId="19" fillId="0" borderId="0" applyFont="0" applyFill="0" applyBorder="0" applyAlignment="0" applyProtection="0"/>
    <xf numFmtId="184" fontId="19" fillId="0" borderId="0" applyFont="0" applyFill="0" applyBorder="0" applyAlignment="0" applyProtection="0"/>
    <xf numFmtId="185" fontId="6" fillId="0" borderId="6"/>
    <xf numFmtId="186" fontId="13" fillId="0" borderId="0"/>
    <xf numFmtId="187" fontId="11" fillId="0" borderId="0"/>
    <xf numFmtId="0" fontId="31" fillId="0" borderId="0"/>
    <xf numFmtId="0" fontId="3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3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4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0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31" fillId="0" borderId="0"/>
    <xf numFmtId="0" fontId="15" fillId="0" borderId="0"/>
    <xf numFmtId="0" fontId="31" fillId="0" borderId="0"/>
    <xf numFmtId="0" fontId="15" fillId="0" borderId="0"/>
    <xf numFmtId="0" fontId="31" fillId="0" borderId="0"/>
    <xf numFmtId="0" fontId="31" fillId="0" borderId="0"/>
    <xf numFmtId="0" fontId="11" fillId="0" borderId="0">
      <alignment vertical="top"/>
    </xf>
    <xf numFmtId="0" fontId="31" fillId="0" borderId="0"/>
    <xf numFmtId="0" fontId="31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188" fontId="10" fillId="10" borderId="0">
      <alignment horizontal="right"/>
    </xf>
    <xf numFmtId="0" fontId="32" fillId="10" borderId="20"/>
    <xf numFmtId="0" fontId="32" fillId="10" borderId="20"/>
    <xf numFmtId="189" fontId="33" fillId="0" borderId="0"/>
    <xf numFmtId="190" fontId="20" fillId="0" borderId="0">
      <protection hidden="1"/>
    </xf>
    <xf numFmtId="171" fontId="11" fillId="0" borderId="0" applyFont="0" applyFill="0" applyBorder="0" applyAlignment="0" applyProtection="0"/>
    <xf numFmtId="187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9" fontId="14" fillId="0" borderId="0" applyBorder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Border="0" applyProtection="0"/>
    <xf numFmtId="9" fontId="14" fillId="0" borderId="0" applyBorder="0" applyProtection="0"/>
    <xf numFmtId="9" fontId="14" fillId="0" borderId="0" applyBorder="0" applyProtection="0"/>
    <xf numFmtId="9" fontId="1" fillId="0" borderId="0" applyFont="0" applyFill="0" applyBorder="0" applyAlignment="0" applyProtection="0"/>
    <xf numFmtId="9" fontId="14" fillId="0" borderId="0" applyBorder="0" applyProtection="0"/>
    <xf numFmtId="185" fontId="6" fillId="0" borderId="0"/>
    <xf numFmtId="167" fontId="34" fillId="0" borderId="0" applyFill="0" applyBorder="0" applyAlignment="0"/>
    <xf numFmtId="168" fontId="11" fillId="0" borderId="0" applyFill="0" applyBorder="0" applyAlignment="0"/>
    <xf numFmtId="167" fontId="34" fillId="0" borderId="0" applyFill="0" applyBorder="0" applyAlignment="0"/>
    <xf numFmtId="172" fontId="11" fillId="0" borderId="0" applyFill="0" applyBorder="0" applyAlignment="0"/>
    <xf numFmtId="168" fontId="11" fillId="0" borderId="0" applyFill="0" applyBorder="0" applyAlignment="0"/>
    <xf numFmtId="37" fontId="35" fillId="0" borderId="21"/>
    <xf numFmtId="49" fontId="10" fillId="0" borderId="0" applyFill="0" applyBorder="0" applyAlignment="0"/>
    <xf numFmtId="191" fontId="11" fillId="0" borderId="0" applyFill="0" applyBorder="0" applyAlignment="0"/>
    <xf numFmtId="192" fontId="11" fillId="0" borderId="0" applyFill="0" applyBorder="0" applyAlignment="0"/>
    <xf numFmtId="0" fontId="36" fillId="0" borderId="0" applyFill="0" applyBorder="0" applyProtection="0">
      <alignment horizontal="left" vertical="top"/>
    </xf>
    <xf numFmtId="40" fontId="37" fillId="0" borderId="0"/>
    <xf numFmtId="0" fontId="2" fillId="0" borderId="0" applyNumberFormat="0" applyFill="0" applyBorder="0" applyAlignment="0" applyProtection="0"/>
    <xf numFmtId="37" fontId="35" fillId="0" borderId="6"/>
    <xf numFmtId="37" fontId="35" fillId="0" borderId="22"/>
    <xf numFmtId="193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0" fontId="11" fillId="0" borderId="0"/>
  </cellStyleXfs>
  <cellXfs count="502">
    <xf numFmtId="0" fontId="0" fillId="0" borderId="0" xfId="0"/>
    <xf numFmtId="0" fontId="0" fillId="3" borderId="0" xfId="0" applyFill="1"/>
    <xf numFmtId="0" fontId="0" fillId="4" borderId="0" xfId="0" applyFill="1"/>
    <xf numFmtId="10" fontId="5" fillId="4" borderId="3" xfId="0" applyNumberFormat="1" applyFont="1" applyFill="1" applyBorder="1" applyAlignment="1" applyProtection="1"/>
    <xf numFmtId="0" fontId="0" fillId="0" borderId="4" xfId="0" applyBorder="1"/>
    <xf numFmtId="164" fontId="5" fillId="0" borderId="0" xfId="0" applyNumberFormat="1" applyFont="1" applyFill="1" applyBorder="1" applyAlignment="1" applyProtection="1"/>
    <xf numFmtId="0" fontId="0" fillId="0" borderId="5" xfId="0" applyBorder="1"/>
    <xf numFmtId="0" fontId="0" fillId="0" borderId="7" xfId="0" applyBorder="1"/>
    <xf numFmtId="10" fontId="5" fillId="4" borderId="8" xfId="0" applyNumberFormat="1" applyFont="1" applyFill="1" applyBorder="1" applyAlignment="1" applyProtection="1"/>
    <xf numFmtId="0" fontId="0" fillId="0" borderId="9" xfId="0" applyBorder="1"/>
    <xf numFmtId="10" fontId="5" fillId="4" borderId="10" xfId="0" applyNumberFormat="1" applyFont="1" applyFill="1" applyBorder="1" applyAlignment="1" applyProtection="1"/>
    <xf numFmtId="0" fontId="0" fillId="0" borderId="11" xfId="0" applyBorder="1"/>
    <xf numFmtId="0" fontId="0" fillId="0" borderId="6" xfId="0" applyBorder="1"/>
    <xf numFmtId="0" fontId="0" fillId="0" borderId="0" xfId="0" applyBorder="1"/>
    <xf numFmtId="0" fontId="0" fillId="0" borderId="13" xfId="0" applyBorder="1"/>
    <xf numFmtId="0" fontId="0" fillId="5" borderId="0" xfId="0" applyFill="1" applyBorder="1"/>
    <xf numFmtId="0" fontId="0" fillId="0" borderId="15" xfId="0" applyBorder="1"/>
    <xf numFmtId="0" fontId="0" fillId="0" borderId="16" xfId="0" applyBorder="1"/>
    <xf numFmtId="0" fontId="0" fillId="6" borderId="0" xfId="0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0" fillId="0" borderId="0" xfId="0" applyFill="1" applyBorder="1"/>
    <xf numFmtId="2" fontId="0" fillId="0" borderId="0" xfId="0" applyNumberFormat="1" applyBorder="1"/>
    <xf numFmtId="2" fontId="0" fillId="0" borderId="0" xfId="0" applyNumberFormat="1" applyFill="1" applyBorder="1"/>
    <xf numFmtId="9" fontId="0" fillId="0" borderId="12" xfId="0" applyNumberFormat="1" applyFill="1" applyBorder="1"/>
    <xf numFmtId="0" fontId="4" fillId="0" borderId="16" xfId="0" applyFont="1" applyBorder="1"/>
    <xf numFmtId="10" fontId="0" fillId="0" borderId="29" xfId="3" applyNumberFormat="1" applyFont="1" applyFill="1" applyBorder="1"/>
    <xf numFmtId="9" fontId="0" fillId="0" borderId="0" xfId="3" applyFont="1"/>
    <xf numFmtId="0" fontId="0" fillId="0" borderId="0" xfId="0" applyFill="1"/>
    <xf numFmtId="0" fontId="0" fillId="4" borderId="0" xfId="0" applyFill="1" applyBorder="1"/>
    <xf numFmtId="0" fontId="0" fillId="0" borderId="0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8" fontId="0" fillId="0" borderId="0" xfId="0" applyNumberFormat="1"/>
    <xf numFmtId="0" fontId="0" fillId="5" borderId="0" xfId="0" applyFill="1"/>
    <xf numFmtId="195" fontId="0" fillId="0" borderId="0" xfId="2" applyNumberFormat="1" applyFont="1" applyBorder="1"/>
    <xf numFmtId="9" fontId="0" fillId="0" borderId="0" xfId="3" applyFont="1" applyBorder="1"/>
    <xf numFmtId="9" fontId="0" fillId="0" borderId="0" xfId="0" applyNumberFormat="1" applyBorder="1"/>
    <xf numFmtId="196" fontId="0" fillId="0" borderId="0" xfId="1" applyNumberFormat="1" applyFont="1" applyBorder="1"/>
    <xf numFmtId="0" fontId="0" fillId="0" borderId="0" xfId="2" applyNumberFormat="1" applyFont="1" applyBorder="1"/>
    <xf numFmtId="0" fontId="0" fillId="0" borderId="0" xfId="0" applyNumberFormat="1" applyFill="1" applyBorder="1"/>
    <xf numFmtId="9" fontId="0" fillId="0" borderId="0" xfId="3" applyFont="1" applyFill="1" applyBorder="1"/>
    <xf numFmtId="0" fontId="0" fillId="0" borderId="12" xfId="0" applyFill="1" applyBorder="1"/>
    <xf numFmtId="9" fontId="0" fillId="0" borderId="0" xfId="0" applyNumberFormat="1" applyFill="1" applyBorder="1"/>
    <xf numFmtId="44" fontId="0" fillId="0" borderId="0" xfId="2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11" borderId="0" xfId="0" applyFill="1" applyBorder="1"/>
    <xf numFmtId="0" fontId="0" fillId="5" borderId="0" xfId="0" applyFill="1" applyBorder="1" applyAlignment="1">
      <alignment vertical="top" wrapText="1"/>
    </xf>
    <xf numFmtId="0" fontId="4" fillId="5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198" fontId="14" fillId="0" borderId="0" xfId="145" applyNumberFormat="1" applyFont="1" applyBorder="1" applyAlignment="1" applyProtection="1"/>
    <xf numFmtId="0" fontId="14" fillId="12" borderId="13" xfId="113" applyFont="1" applyFill="1" applyBorder="1"/>
    <xf numFmtId="0" fontId="14" fillId="12" borderId="0" xfId="113" applyFont="1" applyFill="1" applyBorder="1"/>
    <xf numFmtId="0" fontId="14" fillId="12" borderId="12" xfId="113" applyFont="1" applyFill="1" applyBorder="1"/>
    <xf numFmtId="0" fontId="0" fillId="5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1"/>
    </xf>
    <xf numFmtId="0" fontId="14" fillId="0" borderId="13" xfId="113" applyFont="1" applyBorder="1"/>
    <xf numFmtId="0" fontId="14" fillId="0" borderId="0" xfId="113" applyFont="1" applyBorder="1"/>
    <xf numFmtId="0" fontId="14" fillId="0" borderId="12" xfId="113" applyFont="1" applyBorder="1"/>
    <xf numFmtId="0" fontId="14" fillId="0" borderId="36" xfId="113" applyFont="1" applyBorder="1"/>
    <xf numFmtId="0" fontId="14" fillId="0" borderId="35" xfId="113" applyFont="1" applyBorder="1"/>
    <xf numFmtId="0" fontId="0" fillId="0" borderId="0" xfId="0" applyFill="1" applyBorder="1" applyAlignment="1">
      <alignment vertical="top" wrapText="1"/>
    </xf>
    <xf numFmtId="14" fontId="0" fillId="0" borderId="0" xfId="0" applyNumberFormat="1"/>
    <xf numFmtId="198" fontId="14" fillId="0" borderId="20" xfId="145" applyNumberFormat="1" applyFont="1" applyBorder="1" applyAlignment="1" applyProtection="1"/>
    <xf numFmtId="198" fontId="14" fillId="0" borderId="12" xfId="145" applyNumberFormat="1" applyFont="1" applyBorder="1" applyAlignment="1" applyProtection="1"/>
    <xf numFmtId="0" fontId="14" fillId="0" borderId="0" xfId="145" applyNumberFormat="1" applyFont="1" applyBorder="1" applyAlignment="1" applyProtection="1"/>
    <xf numFmtId="14" fontId="14" fillId="0" borderId="0" xfId="113" applyNumberFormat="1"/>
    <xf numFmtId="0" fontId="41" fillId="0" borderId="0" xfId="113" applyFont="1" applyBorder="1" applyAlignment="1">
      <alignment horizontal="right" vertical="center" wrapText="1"/>
    </xf>
    <xf numFmtId="0" fontId="14" fillId="0" borderId="0" xfId="113" applyBorder="1"/>
    <xf numFmtId="14" fontId="14" fillId="0" borderId="0" xfId="113" applyNumberFormat="1" applyBorder="1"/>
    <xf numFmtId="0" fontId="14" fillId="0" borderId="0" xfId="113"/>
    <xf numFmtId="14" fontId="14" fillId="4" borderId="0" xfId="113" applyNumberFormat="1" applyFill="1"/>
    <xf numFmtId="0" fontId="14" fillId="4" borderId="0" xfId="113" applyFill="1"/>
    <xf numFmtId="198" fontId="14" fillId="4" borderId="0" xfId="145" applyNumberFormat="1" applyFont="1" applyFill="1" applyBorder="1" applyAlignment="1" applyProtection="1"/>
    <xf numFmtId="0" fontId="14" fillId="4" borderId="0" xfId="113" applyFill="1" applyBorder="1"/>
    <xf numFmtId="14" fontId="14" fillId="4" borderId="0" xfId="113" applyNumberFormat="1" applyFill="1" applyBorder="1"/>
    <xf numFmtId="6" fontId="0" fillId="0" borderId="0" xfId="0" applyNumberFormat="1"/>
    <xf numFmtId="3" fontId="0" fillId="0" borderId="0" xfId="0" applyNumberFormat="1"/>
    <xf numFmtId="3" fontId="0" fillId="0" borderId="0" xfId="0" applyNumberFormat="1" applyFill="1" applyBorder="1"/>
    <xf numFmtId="0" fontId="0" fillId="0" borderId="0" xfId="0" applyAlignment="1">
      <alignment horizontal="right"/>
    </xf>
    <xf numFmtId="0" fontId="5" fillId="0" borderId="16" xfId="0" applyNumberFormat="1" applyFont="1" applyFill="1" applyBorder="1" applyAlignment="1" applyProtection="1"/>
    <xf numFmtId="0" fontId="5" fillId="0" borderId="15" xfId="0" applyNumberFormat="1" applyFont="1" applyFill="1" applyBorder="1" applyAlignment="1" applyProtection="1"/>
    <xf numFmtId="0" fontId="5" fillId="0" borderId="14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10" fontId="5" fillId="0" borderId="0" xfId="3" applyNumberFormat="1" applyFont="1" applyFill="1" applyBorder="1" applyAlignment="1" applyProtection="1"/>
    <xf numFmtId="0" fontId="5" fillId="13" borderId="13" xfId="0" applyNumberFormat="1" applyFont="1" applyFill="1" applyBorder="1" applyAlignment="1" applyProtection="1"/>
    <xf numFmtId="0" fontId="5" fillId="13" borderId="0" xfId="0" applyNumberFormat="1" applyFont="1" applyFill="1" applyBorder="1" applyAlignment="1" applyProtection="1"/>
    <xf numFmtId="0" fontId="5" fillId="0" borderId="13" xfId="0" applyNumberFormat="1" applyFont="1" applyFill="1" applyBorder="1" applyAlignment="1" applyProtection="1"/>
    <xf numFmtId="0" fontId="5" fillId="0" borderId="12" xfId="0" applyNumberFormat="1" applyFont="1" applyFill="1" applyBorder="1" applyAlignment="1" applyProtection="1"/>
    <xf numFmtId="195" fontId="5" fillId="0" borderId="0" xfId="0" applyNumberFormat="1" applyFont="1" applyFill="1" applyBorder="1" applyAlignment="1" applyProtection="1"/>
    <xf numFmtId="0" fontId="5" fillId="16" borderId="12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right"/>
    </xf>
    <xf numFmtId="0" fontId="5" fillId="0" borderId="12" xfId="0" applyNumberFormat="1" applyFont="1" applyFill="1" applyBorder="1" applyAlignment="1" applyProtection="1">
      <alignment horizontal="right"/>
    </xf>
    <xf numFmtId="0" fontId="5" fillId="0" borderId="9" xfId="0" applyNumberFormat="1" applyFont="1" applyFill="1" applyBorder="1" applyAlignment="1" applyProtection="1"/>
    <xf numFmtId="0" fontId="5" fillId="0" borderId="18" xfId="0" applyNumberFormat="1" applyFont="1" applyFill="1" applyBorder="1" applyAlignment="1" applyProtection="1"/>
    <xf numFmtId="0" fontId="5" fillId="0" borderId="24" xfId="0" applyNumberFormat="1" applyFont="1" applyFill="1" applyBorder="1" applyAlignment="1" applyProtection="1"/>
    <xf numFmtId="0" fontId="5" fillId="0" borderId="42" xfId="0" applyNumberFormat="1" applyFont="1" applyFill="1" applyBorder="1" applyAlignment="1" applyProtection="1">
      <alignment horizontal="center"/>
    </xf>
    <xf numFmtId="0" fontId="5" fillId="4" borderId="13" xfId="0" applyNumberFormat="1" applyFont="1" applyFill="1" applyBorder="1" applyAlignment="1" applyProtection="1"/>
    <xf numFmtId="195" fontId="5" fillId="4" borderId="0" xfId="2" applyNumberFormat="1" applyFont="1" applyFill="1" applyBorder="1" applyAlignment="1" applyProtection="1"/>
    <xf numFmtId="195" fontId="5" fillId="4" borderId="15" xfId="2" applyNumberFormat="1" applyFont="1" applyFill="1" applyBorder="1" applyAlignment="1" applyProtection="1"/>
    <xf numFmtId="195" fontId="5" fillId="4" borderId="14" xfId="2" applyNumberFormat="1" applyFont="1" applyFill="1" applyBorder="1" applyAlignment="1" applyProtection="1"/>
    <xf numFmtId="9" fontId="5" fillId="13" borderId="5" xfId="0" applyNumberFormat="1" applyFont="1" applyFill="1" applyBorder="1" applyAlignment="1" applyProtection="1"/>
    <xf numFmtId="9" fontId="5" fillId="0" borderId="25" xfId="0" applyNumberFormat="1" applyFont="1" applyFill="1" applyBorder="1" applyAlignment="1" applyProtection="1"/>
    <xf numFmtId="9" fontId="5" fillId="0" borderId="12" xfId="0" applyNumberFormat="1" applyFont="1" applyFill="1" applyBorder="1" applyAlignment="1" applyProtection="1"/>
    <xf numFmtId="196" fontId="5" fillId="0" borderId="0" xfId="1" applyNumberFormat="1" applyFont="1" applyFill="1" applyBorder="1" applyAlignment="1" applyProtection="1"/>
    <xf numFmtId="196" fontId="43" fillId="0" borderId="0" xfId="1" applyNumberFormat="1" applyFont="1" applyFill="1" applyBorder="1" applyAlignment="1" applyProtection="1"/>
    <xf numFmtId="196" fontId="43" fillId="0" borderId="12" xfId="1" applyNumberFormat="1" applyFont="1" applyFill="1" applyBorder="1" applyAlignment="1" applyProtection="1"/>
    <xf numFmtId="9" fontId="5" fillId="0" borderId="12" xfId="3" applyFont="1" applyFill="1" applyBorder="1" applyAlignment="1" applyProtection="1"/>
    <xf numFmtId="0" fontId="42" fillId="0" borderId="13" xfId="0" applyNumberFormat="1" applyFont="1" applyFill="1" applyBorder="1" applyAlignment="1" applyProtection="1"/>
    <xf numFmtId="196" fontId="42" fillId="0" borderId="0" xfId="1" applyNumberFormat="1" applyFont="1" applyFill="1" applyBorder="1" applyAlignment="1" applyProtection="1"/>
    <xf numFmtId="196" fontId="42" fillId="0" borderId="13" xfId="1" applyNumberFormat="1" applyFont="1" applyFill="1" applyBorder="1" applyAlignment="1" applyProtection="1"/>
    <xf numFmtId="196" fontId="42" fillId="0" borderId="12" xfId="1" applyNumberFormat="1" applyFont="1" applyFill="1" applyBorder="1" applyAlignment="1" applyProtection="1"/>
    <xf numFmtId="0" fontId="5" fillId="13" borderId="5" xfId="0" applyNumberFormat="1" applyFont="1" applyFill="1" applyBorder="1" applyAlignment="1" applyProtection="1"/>
    <xf numFmtId="0" fontId="5" fillId="0" borderId="25" xfId="0" applyNumberFormat="1" applyFont="1" applyFill="1" applyBorder="1" applyAlignment="1" applyProtection="1"/>
    <xf numFmtId="9" fontId="5" fillId="0" borderId="0" xfId="0" applyNumberFormat="1" applyFont="1" applyFill="1" applyBorder="1" applyAlignment="1" applyProtection="1"/>
    <xf numFmtId="197" fontId="44" fillId="0" borderId="0" xfId="0" applyNumberFormat="1" applyFont="1" applyFill="1" applyBorder="1" applyAlignment="1" applyProtection="1"/>
    <xf numFmtId="0" fontId="44" fillId="0" borderId="0" xfId="0" applyNumberFormat="1" applyFont="1" applyFill="1" applyBorder="1" applyAlignment="1" applyProtection="1"/>
    <xf numFmtId="0" fontId="5" fillId="0" borderId="13" xfId="0" applyNumberFormat="1" applyFont="1" applyFill="1" applyBorder="1" applyAlignment="1" applyProtection="1">
      <alignment horizontal="left" indent="1"/>
    </xf>
    <xf numFmtId="196" fontId="5" fillId="0" borderId="13" xfId="1" applyNumberFormat="1" applyFont="1" applyFill="1" applyBorder="1" applyAlignment="1" applyProtection="1"/>
    <xf numFmtId="196" fontId="5" fillId="0" borderId="12" xfId="1" applyNumberFormat="1" applyFont="1" applyFill="1" applyBorder="1" applyAlignment="1" applyProtection="1"/>
    <xf numFmtId="9" fontId="5" fillId="13" borderId="5" xfId="0" applyNumberFormat="1" applyFont="1" applyFill="1" applyBorder="1" applyAlignment="1" applyProtection="1">
      <alignment horizontal="right"/>
    </xf>
    <xf numFmtId="0" fontId="5" fillId="0" borderId="13" xfId="0" applyNumberFormat="1" applyFont="1" applyFill="1" applyBorder="1" applyAlignment="1" applyProtection="1">
      <alignment horizontal="left"/>
    </xf>
    <xf numFmtId="0" fontId="5" fillId="0" borderId="28" xfId="0" applyNumberFormat="1" applyFont="1" applyFill="1" applyBorder="1" applyAlignment="1" applyProtection="1"/>
    <xf numFmtId="196" fontId="5" fillId="0" borderId="17" xfId="1" applyNumberFormat="1" applyFont="1" applyFill="1" applyBorder="1" applyAlignment="1" applyProtection="1"/>
    <xf numFmtId="196" fontId="5" fillId="0" borderId="28" xfId="1" applyNumberFormat="1" applyFont="1" applyFill="1" applyBorder="1" applyAlignment="1" applyProtection="1"/>
    <xf numFmtId="196" fontId="5" fillId="0" borderId="29" xfId="1" applyNumberFormat="1" applyFont="1" applyFill="1" applyBorder="1" applyAlignment="1" applyProtection="1"/>
    <xf numFmtId="0" fontId="42" fillId="4" borderId="16" xfId="0" applyNumberFormat="1" applyFont="1" applyFill="1" applyBorder="1" applyAlignment="1" applyProtection="1"/>
    <xf numFmtId="196" fontId="42" fillId="4" borderId="15" xfId="1" applyNumberFormat="1" applyFont="1" applyFill="1" applyBorder="1" applyAlignment="1" applyProtection="1"/>
    <xf numFmtId="196" fontId="42" fillId="4" borderId="16" xfId="1" applyNumberFormat="1" applyFont="1" applyFill="1" applyBorder="1" applyAlignment="1" applyProtection="1"/>
    <xf numFmtId="196" fontId="42" fillId="4" borderId="14" xfId="1" applyNumberFormat="1" applyFont="1" applyFill="1" applyBorder="1" applyAlignment="1" applyProtection="1"/>
    <xf numFmtId="10" fontId="5" fillId="13" borderId="5" xfId="0" applyNumberFormat="1" applyFont="1" applyFill="1" applyBorder="1" applyAlignment="1" applyProtection="1"/>
    <xf numFmtId="0" fontId="42" fillId="4" borderId="28" xfId="0" applyNumberFormat="1" applyFont="1" applyFill="1" applyBorder="1" applyAlignment="1" applyProtection="1"/>
    <xf numFmtId="196" fontId="42" fillId="4" borderId="17" xfId="1" applyNumberFormat="1" applyFont="1" applyFill="1" applyBorder="1" applyAlignment="1" applyProtection="1"/>
    <xf numFmtId="196" fontId="42" fillId="4" borderId="28" xfId="1" applyNumberFormat="1" applyFont="1" applyFill="1" applyBorder="1" applyAlignment="1" applyProtection="1"/>
    <xf numFmtId="196" fontId="42" fillId="4" borderId="29" xfId="1" applyNumberFormat="1" applyFont="1" applyFill="1" applyBorder="1" applyAlignment="1" applyProtection="1"/>
    <xf numFmtId="0" fontId="5" fillId="0" borderId="5" xfId="0" applyNumberFormat="1" applyFont="1" applyFill="1" applyBorder="1" applyAlignment="1" applyProtection="1"/>
    <xf numFmtId="0" fontId="5" fillId="0" borderId="13" xfId="0" applyNumberFormat="1" applyFont="1" applyFill="1" applyBorder="1" applyAlignment="1" applyProtection="1">
      <alignment horizontal="right"/>
    </xf>
    <xf numFmtId="44" fontId="5" fillId="0" borderId="0" xfId="2" applyFont="1" applyFill="1" applyBorder="1" applyAlignment="1" applyProtection="1"/>
    <xf numFmtId="196" fontId="5" fillId="0" borderId="15" xfId="1" applyNumberFormat="1" applyFont="1" applyFill="1" applyBorder="1" applyAlignment="1" applyProtection="1"/>
    <xf numFmtId="196" fontId="5" fillId="0" borderId="16" xfId="1" applyNumberFormat="1" applyFont="1" applyFill="1" applyBorder="1" applyAlignment="1" applyProtection="1"/>
    <xf numFmtId="196" fontId="5" fillId="0" borderId="14" xfId="1" applyNumberFormat="1" applyFont="1" applyFill="1" applyBorder="1" applyAlignment="1" applyProtection="1"/>
    <xf numFmtId="9" fontId="43" fillId="13" borderId="38" xfId="0" applyNumberFormat="1" applyFont="1" applyFill="1" applyBorder="1" applyAlignment="1" applyProtection="1"/>
    <xf numFmtId="0" fontId="5" fillId="0" borderId="31" xfId="0" applyNumberFormat="1" applyFont="1" applyFill="1" applyBorder="1" applyAlignment="1" applyProtection="1"/>
    <xf numFmtId="0" fontId="5" fillId="0" borderId="29" xfId="0" applyNumberFormat="1" applyFont="1" applyFill="1" applyBorder="1" applyAlignment="1" applyProtection="1"/>
    <xf numFmtId="0" fontId="5" fillId="0" borderId="43" xfId="0" applyNumberFormat="1" applyFont="1" applyFill="1" applyBorder="1" applyAlignment="1" applyProtection="1"/>
    <xf numFmtId="196" fontId="5" fillId="0" borderId="44" xfId="1" applyNumberFormat="1" applyFont="1" applyFill="1" applyBorder="1" applyAlignment="1" applyProtection="1"/>
    <xf numFmtId="196" fontId="5" fillId="0" borderId="43" xfId="1" applyNumberFormat="1" applyFont="1" applyFill="1" applyBorder="1" applyAlignment="1" applyProtection="1"/>
    <xf numFmtId="196" fontId="5" fillId="0" borderId="45" xfId="1" applyNumberFormat="1" applyFont="1" applyFill="1" applyBorder="1" applyAlignment="1" applyProtection="1"/>
    <xf numFmtId="0" fontId="5" fillId="0" borderId="17" xfId="0" applyNumberFormat="1" applyFont="1" applyFill="1" applyBorder="1" applyAlignment="1" applyProtection="1"/>
    <xf numFmtId="0" fontId="5" fillId="0" borderId="11" xfId="0" applyNumberFormat="1" applyFont="1" applyFill="1" applyBorder="1" applyAlignment="1" applyProtection="1"/>
    <xf numFmtId="2" fontId="45" fillId="0" borderId="12" xfId="0" applyNumberFormat="1" applyFont="1" applyFill="1" applyBorder="1" applyAlignment="1" applyProtection="1"/>
    <xf numFmtId="10" fontId="5" fillId="17" borderId="12" xfId="0" applyNumberFormat="1" applyFont="1" applyFill="1" applyBorder="1" applyAlignment="1" applyProtection="1"/>
    <xf numFmtId="196" fontId="43" fillId="0" borderId="29" xfId="1" applyNumberFormat="1" applyFont="1" applyFill="1" applyBorder="1" applyAlignment="1" applyProtection="1"/>
    <xf numFmtId="10" fontId="5" fillId="0" borderId="12" xfId="0" applyNumberFormat="1" applyFont="1" applyFill="1" applyBorder="1" applyAlignment="1" applyProtection="1"/>
    <xf numFmtId="10" fontId="5" fillId="0" borderId="29" xfId="0" applyNumberFormat="1" applyFont="1" applyFill="1" applyBorder="1" applyAlignment="1" applyProtection="1"/>
    <xf numFmtId="9" fontId="5" fillId="0" borderId="29" xfId="0" applyNumberFormat="1" applyFont="1" applyFill="1" applyBorder="1" applyAlignment="1" applyProtection="1"/>
    <xf numFmtId="0" fontId="5" fillId="0" borderId="38" xfId="0" applyNumberFormat="1" applyFont="1" applyFill="1" applyBorder="1" applyAlignment="1" applyProtection="1"/>
    <xf numFmtId="0" fontId="42" fillId="0" borderId="37" xfId="0" applyNumberFormat="1" applyFont="1" applyFill="1" applyBorder="1" applyAlignment="1" applyProtection="1"/>
    <xf numFmtId="196" fontId="5" fillId="13" borderId="14" xfId="0" applyNumberFormat="1" applyFont="1" applyFill="1" applyBorder="1" applyAlignment="1" applyProtection="1"/>
    <xf numFmtId="0" fontId="42" fillId="0" borderId="5" xfId="0" applyNumberFormat="1" applyFont="1" applyFill="1" applyBorder="1" applyAlignment="1" applyProtection="1"/>
    <xf numFmtId="200" fontId="5" fillId="0" borderId="12" xfId="0" applyNumberFormat="1" applyFont="1" applyFill="1" applyBorder="1" applyAlignment="1" applyProtection="1"/>
    <xf numFmtId="10" fontId="5" fillId="13" borderId="29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left"/>
    </xf>
    <xf numFmtId="10" fontId="5" fillId="13" borderId="0" xfId="0" applyNumberFormat="1" applyFont="1" applyFill="1" applyBorder="1" applyAlignment="1" applyProtection="1"/>
    <xf numFmtId="0" fontId="42" fillId="0" borderId="38" xfId="0" applyNumberFormat="1" applyFont="1" applyFill="1" applyBorder="1" applyAlignment="1" applyProtection="1"/>
    <xf numFmtId="10" fontId="5" fillId="0" borderId="29" xfId="3" applyNumberFormat="1" applyFont="1" applyFill="1" applyBorder="1" applyAlignment="1" applyProtection="1"/>
    <xf numFmtId="0" fontId="0" fillId="0" borderId="13" xfId="0" applyFill="1" applyBorder="1"/>
    <xf numFmtId="4" fontId="0" fillId="0" borderId="0" xfId="0" applyNumberFormat="1"/>
    <xf numFmtId="10" fontId="0" fillId="0" borderId="0" xfId="0" applyNumberFormat="1"/>
    <xf numFmtId="4" fontId="0" fillId="0" borderId="0" xfId="0" applyNumberFormat="1" applyFill="1" applyBorder="1"/>
    <xf numFmtId="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4" fontId="0" fillId="0" borderId="0" xfId="0" applyNumberFormat="1" applyFill="1" applyBorder="1" applyAlignment="1">
      <alignment horizontal="right"/>
    </xf>
    <xf numFmtId="4" fontId="47" fillId="0" borderId="0" xfId="0" applyNumberFormat="1" applyFont="1" applyBorder="1" applyAlignment="1">
      <alignment horizontal="right" vertical="center" wrapText="1"/>
    </xf>
    <xf numFmtId="0" fontId="47" fillId="0" borderId="0" xfId="0" applyFont="1" applyBorder="1" applyAlignment="1">
      <alignment horizontal="right" vertical="center" wrapText="1"/>
    </xf>
    <xf numFmtId="10" fontId="47" fillId="0" borderId="0" xfId="0" applyNumberFormat="1" applyFont="1" applyBorder="1" applyAlignment="1">
      <alignment horizontal="right" vertical="center" wrapText="1"/>
    </xf>
    <xf numFmtId="10" fontId="48" fillId="0" borderId="0" xfId="0" applyNumberFormat="1" applyFont="1" applyBorder="1" applyAlignment="1">
      <alignment horizontal="right" vertical="center" wrapText="1"/>
    </xf>
    <xf numFmtId="0" fontId="0" fillId="0" borderId="0" xfId="0"/>
    <xf numFmtId="0" fontId="50" fillId="0" borderId="0" xfId="0" applyFont="1" applyBorder="1" applyAlignment="1">
      <alignment horizontal="left" wrapText="1"/>
    </xf>
    <xf numFmtId="0" fontId="51" fillId="0" borderId="0" xfId="0" applyFont="1" applyBorder="1" applyAlignment="1">
      <alignment horizontal="right" wrapText="1"/>
    </xf>
    <xf numFmtId="15" fontId="51" fillId="0" borderId="0" xfId="0" applyNumberFormat="1" applyFont="1" applyBorder="1" applyAlignment="1">
      <alignment horizontal="right" wrapText="1"/>
    </xf>
    <xf numFmtId="0" fontId="55" fillId="0" borderId="0" xfId="0" applyFont="1" applyBorder="1" applyAlignment="1">
      <alignment horizontal="left" vertical="center" wrapText="1"/>
    </xf>
    <xf numFmtId="0" fontId="55" fillId="0" borderId="0" xfId="0" applyFont="1" applyBorder="1" applyAlignment="1">
      <alignment horizontal="left" vertical="center" wrapText="1" indent="1"/>
    </xf>
    <xf numFmtId="4" fontId="55" fillId="0" borderId="0" xfId="0" applyNumberFormat="1" applyFont="1" applyFill="1" applyBorder="1" applyAlignment="1">
      <alignment horizontal="right" vertical="center" wrapText="1"/>
    </xf>
    <xf numFmtId="0" fontId="55" fillId="0" borderId="0" xfId="0" applyFont="1" applyBorder="1" applyAlignment="1">
      <alignment horizontal="left" vertical="center" wrapText="1" indent="3"/>
    </xf>
    <xf numFmtId="0" fontId="50" fillId="0" borderId="0" xfId="0" applyFont="1" applyFill="1" applyBorder="1" applyAlignment="1">
      <alignment horizontal="left" wrapText="1"/>
    </xf>
    <xf numFmtId="0" fontId="51" fillId="0" borderId="0" xfId="0" applyFont="1" applyFill="1" applyBorder="1" applyAlignment="1">
      <alignment horizontal="right" wrapText="1"/>
    </xf>
    <xf numFmtId="15" fontId="51" fillId="0" borderId="0" xfId="0" applyNumberFormat="1" applyFont="1" applyFill="1" applyBorder="1" applyAlignment="1">
      <alignment horizontal="right" wrapText="1"/>
    </xf>
    <xf numFmtId="0" fontId="55" fillId="0" borderId="0" xfId="0" applyFont="1" applyFill="1" applyBorder="1" applyAlignment="1">
      <alignment horizontal="left" vertical="center" wrapText="1"/>
    </xf>
    <xf numFmtId="0" fontId="55" fillId="0" borderId="0" xfId="0" applyFont="1" applyFill="1" applyBorder="1" applyAlignment="1">
      <alignment horizontal="left" vertical="center" wrapText="1" indent="1"/>
    </xf>
    <xf numFmtId="6" fontId="0" fillId="0" borderId="0" xfId="0" applyNumberFormat="1" applyFill="1" applyBorder="1"/>
    <xf numFmtId="0" fontId="55" fillId="0" borderId="0" xfId="0" applyFont="1" applyFill="1" applyBorder="1" applyAlignment="1">
      <alignment horizontal="left" vertical="center" wrapText="1" indent="3"/>
    </xf>
    <xf numFmtId="4" fontId="0" fillId="0" borderId="0" xfId="0" quotePrefix="1" applyNumberFormat="1" applyFill="1" applyBorder="1" applyAlignment="1">
      <alignment horizontal="right"/>
    </xf>
    <xf numFmtId="198" fontId="14" fillId="14" borderId="20" xfId="145" applyNumberFormat="1" applyFont="1" applyFill="1" applyBorder="1" applyAlignment="1" applyProtection="1"/>
    <xf numFmtId="14" fontId="0" fillId="14" borderId="0" xfId="0" applyNumberFormat="1" applyFill="1"/>
    <xf numFmtId="0" fontId="0" fillId="14" borderId="0" xfId="0" applyFill="1"/>
    <xf numFmtId="4" fontId="41" fillId="14" borderId="0" xfId="113" applyNumberFormat="1" applyFont="1" applyFill="1" applyBorder="1" applyAlignment="1">
      <alignment horizontal="right" vertical="center" wrapText="1"/>
    </xf>
    <xf numFmtId="0" fontId="14" fillId="14" borderId="0" xfId="113" applyFont="1" applyFill="1" applyBorder="1"/>
    <xf numFmtId="0" fontId="14" fillId="14" borderId="0" xfId="113" applyFill="1" applyBorder="1"/>
    <xf numFmtId="198" fontId="14" fillId="14" borderId="12" xfId="145" applyNumberFormat="1" applyFont="1" applyFill="1" applyBorder="1" applyAlignment="1" applyProtection="1"/>
    <xf numFmtId="0" fontId="14" fillId="14" borderId="0" xfId="113" applyFill="1"/>
    <xf numFmtId="14" fontId="14" fillId="14" borderId="0" xfId="113" applyNumberFormat="1" applyFill="1"/>
    <xf numFmtId="198" fontId="14" fillId="0" borderId="20" xfId="145" applyNumberFormat="1" applyFont="1" applyFill="1" applyBorder="1" applyAlignment="1" applyProtection="1"/>
    <xf numFmtId="4" fontId="0" fillId="0" borderId="0" xfId="2" applyNumberFormat="1" applyFont="1" applyBorder="1"/>
    <xf numFmtId="0" fontId="52" fillId="0" borderId="0" xfId="0" applyFont="1" applyBorder="1" applyAlignment="1">
      <alignment horizontal="left" vertical="center" wrapText="1"/>
    </xf>
    <xf numFmtId="4" fontId="52" fillId="0" borderId="0" xfId="0" applyNumberFormat="1" applyFont="1" applyBorder="1" applyAlignment="1">
      <alignment horizontal="right" vertical="center" wrapText="1"/>
    </xf>
    <xf numFmtId="8" fontId="0" fillId="0" borderId="0" xfId="0" applyNumberFormat="1" applyFill="1" applyBorder="1" applyAlignment="1">
      <alignment horizontal="right"/>
    </xf>
    <xf numFmtId="8" fontId="0" fillId="0" borderId="0" xfId="0" applyNumberFormat="1" applyFill="1" applyBorder="1"/>
    <xf numFmtId="0" fontId="0" fillId="0" borderId="0" xfId="3" applyNumberFormat="1" applyFont="1" applyBorder="1"/>
    <xf numFmtId="0" fontId="56" fillId="0" borderId="0" xfId="0" applyFont="1" applyBorder="1" applyAlignment="1">
      <alignment horizontal="left" vertical="center" wrapText="1"/>
    </xf>
    <xf numFmtId="0" fontId="52" fillId="0" borderId="0" xfId="0" applyFont="1" applyBorder="1" applyAlignment="1">
      <alignment horizontal="left" vertical="center" wrapText="1" indent="1"/>
    </xf>
    <xf numFmtId="0" fontId="52" fillId="0" borderId="0" xfId="0" applyFont="1" applyBorder="1" applyAlignment="1">
      <alignment horizontal="left" vertical="center" wrapText="1" indent="3"/>
    </xf>
    <xf numFmtId="0" fontId="58" fillId="0" borderId="0" xfId="0" applyFont="1" applyBorder="1" applyAlignment="1">
      <alignment horizontal="left" vertical="center" wrapText="1"/>
    </xf>
    <xf numFmtId="0" fontId="0" fillId="0" borderId="0" xfId="2" applyNumberFormat="1" applyFont="1" applyFill="1" applyBorder="1"/>
    <xf numFmtId="195" fontId="0" fillId="0" borderId="0" xfId="2" applyNumberFormat="1" applyFont="1" applyFill="1" applyBorder="1"/>
    <xf numFmtId="0" fontId="4" fillId="0" borderId="0" xfId="0" applyFont="1" applyBorder="1" applyAlignment="1">
      <alignment horizontal="left"/>
    </xf>
    <xf numFmtId="2" fontId="0" fillId="0" borderId="12" xfId="0" applyNumberForma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Border="1"/>
    <xf numFmtId="0" fontId="0" fillId="0" borderId="14" xfId="0" applyFill="1" applyBorder="1"/>
    <xf numFmtId="164" fontId="5" fillId="0" borderId="6" xfId="0" applyNumberFormat="1" applyFont="1" applyFill="1" applyBorder="1" applyAlignment="1" applyProtection="1"/>
    <xf numFmtId="196" fontId="5" fillId="18" borderId="0" xfId="1" applyNumberFormat="1" applyFont="1" applyFill="1" applyBorder="1" applyAlignment="1" applyProtection="1"/>
    <xf numFmtId="0" fontId="50" fillId="0" borderId="0" xfId="0" applyFont="1" applyBorder="1" applyAlignment="1">
      <alignment horizontal="right" wrapText="1"/>
    </xf>
    <xf numFmtId="196" fontId="5" fillId="18" borderId="15" xfId="1" applyNumberFormat="1" applyFont="1" applyFill="1" applyBorder="1" applyAlignment="1" applyProtection="1"/>
    <xf numFmtId="44" fontId="0" fillId="0" borderId="0" xfId="2" applyFont="1" applyBorder="1"/>
    <xf numFmtId="0" fontId="0" fillId="19" borderId="0" xfId="0" applyFill="1" applyBorder="1"/>
    <xf numFmtId="0" fontId="0" fillId="19" borderId="0" xfId="0" applyFill="1"/>
    <xf numFmtId="0" fontId="57" fillId="0" borderId="50" xfId="0" applyFont="1" applyBorder="1" applyAlignment="1">
      <alignment horizontal="left" vertical="center"/>
    </xf>
    <xf numFmtId="0" fontId="57" fillId="0" borderId="50" xfId="0" applyFont="1" applyBorder="1" applyAlignment="1">
      <alignment horizontal="left" vertical="center" wrapText="1"/>
    </xf>
    <xf numFmtId="0" fontId="56" fillId="0" borderId="50" xfId="0" applyFont="1" applyBorder="1" applyAlignment="1">
      <alignment horizontal="left" vertical="center"/>
    </xf>
    <xf numFmtId="4" fontId="55" fillId="0" borderId="50" xfId="0" applyNumberFormat="1" applyFont="1" applyFill="1" applyBorder="1" applyAlignment="1">
      <alignment horizontal="right" vertical="center" wrapText="1"/>
    </xf>
    <xf numFmtId="0" fontId="56" fillId="0" borderId="50" xfId="0" applyFont="1" applyBorder="1" applyAlignment="1">
      <alignment horizontal="left" vertical="center" wrapText="1"/>
    </xf>
    <xf numFmtId="0" fontId="0" fillId="19" borderId="0" xfId="0" applyFill="1" applyBorder="1" applyAlignment="1">
      <alignment horizontal="right"/>
    </xf>
    <xf numFmtId="4" fontId="0" fillId="19" borderId="0" xfId="0" applyNumberFormat="1" applyFill="1" applyBorder="1" applyAlignment="1">
      <alignment horizontal="right"/>
    </xf>
    <xf numFmtId="0" fontId="0" fillId="11" borderId="0" xfId="0" applyFill="1"/>
    <xf numFmtId="0" fontId="0" fillId="11" borderId="0" xfId="0" applyFill="1" applyBorder="1" applyAlignment="1">
      <alignment vertical="top" wrapText="1"/>
    </xf>
    <xf numFmtId="199" fontId="0" fillId="11" borderId="0" xfId="0" applyNumberFormat="1" applyFill="1" applyBorder="1" applyAlignment="1">
      <alignment wrapText="1"/>
    </xf>
    <xf numFmtId="199" fontId="0" fillId="11" borderId="0" xfId="0" applyNumberFormat="1" applyFill="1" applyBorder="1"/>
    <xf numFmtId="0" fontId="0" fillId="19" borderId="0" xfId="0" applyFill="1" applyAlignment="1">
      <alignment horizontal="right"/>
    </xf>
    <xf numFmtId="4" fontId="0" fillId="19" borderId="0" xfId="0" applyNumberFormat="1" applyFill="1"/>
    <xf numFmtId="6" fontId="0" fillId="4" borderId="0" xfId="0" applyNumberFormat="1" applyFill="1"/>
    <xf numFmtId="3" fontId="0" fillId="4" borderId="0" xfId="0" applyNumberFormat="1" applyFill="1"/>
    <xf numFmtId="8" fontId="0" fillId="4" borderId="0" xfId="0" applyNumberFormat="1" applyFill="1"/>
    <xf numFmtId="199" fontId="0" fillId="11" borderId="0" xfId="1" applyNumberFormat="1" applyFont="1" applyFill="1" applyBorder="1"/>
    <xf numFmtId="0" fontId="0" fillId="11" borderId="48" xfId="0" applyFill="1" applyBorder="1"/>
    <xf numFmtId="0" fontId="4" fillId="11" borderId="49" xfId="0" applyFont="1" applyFill="1" applyBorder="1" applyAlignment="1">
      <alignment vertical="top" wrapText="1"/>
    </xf>
    <xf numFmtId="0" fontId="0" fillId="11" borderId="49" xfId="0" applyFill="1" applyBorder="1"/>
    <xf numFmtId="0" fontId="57" fillId="0" borderId="50" xfId="0" applyFont="1" applyFill="1" applyBorder="1" applyAlignment="1">
      <alignment horizontal="left" vertical="center" wrapText="1"/>
    </xf>
    <xf numFmtId="0" fontId="56" fillId="0" borderId="50" xfId="0" applyFont="1" applyFill="1" applyBorder="1" applyAlignment="1">
      <alignment horizontal="left" vertical="center" wrapText="1"/>
    </xf>
    <xf numFmtId="0" fontId="50" fillId="0" borderId="50" xfId="0" applyFont="1" applyBorder="1" applyAlignment="1">
      <alignment horizontal="right" wrapText="1"/>
    </xf>
    <xf numFmtId="4" fontId="0" fillId="0" borderId="0" xfId="0" applyNumberFormat="1" applyBorder="1"/>
    <xf numFmtId="10" fontId="0" fillId="0" borderId="0" xfId="0" applyNumberFormat="1" applyBorder="1"/>
    <xf numFmtId="10" fontId="47" fillId="19" borderId="0" xfId="0" applyNumberFormat="1" applyFont="1" applyFill="1" applyBorder="1" applyAlignment="1">
      <alignment vertical="center" wrapText="1"/>
    </xf>
    <xf numFmtId="10" fontId="49" fillId="19" borderId="0" xfId="0" applyNumberFormat="1" applyFont="1" applyFill="1" applyBorder="1" applyAlignment="1">
      <alignment vertical="center" wrapText="1"/>
    </xf>
    <xf numFmtId="10" fontId="48" fillId="19" borderId="0" xfId="0" applyNumberFormat="1" applyFont="1" applyFill="1" applyBorder="1" applyAlignment="1">
      <alignment vertical="center" wrapText="1"/>
    </xf>
    <xf numFmtId="10" fontId="47" fillId="0" borderId="0" xfId="0" applyNumberFormat="1" applyFont="1" applyFill="1" applyBorder="1" applyAlignment="1">
      <alignment vertical="center" wrapText="1"/>
    </xf>
    <xf numFmtId="10" fontId="49" fillId="0" borderId="0" xfId="0" applyNumberFormat="1" applyFont="1" applyFill="1" applyBorder="1" applyAlignment="1">
      <alignment vertical="center" wrapText="1"/>
    </xf>
    <xf numFmtId="10" fontId="48" fillId="0" borderId="0" xfId="0" applyNumberFormat="1" applyFont="1" applyFill="1" applyBorder="1" applyAlignment="1">
      <alignment vertical="center" wrapText="1"/>
    </xf>
    <xf numFmtId="0" fontId="3" fillId="11" borderId="0" xfId="0" applyFont="1" applyFill="1"/>
    <xf numFmtId="0" fontId="3" fillId="4" borderId="0" xfId="0" applyFont="1" applyFill="1"/>
    <xf numFmtId="0" fontId="3" fillId="19" borderId="0" xfId="0" applyFont="1" applyFill="1"/>
    <xf numFmtId="198" fontId="14" fillId="0" borderId="51" xfId="145" applyNumberFormat="1" applyFont="1" applyBorder="1" applyAlignment="1" applyProtection="1"/>
    <xf numFmtId="198" fontId="14" fillId="0" borderId="52" xfId="145" applyNumberFormat="1" applyFont="1" applyBorder="1" applyAlignment="1" applyProtection="1"/>
    <xf numFmtId="198" fontId="14" fillId="0" borderId="53" xfId="145" applyNumberFormat="1" applyFont="1" applyBorder="1" applyAlignment="1" applyProtection="1"/>
    <xf numFmtId="10" fontId="0" fillId="0" borderId="0" xfId="3" applyNumberFormat="1" applyFont="1" applyBorder="1"/>
    <xf numFmtId="0" fontId="40" fillId="0" borderId="0" xfId="0" applyFont="1" applyBorder="1"/>
    <xf numFmtId="10" fontId="0" fillId="0" borderId="0" xfId="3" applyNumberFormat="1" applyFont="1" applyBorder="1" applyAlignment="1">
      <alignment horizontal="center"/>
    </xf>
    <xf numFmtId="0" fontId="4" fillId="0" borderId="52" xfId="0" applyFont="1" applyBorder="1"/>
    <xf numFmtId="0" fontId="4" fillId="0" borderId="51" xfId="0" applyFont="1" applyBorder="1"/>
    <xf numFmtId="0" fontId="4" fillId="0" borderId="53" xfId="0" applyFont="1" applyBorder="1"/>
    <xf numFmtId="44" fontId="0" fillId="0" borderId="55" xfId="0" applyNumberFormat="1" applyBorder="1"/>
    <xf numFmtId="10" fontId="0" fillId="0" borderId="55" xfId="3" applyNumberFormat="1" applyFont="1" applyBorder="1" applyAlignment="1">
      <alignment horizontal="center"/>
    </xf>
    <xf numFmtId="9" fontId="0" fillId="0" borderId="55" xfId="3" applyFont="1" applyBorder="1"/>
    <xf numFmtId="10" fontId="0" fillId="0" borderId="56" xfId="3" applyNumberFormat="1" applyFont="1" applyBorder="1" applyAlignment="1">
      <alignment horizontal="center"/>
    </xf>
    <xf numFmtId="9" fontId="0" fillId="0" borderId="56" xfId="3" applyFont="1" applyBorder="1"/>
    <xf numFmtId="44" fontId="0" fillId="0" borderId="54" xfId="2" applyFont="1" applyBorder="1"/>
    <xf numFmtId="10" fontId="0" fillId="0" borderId="0" xfId="3" applyNumberFormat="1" applyFont="1" applyBorder="1" applyAlignment="1">
      <alignment horizontal="center" vertical="center"/>
    </xf>
    <xf numFmtId="202" fontId="0" fillId="0" borderId="0" xfId="2" applyNumberFormat="1" applyFont="1" applyBorder="1" applyAlignment="1">
      <alignment horizontal="center" vertical="center"/>
    </xf>
    <xf numFmtId="0" fontId="0" fillId="11" borderId="54" xfId="0" applyFill="1" applyBorder="1"/>
    <xf numFmtId="0" fontId="0" fillId="0" borderId="0" xfId="3" applyNumberFormat="1" applyFont="1" applyFill="1" applyBorder="1"/>
    <xf numFmtId="44" fontId="5" fillId="4" borderId="16" xfId="2" applyNumberFormat="1" applyFont="1" applyFill="1" applyBorder="1" applyAlignment="1" applyProtection="1"/>
    <xf numFmtId="9" fontId="5" fillId="0" borderId="25" xfId="3" applyFont="1" applyFill="1" applyBorder="1" applyAlignment="1" applyProtection="1"/>
    <xf numFmtId="2" fontId="5" fillId="0" borderId="25" xfId="0" applyNumberFormat="1" applyFont="1" applyFill="1" applyBorder="1" applyAlignment="1" applyProtection="1"/>
    <xf numFmtId="9" fontId="5" fillId="13" borderId="5" xfId="3" applyFont="1" applyFill="1" applyBorder="1" applyAlignment="1" applyProtection="1"/>
    <xf numFmtId="2" fontId="0" fillId="0" borderId="0" xfId="0" applyNumberFormat="1" applyFill="1" applyBorder="1" applyAlignment="1">
      <alignment vertical="top" wrapText="1"/>
    </xf>
    <xf numFmtId="198" fontId="14" fillId="0" borderId="0" xfId="145" applyNumberFormat="1" applyFont="1" applyBorder="1" applyAlignment="1" applyProtection="1">
      <alignment horizontal="center"/>
    </xf>
    <xf numFmtId="2" fontId="14" fillId="0" borderId="57" xfId="145" applyNumberFormat="1" applyFont="1" applyBorder="1" applyAlignment="1" applyProtection="1">
      <alignment horizontal="center"/>
    </xf>
    <xf numFmtId="2" fontId="14" fillId="0" borderId="56" xfId="145" applyNumberFormat="1" applyFont="1" applyBorder="1" applyAlignment="1" applyProtection="1">
      <alignment horizontal="center"/>
    </xf>
    <xf numFmtId="2" fontId="14" fillId="0" borderId="54" xfId="145" applyNumberFormat="1" applyFont="1" applyBorder="1" applyAlignment="1" applyProtection="1">
      <alignment horizontal="center"/>
    </xf>
    <xf numFmtId="0" fontId="14" fillId="0" borderId="54" xfId="145" applyNumberFormat="1" applyFont="1" applyBorder="1" applyAlignment="1" applyProtection="1">
      <alignment horizontal="center"/>
    </xf>
    <xf numFmtId="0" fontId="4" fillId="0" borderId="0" xfId="0" applyFont="1" applyFill="1" applyBorder="1" applyAlignment="1">
      <alignment horizontal="right" vertical="top" wrapText="1"/>
    </xf>
    <xf numFmtId="198" fontId="14" fillId="0" borderId="0" xfId="145" applyNumberFormat="1" applyFont="1" applyBorder="1" applyAlignment="1" applyProtection="1">
      <alignment horizontal="right"/>
    </xf>
    <xf numFmtId="0" fontId="14" fillId="0" borderId="0" xfId="113" applyFont="1" applyBorder="1" applyAlignment="1">
      <alignment horizontal="right"/>
    </xf>
    <xf numFmtId="0" fontId="14" fillId="0" borderId="0" xfId="113" applyFont="1" applyBorder="1" applyAlignment="1">
      <alignment horizontal="center"/>
    </xf>
    <xf numFmtId="0" fontId="0" fillId="0" borderId="29" xfId="0" applyFill="1" applyBorder="1"/>
    <xf numFmtId="0" fontId="4" fillId="11" borderId="0" xfId="0" applyFont="1" applyFill="1" applyBorder="1"/>
    <xf numFmtId="0" fontId="5" fillId="11" borderId="0" xfId="0" applyNumberFormat="1" applyFont="1" applyFill="1" applyBorder="1" applyAlignment="1" applyProtection="1"/>
    <xf numFmtId="0" fontId="5" fillId="11" borderId="12" xfId="0" applyNumberFormat="1" applyFont="1" applyFill="1" applyBorder="1" applyAlignment="1" applyProtection="1"/>
    <xf numFmtId="1" fontId="0" fillId="4" borderId="0" xfId="0" applyNumberFormat="1" applyFill="1"/>
    <xf numFmtId="1" fontId="0" fillId="0" borderId="14" xfId="0" applyNumberFormat="1" applyFill="1" applyBorder="1"/>
    <xf numFmtId="1" fontId="0" fillId="0" borderId="12" xfId="0" applyNumberFormat="1" applyFill="1" applyBorder="1"/>
    <xf numFmtId="0" fontId="0" fillId="0" borderId="12" xfId="0" applyNumberFormat="1" applyFill="1" applyBorder="1"/>
    <xf numFmtId="4" fontId="0" fillId="0" borderId="12" xfId="0" applyNumberFormat="1" applyFill="1" applyBorder="1"/>
    <xf numFmtId="10" fontId="0" fillId="0" borderId="12" xfId="0" applyNumberFormat="1" applyFill="1" applyBorder="1"/>
    <xf numFmtId="6" fontId="0" fillId="0" borderId="12" xfId="0" applyNumberFormat="1" applyFill="1" applyBorder="1"/>
    <xf numFmtId="9" fontId="0" fillId="0" borderId="27" xfId="3" applyFont="1" applyFill="1" applyBorder="1"/>
    <xf numFmtId="9" fontId="0" fillId="0" borderId="29" xfId="3" applyFont="1" applyFill="1" applyBorder="1"/>
    <xf numFmtId="0" fontId="46" fillId="0" borderId="0" xfId="0" applyFont="1" applyFill="1" applyBorder="1"/>
    <xf numFmtId="0" fontId="0" fillId="18" borderId="5" xfId="0" applyFill="1" applyBorder="1"/>
    <xf numFmtId="164" fontId="5" fillId="18" borderId="0" xfId="0" applyNumberFormat="1" applyFont="1" applyFill="1" applyBorder="1" applyAlignment="1" applyProtection="1"/>
    <xf numFmtId="43" fontId="5" fillId="0" borderId="13" xfId="1" applyNumberFormat="1" applyFont="1" applyFill="1" applyBorder="1" applyAlignment="1" applyProtection="1"/>
    <xf numFmtId="43" fontId="5" fillId="0" borderId="28" xfId="1" applyNumberFormat="1" applyFont="1" applyFill="1" applyBorder="1" applyAlignment="1" applyProtection="1"/>
    <xf numFmtId="0" fontId="46" fillId="11" borderId="0" xfId="0" applyFont="1" applyFill="1"/>
    <xf numFmtId="0" fontId="60" fillId="11" borderId="0" xfId="0" applyFont="1" applyFill="1"/>
    <xf numFmtId="0" fontId="0" fillId="11" borderId="13" xfId="0" applyFill="1" applyBorder="1"/>
    <xf numFmtId="0" fontId="0" fillId="11" borderId="12" xfId="0" applyFill="1" applyBorder="1"/>
    <xf numFmtId="0" fontId="3" fillId="11" borderId="0" xfId="0" applyFont="1" applyFill="1" applyBorder="1"/>
    <xf numFmtId="0" fontId="3" fillId="11" borderId="12" xfId="0" applyFont="1" applyFill="1" applyBorder="1"/>
    <xf numFmtId="0" fontId="46" fillId="0" borderId="16" xfId="0" applyFont="1" applyFill="1" applyBorder="1"/>
    <xf numFmtId="0" fontId="46" fillId="0" borderId="15" xfId="0" applyFont="1" applyFill="1" applyBorder="1"/>
    <xf numFmtId="0" fontId="46" fillId="0" borderId="14" xfId="0" applyFont="1" applyFill="1" applyBorder="1"/>
    <xf numFmtId="0" fontId="46" fillId="0" borderId="5" xfId="0" applyFont="1" applyFill="1" applyBorder="1"/>
    <xf numFmtId="0" fontId="46" fillId="0" borderId="12" xfId="0" applyFont="1" applyFill="1" applyBorder="1"/>
    <xf numFmtId="0" fontId="46" fillId="0" borderId="46" xfId="0" applyFont="1" applyFill="1" applyBorder="1"/>
    <xf numFmtId="0" fontId="46" fillId="0" borderId="6" xfId="0" applyFont="1" applyFill="1" applyBorder="1" applyAlignment="1">
      <alignment horizontal="center"/>
    </xf>
    <xf numFmtId="0" fontId="46" fillId="0" borderId="6" xfId="0" applyFont="1" applyFill="1" applyBorder="1" applyAlignment="1">
      <alignment horizontal="center" wrapText="1"/>
    </xf>
    <xf numFmtId="0" fontId="46" fillId="0" borderId="35" xfId="0" applyFont="1" applyFill="1" applyBorder="1" applyAlignment="1">
      <alignment horizontal="center" wrapText="1"/>
    </xf>
    <xf numFmtId="195" fontId="46" fillId="0" borderId="0" xfId="2" applyNumberFormat="1" applyFont="1" applyFill="1" applyBorder="1"/>
    <xf numFmtId="195" fontId="46" fillId="0" borderId="12" xfId="2" applyNumberFormat="1" applyFont="1" applyFill="1" applyBorder="1"/>
    <xf numFmtId="195" fontId="46" fillId="0" borderId="0" xfId="2" applyNumberFormat="1" applyFont="1" applyFill="1" applyBorder="1" applyAlignment="1">
      <alignment horizontal="right"/>
    </xf>
    <xf numFmtId="195" fontId="46" fillId="0" borderId="12" xfId="2" applyNumberFormat="1" applyFont="1" applyFill="1" applyBorder="1" applyAlignment="1">
      <alignment horizontal="right"/>
    </xf>
    <xf numFmtId="196" fontId="46" fillId="0" borderId="0" xfId="1" applyNumberFormat="1" applyFont="1" applyFill="1" applyBorder="1"/>
    <xf numFmtId="196" fontId="46" fillId="0" borderId="12" xfId="1" applyNumberFormat="1" applyFont="1" applyFill="1" applyBorder="1" applyAlignment="1">
      <alignment horizontal="right"/>
    </xf>
    <xf numFmtId="196" fontId="46" fillId="0" borderId="0" xfId="1" applyNumberFormat="1" applyFont="1" applyFill="1" applyBorder="1" applyAlignment="1">
      <alignment horizontal="right"/>
    </xf>
    <xf numFmtId="0" fontId="46" fillId="0" borderId="4" xfId="0" applyFont="1" applyFill="1" applyBorder="1"/>
    <xf numFmtId="195" fontId="46" fillId="0" borderId="3" xfId="2" applyNumberFormat="1" applyFont="1" applyFill="1" applyBorder="1"/>
    <xf numFmtId="195" fontId="46" fillId="0" borderId="34" xfId="2" applyNumberFormat="1" applyFont="1" applyFill="1" applyBorder="1"/>
    <xf numFmtId="0" fontId="46" fillId="0" borderId="0" xfId="0" applyFont="1" applyFill="1"/>
    <xf numFmtId="0" fontId="46" fillId="0" borderId="37" xfId="0" applyFont="1" applyFill="1" applyBorder="1"/>
    <xf numFmtId="0" fontId="46" fillId="0" borderId="9" xfId="0" applyFont="1" applyFill="1" applyBorder="1"/>
    <xf numFmtId="10" fontId="46" fillId="0" borderId="8" xfId="3" applyNumberFormat="1" applyFont="1" applyFill="1" applyBorder="1"/>
    <xf numFmtId="0" fontId="46" fillId="0" borderId="8" xfId="0" applyFont="1" applyFill="1" applyBorder="1"/>
    <xf numFmtId="1" fontId="46" fillId="0" borderId="24" xfId="0" applyNumberFormat="1" applyFont="1" applyFill="1" applyBorder="1"/>
    <xf numFmtId="0" fontId="46" fillId="0" borderId="38" xfId="0" applyFont="1" applyFill="1" applyBorder="1"/>
    <xf numFmtId="0" fontId="46" fillId="0" borderId="17" xfId="0" applyFont="1" applyFill="1" applyBorder="1"/>
    <xf numFmtId="0" fontId="46" fillId="0" borderId="29" xfId="0" applyFont="1" applyFill="1" applyBorder="1"/>
    <xf numFmtId="0" fontId="52" fillId="0" borderId="0" xfId="0" applyFont="1" applyBorder="1" applyAlignment="1">
      <alignment horizontal="center" vertical="center" wrapText="1"/>
    </xf>
    <xf numFmtId="0" fontId="52" fillId="0" borderId="50" xfId="0" applyFont="1" applyBorder="1" applyAlignment="1">
      <alignment horizontal="center" vertical="center" wrapText="1"/>
    </xf>
    <xf numFmtId="0" fontId="52" fillId="0" borderId="47" xfId="0" applyFont="1" applyBorder="1" applyAlignment="1">
      <alignment horizontal="center" vertical="center" wrapText="1"/>
    </xf>
    <xf numFmtId="0" fontId="56" fillId="0" borderId="50" xfId="0" applyFont="1" applyBorder="1" applyAlignment="1">
      <alignment horizontal="center" vertical="center" wrapText="1"/>
    </xf>
    <xf numFmtId="4" fontId="55" fillId="0" borderId="0" xfId="0" applyNumberFormat="1" applyFont="1" applyBorder="1" applyAlignment="1">
      <alignment horizontal="center" vertical="center" wrapText="1"/>
    </xf>
    <xf numFmtId="0" fontId="55" fillId="0" borderId="50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4" fontId="55" fillId="0" borderId="50" xfId="0" applyNumberFormat="1" applyFont="1" applyBorder="1" applyAlignment="1">
      <alignment horizontal="center" vertical="center" wrapText="1"/>
    </xf>
    <xf numFmtId="4" fontId="55" fillId="0" borderId="50" xfId="0" applyNumberFormat="1" applyFont="1" applyFill="1" applyBorder="1" applyAlignment="1">
      <alignment horizontal="center" vertical="center" wrapText="1"/>
    </xf>
    <xf numFmtId="10" fontId="53" fillId="0" borderId="50" xfId="0" applyNumberFormat="1" applyFont="1" applyFill="1" applyBorder="1" applyAlignment="1">
      <alignment horizontal="center" vertical="center" wrapText="1"/>
    </xf>
    <xf numFmtId="0" fontId="51" fillId="0" borderId="0" xfId="0" applyNumberFormat="1" applyFont="1" applyBorder="1" applyAlignment="1">
      <alignment horizontal="center" wrapText="1"/>
    </xf>
    <xf numFmtId="0" fontId="50" fillId="0" borderId="0" xfId="0" applyFont="1" applyBorder="1" applyAlignment="1">
      <alignment horizontal="center" wrapText="1"/>
    </xf>
    <xf numFmtId="0" fontId="51" fillId="0" borderId="0" xfId="0" applyFont="1" applyFill="1" applyBorder="1" applyAlignment="1">
      <alignment horizontal="center" wrapText="1"/>
    </xf>
    <xf numFmtId="0" fontId="55" fillId="0" borderId="50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center" vertical="center" wrapText="1"/>
    </xf>
    <xf numFmtId="0" fontId="0" fillId="0" borderId="50" xfId="0" applyFont="1" applyFill="1" applyBorder="1" applyAlignment="1">
      <alignment horizontal="center"/>
    </xf>
    <xf numFmtId="0" fontId="52" fillId="0" borderId="0" xfId="0" applyFont="1" applyBorder="1" applyAlignment="1">
      <alignment horizontal="left" vertical="center"/>
    </xf>
    <xf numFmtId="0" fontId="55" fillId="0" borderId="0" xfId="0" applyFont="1" applyFill="1" applyBorder="1" applyAlignment="1">
      <alignment horizontal="left" vertical="center"/>
    </xf>
    <xf numFmtId="44" fontId="0" fillId="0" borderId="14" xfId="2" applyFont="1" applyFill="1" applyBorder="1"/>
    <xf numFmtId="201" fontId="0" fillId="0" borderId="0" xfId="0" applyNumberFormat="1" applyBorder="1"/>
    <xf numFmtId="43" fontId="0" fillId="0" borderId="0" xfId="0" applyNumberFormat="1" applyFill="1" applyBorder="1"/>
    <xf numFmtId="0" fontId="4" fillId="0" borderId="0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201" fontId="0" fillId="0" borderId="62" xfId="0" applyNumberFormat="1" applyBorder="1"/>
    <xf numFmtId="201" fontId="0" fillId="0" borderId="63" xfId="0" applyNumberFormat="1" applyBorder="1"/>
    <xf numFmtId="0" fontId="0" fillId="0" borderId="57" xfId="0" applyBorder="1"/>
    <xf numFmtId="43" fontId="0" fillId="0" borderId="58" xfId="0" applyNumberFormat="1" applyFill="1" applyBorder="1"/>
    <xf numFmtId="0" fontId="61" fillId="0" borderId="0" xfId="0" applyFont="1" applyBorder="1" applyAlignment="1">
      <alignment horizontal="right" vertical="center" wrapText="1"/>
    </xf>
    <xf numFmtId="0" fontId="0" fillId="4" borderId="6" xfId="0" applyFill="1" applyBorder="1"/>
    <xf numFmtId="0" fontId="0" fillId="14" borderId="6" xfId="0" applyFill="1" applyBorder="1" applyAlignment="1">
      <alignment horizontal="right"/>
    </xf>
    <xf numFmtId="2" fontId="0" fillId="0" borderId="6" xfId="0" applyNumberFormat="1" applyBorder="1"/>
    <xf numFmtId="0" fontId="0" fillId="0" borderId="0" xfId="0" applyBorder="1" applyAlignment="1">
      <alignment horizontal="left" inden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wrapText="1"/>
    </xf>
    <xf numFmtId="0" fontId="0" fillId="0" borderId="0" xfId="0" applyFill="1" applyBorder="1" applyAlignment="1">
      <alignment horizontal="left" indent="1"/>
    </xf>
    <xf numFmtId="0" fontId="4" fillId="0" borderId="0" xfId="0" applyFont="1" applyFill="1" applyBorder="1" applyAlignment="1">
      <alignment horizontal="left"/>
    </xf>
    <xf numFmtId="195" fontId="0" fillId="0" borderId="0" xfId="2" applyNumberFormat="1" applyFont="1" applyBorder="1" applyAlignment="1">
      <alignment horizontal="center"/>
    </xf>
    <xf numFmtId="196" fontId="0" fillId="0" borderId="0" xfId="1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97" fontId="0" fillId="0" borderId="0" xfId="0" applyNumberFormat="1" applyBorder="1" applyAlignment="1">
      <alignment horizontal="center"/>
    </xf>
    <xf numFmtId="197" fontId="0" fillId="0" borderId="0" xfId="0" applyNumberFormat="1" applyBorder="1"/>
    <xf numFmtId="0" fontId="0" fillId="0" borderId="0" xfId="2" applyNumberFormat="1" applyFont="1" applyBorder="1" applyAlignment="1">
      <alignment horizontal="center"/>
    </xf>
    <xf numFmtId="9" fontId="0" fillId="0" borderId="0" xfId="3" applyFont="1" applyBorder="1" applyAlignment="1">
      <alignment horizontal="center"/>
    </xf>
    <xf numFmtId="4" fontId="0" fillId="0" borderId="0" xfId="2" applyNumberFormat="1" applyFont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2" applyNumberFormat="1" applyFont="1" applyFill="1" applyBorder="1" applyAlignment="1">
      <alignment horizontal="center"/>
    </xf>
    <xf numFmtId="9" fontId="0" fillId="0" borderId="0" xfId="3" applyFont="1" applyFill="1" applyBorder="1" applyAlignment="1">
      <alignment horizontal="center"/>
    </xf>
    <xf numFmtId="197" fontId="0" fillId="0" borderId="0" xfId="0" applyNumberFormat="1" applyFill="1" applyBorder="1" applyAlignment="1">
      <alignment horizontal="center"/>
    </xf>
    <xf numFmtId="197" fontId="0" fillId="0" borderId="0" xfId="0" applyNumberFormat="1" applyFill="1" applyBorder="1"/>
    <xf numFmtId="0" fontId="0" fillId="0" borderId="0" xfId="0" applyNumberFormat="1" applyFill="1" applyBorder="1" applyAlignment="1">
      <alignment horizontal="right" indent="1"/>
    </xf>
    <xf numFmtId="195" fontId="0" fillId="0" borderId="0" xfId="2" applyNumberFormat="1" applyFont="1" applyFill="1" applyBorder="1" applyAlignment="1">
      <alignment horizontal="center"/>
    </xf>
    <xf numFmtId="0" fontId="0" fillId="0" borderId="57" xfId="0" applyBorder="1" applyAlignment="1">
      <alignment horizontal="left" indent="1"/>
    </xf>
    <xf numFmtId="0" fontId="0" fillId="0" borderId="57" xfId="0" applyBorder="1" applyAlignment="1">
      <alignment horizontal="center"/>
    </xf>
    <xf numFmtId="9" fontId="0" fillId="0" borderId="57" xfId="3" applyFont="1" applyBorder="1"/>
    <xf numFmtId="9" fontId="0" fillId="0" borderId="57" xfId="0" applyNumberFormat="1" applyBorder="1"/>
    <xf numFmtId="197" fontId="0" fillId="0" borderId="57" xfId="0" applyNumberFormat="1" applyBorder="1" applyAlignment="1">
      <alignment horizontal="center"/>
    </xf>
    <xf numFmtId="0" fontId="0" fillId="11" borderId="57" xfId="0" applyFill="1" applyBorder="1"/>
    <xf numFmtId="9" fontId="0" fillId="0" borderId="57" xfId="3" applyFont="1" applyFill="1" applyBorder="1"/>
    <xf numFmtId="0" fontId="0" fillId="0" borderId="57" xfId="0" applyFill="1" applyBorder="1" applyAlignment="1">
      <alignment horizontal="left" indent="1"/>
    </xf>
    <xf numFmtId="197" fontId="0" fillId="0" borderId="57" xfId="0" applyNumberFormat="1" applyFill="1" applyBorder="1" applyAlignment="1">
      <alignment horizontal="center"/>
    </xf>
    <xf numFmtId="9" fontId="0" fillId="0" borderId="57" xfId="0" applyNumberFormat="1" applyFill="1" applyBorder="1"/>
    <xf numFmtId="0" fontId="0" fillId="0" borderId="57" xfId="0" applyFill="1" applyBorder="1" applyAlignment="1">
      <alignment horizontal="center"/>
    </xf>
    <xf numFmtId="0" fontId="0" fillId="0" borderId="64" xfId="0" applyBorder="1"/>
    <xf numFmtId="9" fontId="0" fillId="0" borderId="65" xfId="0" applyNumberFormat="1" applyBorder="1"/>
    <xf numFmtId="9" fontId="0" fillId="0" borderId="65" xfId="3" applyFont="1" applyFill="1" applyBorder="1"/>
    <xf numFmtId="9" fontId="0" fillId="0" borderId="65" xfId="0" applyNumberFormat="1" applyFill="1" applyBorder="1"/>
    <xf numFmtId="9" fontId="0" fillId="0" borderId="65" xfId="3" applyFont="1" applyBorder="1"/>
    <xf numFmtId="0" fontId="4" fillId="0" borderId="0" xfId="0" applyFont="1" applyBorder="1" applyAlignment="1">
      <alignment horizontal="right"/>
    </xf>
    <xf numFmtId="0" fontId="0" fillId="13" borderId="0" xfId="0" applyFill="1" applyBorder="1"/>
    <xf numFmtId="0" fontId="46" fillId="0" borderId="0" xfId="0" applyFont="1" applyFill="1" applyBorder="1" applyAlignment="1">
      <alignment horizontal="center"/>
    </xf>
    <xf numFmtId="0" fontId="4" fillId="4" borderId="0" xfId="0" applyFont="1" applyFill="1" applyBorder="1"/>
    <xf numFmtId="0" fontId="0" fillId="4" borderId="0" xfId="0" applyFill="1" applyBorder="1" applyAlignment="1">
      <alignment horizontal="center"/>
    </xf>
    <xf numFmtId="0" fontId="0" fillId="0" borderId="63" xfId="0" applyFill="1" applyBorder="1"/>
    <xf numFmtId="0" fontId="0" fillId="0" borderId="63" xfId="0" applyFill="1" applyBorder="1" applyAlignment="1">
      <alignment horizontal="center"/>
    </xf>
    <xf numFmtId="9" fontId="0" fillId="0" borderId="63" xfId="3" applyFont="1" applyFill="1" applyBorder="1"/>
    <xf numFmtId="9" fontId="0" fillId="0" borderId="66" xfId="3" applyFont="1" applyFill="1" applyBorder="1"/>
    <xf numFmtId="0" fontId="0" fillId="0" borderId="59" xfId="0" applyFill="1" applyBorder="1"/>
    <xf numFmtId="0" fontId="0" fillId="0" borderId="61" xfId="0" applyFill="1" applyBorder="1"/>
    <xf numFmtId="2" fontId="0" fillId="0" borderId="63" xfId="0" applyNumberFormat="1" applyFill="1" applyBorder="1"/>
    <xf numFmtId="0" fontId="0" fillId="0" borderId="57" xfId="0" applyFill="1" applyBorder="1"/>
    <xf numFmtId="2" fontId="0" fillId="0" borderId="57" xfId="0" applyNumberFormat="1" applyFill="1" applyBorder="1"/>
    <xf numFmtId="0" fontId="46" fillId="0" borderId="63" xfId="0" applyFont="1" applyFill="1" applyBorder="1" applyAlignment="1">
      <alignment horizontal="center"/>
    </xf>
    <xf numFmtId="2" fontId="0" fillId="0" borderId="63" xfId="0" applyNumberFormat="1" applyFill="1" applyBorder="1" applyAlignment="1">
      <alignment horizontal="center"/>
    </xf>
    <xf numFmtId="9" fontId="0" fillId="0" borderId="63" xfId="3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46" fillId="0" borderId="0" xfId="0" applyNumberFormat="1" applyFont="1" applyFill="1" applyBorder="1" applyAlignment="1">
      <alignment horizontal="center"/>
    </xf>
    <xf numFmtId="2" fontId="46" fillId="0" borderId="63" xfId="0" applyNumberFormat="1" applyFont="1" applyFill="1" applyBorder="1" applyAlignment="1">
      <alignment horizontal="center"/>
    </xf>
    <xf numFmtId="2" fontId="0" fillId="0" borderId="66" xfId="0" applyNumberFormat="1" applyFill="1" applyBorder="1" applyAlignment="1">
      <alignment horizontal="center"/>
    </xf>
    <xf numFmtId="9" fontId="0" fillId="0" borderId="66" xfId="0" applyNumberFormat="1" applyFill="1" applyBorder="1" applyAlignment="1">
      <alignment horizontal="center"/>
    </xf>
    <xf numFmtId="195" fontId="46" fillId="18" borderId="0" xfId="2" applyNumberFormat="1" applyFont="1" applyFill="1" applyBorder="1"/>
    <xf numFmtId="195" fontId="46" fillId="18" borderId="0" xfId="2" applyNumberFormat="1" applyFont="1" applyFill="1" applyBorder="1" applyAlignment="1">
      <alignment wrapText="1"/>
    </xf>
    <xf numFmtId="196" fontId="46" fillId="18" borderId="0" xfId="1" applyNumberFormat="1" applyFont="1" applyFill="1" applyBorder="1"/>
    <xf numFmtId="196" fontId="46" fillId="18" borderId="0" xfId="1" applyNumberFormat="1" applyFont="1" applyFill="1" applyBorder="1" applyAlignment="1">
      <alignment horizontal="right"/>
    </xf>
    <xf numFmtId="195" fontId="46" fillId="18" borderId="3" xfId="2" applyNumberFormat="1" applyFont="1" applyFill="1" applyBorder="1"/>
    <xf numFmtId="196" fontId="46" fillId="18" borderId="8" xfId="1" applyNumberFormat="1" applyFont="1" applyFill="1" applyBorder="1"/>
    <xf numFmtId="196" fontId="46" fillId="18" borderId="17" xfId="1" applyNumberFormat="1" applyFont="1" applyFill="1" applyBorder="1"/>
    <xf numFmtId="0" fontId="46" fillId="18" borderId="0" xfId="0" applyFont="1" applyFill="1"/>
    <xf numFmtId="179" fontId="5" fillId="0" borderId="0" xfId="0" applyNumberFormat="1" applyFont="1" applyFill="1" applyBorder="1" applyAlignment="1" applyProtection="1">
      <alignment horizontal="center"/>
    </xf>
    <xf numFmtId="10" fontId="5" fillId="0" borderId="0" xfId="0" applyNumberFormat="1" applyFont="1" applyFill="1" applyBorder="1" applyAlignment="1" applyProtection="1">
      <alignment horizontal="center"/>
    </xf>
    <xf numFmtId="2" fontId="0" fillId="0" borderId="0" xfId="0" applyNumberFormat="1" applyFont="1" applyFill="1" applyBorder="1" applyAlignment="1">
      <alignment horizontal="center" vertical="center" wrapText="1"/>
    </xf>
    <xf numFmtId="198" fontId="5" fillId="13" borderId="5" xfId="0" applyNumberFormat="1" applyFont="1" applyFill="1" applyBorder="1" applyAlignment="1" applyProtection="1"/>
    <xf numFmtId="3" fontId="55" fillId="0" borderId="0" xfId="0" applyNumberFormat="1" applyFont="1" applyBorder="1" applyAlignment="1">
      <alignment horizontal="right" vertical="center" wrapText="1"/>
    </xf>
    <xf numFmtId="3" fontId="55" fillId="0" borderId="50" xfId="0" applyNumberFormat="1" applyFont="1" applyBorder="1" applyAlignment="1">
      <alignment horizontal="right" vertical="center" wrapText="1"/>
    </xf>
    <xf numFmtId="3" fontId="0" fillId="0" borderId="50" xfId="0" applyNumberFormat="1" applyFont="1" applyBorder="1"/>
    <xf numFmtId="3" fontId="0" fillId="0" borderId="0" xfId="0" applyNumberFormat="1" applyFont="1" applyBorder="1"/>
    <xf numFmtId="3" fontId="52" fillId="0" borderId="0" xfId="0" applyNumberFormat="1" applyFont="1" applyBorder="1" applyAlignment="1">
      <alignment horizontal="right" vertical="center" wrapText="1"/>
    </xf>
    <xf numFmtId="3" fontId="59" fillId="0" borderId="0" xfId="0" applyNumberFormat="1" applyFont="1" applyBorder="1" applyAlignment="1">
      <alignment horizontal="right" vertical="center" wrapText="1"/>
    </xf>
    <xf numFmtId="3" fontId="52" fillId="0" borderId="50" xfId="0" applyNumberFormat="1" applyFont="1" applyBorder="1" applyAlignment="1">
      <alignment horizontal="right" vertical="center" wrapText="1"/>
    </xf>
    <xf numFmtId="3" fontId="52" fillId="0" borderId="8" xfId="0" applyNumberFormat="1" applyFont="1" applyBorder="1" applyAlignment="1">
      <alignment horizontal="right" vertical="center" wrapText="1"/>
    </xf>
    <xf numFmtId="3" fontId="52" fillId="0" borderId="23" xfId="0" applyNumberFormat="1" applyFont="1" applyBorder="1" applyAlignment="1">
      <alignment horizontal="right" vertical="center" wrapText="1"/>
    </xf>
    <xf numFmtId="3" fontId="56" fillId="0" borderId="50" xfId="0" applyNumberFormat="1" applyFont="1" applyBorder="1" applyAlignment="1">
      <alignment horizontal="right" vertical="center" wrapText="1"/>
    </xf>
    <xf numFmtId="3" fontId="55" fillId="0" borderId="0" xfId="0" applyNumberFormat="1" applyFont="1" applyFill="1" applyBorder="1" applyAlignment="1">
      <alignment horizontal="right" vertical="center" wrapText="1"/>
    </xf>
    <xf numFmtId="3" fontId="53" fillId="0" borderId="0" xfId="0" applyNumberFormat="1" applyFont="1" applyFill="1" applyBorder="1" applyAlignment="1">
      <alignment horizontal="right" vertical="center" wrapText="1"/>
    </xf>
    <xf numFmtId="3" fontId="54" fillId="0" borderId="0" xfId="0" applyNumberFormat="1" applyFont="1" applyFill="1" applyBorder="1" applyAlignment="1">
      <alignment horizontal="right" vertical="center" wrapText="1"/>
    </xf>
    <xf numFmtId="3" fontId="0" fillId="0" borderId="50" xfId="0" applyNumberFormat="1" applyFont="1" applyFill="1" applyBorder="1"/>
    <xf numFmtId="3" fontId="0" fillId="0" borderId="0" xfId="0" applyNumberFormat="1" applyFont="1" applyFill="1" applyBorder="1"/>
    <xf numFmtId="3" fontId="55" fillId="0" borderId="50" xfId="0" applyNumberFormat="1" applyFont="1" applyFill="1" applyBorder="1" applyAlignment="1">
      <alignment horizontal="right" vertical="center" wrapText="1"/>
    </xf>
    <xf numFmtId="4" fontId="47" fillId="0" borderId="0" xfId="0" applyNumberFormat="1" applyFont="1" applyBorder="1" applyAlignment="1">
      <alignment horizontal="right" vertical="center" wrapText="1"/>
    </xf>
    <xf numFmtId="0" fontId="47" fillId="0" borderId="0" xfId="0" applyFont="1" applyBorder="1" applyAlignment="1">
      <alignment horizontal="right" vertical="center" wrapText="1"/>
    </xf>
    <xf numFmtId="10" fontId="48" fillId="0" borderId="0" xfId="0" applyNumberFormat="1" applyFont="1" applyBorder="1" applyAlignment="1">
      <alignment horizontal="right" vertical="center" wrapText="1"/>
    </xf>
    <xf numFmtId="10" fontId="49" fillId="0" borderId="0" xfId="0" applyNumberFormat="1" applyFont="1" applyBorder="1" applyAlignment="1">
      <alignment horizontal="right" vertical="center" wrapText="1"/>
    </xf>
    <xf numFmtId="0" fontId="14" fillId="0" borderId="27" xfId="113" applyFont="1" applyBorder="1" applyAlignment="1">
      <alignment horizontal="center"/>
    </xf>
    <xf numFmtId="0" fontId="14" fillId="0" borderId="33" xfId="113" applyFont="1" applyBorder="1" applyAlignment="1">
      <alignment horizontal="center"/>
    </xf>
    <xf numFmtId="0" fontId="46" fillId="0" borderId="17" xfId="0" applyFont="1" applyFill="1" applyBorder="1" applyAlignment="1">
      <alignment horizontal="center"/>
    </xf>
    <xf numFmtId="0" fontId="46" fillId="0" borderId="29" xfId="0" applyFont="1" applyFill="1" applyBorder="1" applyAlignment="1">
      <alignment horizontal="center"/>
    </xf>
    <xf numFmtId="0" fontId="5" fillId="0" borderId="26" xfId="0" applyNumberFormat="1" applyFont="1" applyFill="1" applyBorder="1" applyAlignment="1" applyProtection="1">
      <alignment horizontal="left"/>
    </xf>
    <xf numFmtId="0" fontId="5" fillId="0" borderId="32" xfId="0" applyNumberFormat="1" applyFont="1" applyFill="1" applyBorder="1" applyAlignment="1" applyProtection="1">
      <alignment horizontal="left"/>
    </xf>
    <xf numFmtId="0" fontId="5" fillId="0" borderId="13" xfId="0" applyNumberFormat="1" applyFont="1" applyFill="1" applyBorder="1" applyAlignment="1" applyProtection="1">
      <alignment horizontal="left"/>
    </xf>
    <xf numFmtId="0" fontId="5" fillId="0" borderId="20" xfId="0" applyNumberFormat="1" applyFont="1" applyFill="1" applyBorder="1" applyAlignment="1" applyProtection="1">
      <alignment horizontal="left"/>
    </xf>
    <xf numFmtId="0" fontId="5" fillId="0" borderId="28" xfId="0" applyNumberFormat="1" applyFont="1" applyFill="1" applyBorder="1" applyAlignment="1" applyProtection="1">
      <alignment horizontal="left"/>
    </xf>
    <xf numFmtId="0" fontId="5" fillId="0" borderId="30" xfId="0" applyNumberFormat="1" applyFont="1" applyFill="1" applyBorder="1" applyAlignment="1" applyProtection="1">
      <alignment horizontal="left"/>
    </xf>
    <xf numFmtId="0" fontId="42" fillId="4" borderId="39" xfId="0" applyNumberFormat="1" applyFont="1" applyFill="1" applyBorder="1" applyAlignment="1" applyProtection="1">
      <alignment horizontal="center"/>
    </xf>
    <xf numFmtId="0" fontId="42" fillId="4" borderId="40" xfId="0" applyNumberFormat="1" applyFont="1" applyFill="1" applyBorder="1" applyAlignment="1" applyProtection="1">
      <alignment horizontal="center"/>
    </xf>
    <xf numFmtId="0" fontId="42" fillId="4" borderId="41" xfId="0" applyNumberFormat="1" applyFont="1" applyFill="1" applyBorder="1" applyAlignment="1" applyProtection="1">
      <alignment horizontal="center"/>
    </xf>
    <xf numFmtId="0" fontId="5" fillId="14" borderId="0" xfId="0" applyNumberFormat="1" applyFont="1" applyFill="1" applyBorder="1" applyAlignment="1" applyProtection="1">
      <alignment horizontal="center"/>
    </xf>
    <xf numFmtId="0" fontId="5" fillId="15" borderId="0" xfId="0" applyNumberFormat="1" applyFont="1" applyFill="1" applyBorder="1" applyAlignment="1" applyProtection="1">
      <alignment horizontal="center"/>
    </xf>
    <xf numFmtId="0" fontId="42" fillId="0" borderId="39" xfId="0" applyNumberFormat="1" applyFont="1" applyFill="1" applyBorder="1" applyAlignment="1" applyProtection="1">
      <alignment horizontal="center"/>
    </xf>
    <xf numFmtId="0" fontId="42" fillId="0" borderId="40" xfId="0" applyNumberFormat="1" applyFont="1" applyFill="1" applyBorder="1" applyAlignment="1" applyProtection="1">
      <alignment horizontal="center"/>
    </xf>
    <xf numFmtId="0" fontId="42" fillId="0" borderId="41" xfId="0" applyNumberFormat="1" applyFont="1" applyFill="1" applyBorder="1" applyAlignment="1" applyProtection="1">
      <alignment horizontal="center"/>
    </xf>
    <xf numFmtId="0" fontId="4" fillId="0" borderId="10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96" fontId="42" fillId="4" borderId="17" xfId="1" quotePrefix="1" applyNumberFormat="1" applyFont="1" applyFill="1" applyBorder="1" applyAlignment="1" applyProtection="1"/>
    <xf numFmtId="44" fontId="5" fillId="0" borderId="16" xfId="2" applyNumberFormat="1" applyFont="1" applyFill="1" applyBorder="1" applyAlignment="1" applyProtection="1"/>
    <xf numFmtId="198" fontId="5" fillId="0" borderId="12" xfId="3" applyNumberFormat="1" applyFont="1" applyFill="1" applyBorder="1" applyAlignment="1" applyProtection="1"/>
    <xf numFmtId="9" fontId="5" fillId="0" borderId="25" xfId="3" applyNumberFormat="1" applyFont="1" applyFill="1" applyBorder="1" applyAlignment="1" applyProtection="1"/>
  </cellXfs>
  <cellStyles count="172">
    <cellStyle name="6-0" xfId="4"/>
    <cellStyle name="Bold12" xfId="5"/>
    <cellStyle name="BoldItal12" xfId="6"/>
    <cellStyle name="Border" xfId="7"/>
    <cellStyle name="Border 2" xfId="8"/>
    <cellStyle name="Calc Currency (0)" xfId="9"/>
    <cellStyle name="Calc Currency (2)" xfId="10"/>
    <cellStyle name="Calc Percent (0)" xfId="11"/>
    <cellStyle name="Calc Percent (1)" xfId="12"/>
    <cellStyle name="Calc Percent (2)" xfId="13"/>
    <cellStyle name="Calc Units (0)" xfId="14"/>
    <cellStyle name="Calc Units (1)" xfId="15"/>
    <cellStyle name="Calc Units (2)" xfId="16"/>
    <cellStyle name="Centered Heading" xfId="17"/>
    <cellStyle name="columns" xfId="18"/>
    <cellStyle name="Comma" xfId="1" builtinId="3"/>
    <cellStyle name="comma (0)" xfId="19"/>
    <cellStyle name="Comma [00]" xfId="20"/>
    <cellStyle name="Comma 2" xfId="21"/>
    <cellStyle name="Comma 2 2" xfId="22"/>
    <cellStyle name="Comma 3" xfId="23"/>
    <cellStyle name="Comma 3 2" xfId="24"/>
    <cellStyle name="Comma 4" xfId="25"/>
    <cellStyle name="Comma 5" xfId="26"/>
    <cellStyle name="Comma 6" xfId="27"/>
    <cellStyle name="Comma 7" xfId="28"/>
    <cellStyle name="Comma 8" xfId="29"/>
    <cellStyle name="Comma Acctg" xfId="30"/>
    <cellStyle name="Comma0" xfId="31"/>
    <cellStyle name="Company Name" xfId="32"/>
    <cellStyle name="Contracts" xfId="33"/>
    <cellStyle name="CR Comma" xfId="34"/>
    <cellStyle name="CR Currency" xfId="35"/>
    <cellStyle name="curr" xfId="36"/>
    <cellStyle name="curr 2" xfId="37"/>
    <cellStyle name="Currency" xfId="2" builtinId="4"/>
    <cellStyle name="Currency [00]" xfId="38"/>
    <cellStyle name="Currency 2" xfId="39"/>
    <cellStyle name="Currency 2 2" xfId="40"/>
    <cellStyle name="Currency 3" xfId="41"/>
    <cellStyle name="Currency 4" xfId="42"/>
    <cellStyle name="Currency 5" xfId="43"/>
    <cellStyle name="Currency 6" xfId="44"/>
    <cellStyle name="Currency 7" xfId="45"/>
    <cellStyle name="Currency 8" xfId="46"/>
    <cellStyle name="Currency Acctg" xfId="47"/>
    <cellStyle name="Currency0" xfId="48"/>
    <cellStyle name="Data" xfId="49"/>
    <cellStyle name="Date" xfId="50"/>
    <cellStyle name="Date Short" xfId="51"/>
    <cellStyle name="DateJoel" xfId="52"/>
    <cellStyle name="debbie" xfId="53"/>
    <cellStyle name="debbie 2" xfId="54"/>
    <cellStyle name="Dezimal [0]_laroux" xfId="55"/>
    <cellStyle name="Dezimal_laroux" xfId="56"/>
    <cellStyle name="Enter Currency (0)" xfId="57"/>
    <cellStyle name="Enter Currency (2)" xfId="58"/>
    <cellStyle name="Enter Units (0)" xfId="59"/>
    <cellStyle name="Enter Units (1)" xfId="60"/>
    <cellStyle name="Enter Units (2)" xfId="61"/>
    <cellStyle name="eps" xfId="62"/>
    <cellStyle name="eps 2" xfId="63"/>
    <cellStyle name="Euro" xfId="64"/>
    <cellStyle name="Followed Hyperlink 2" xfId="65"/>
    <cellStyle name="Followed Hyperlink 3" xfId="66"/>
    <cellStyle name="Followed Hyperlink 4" xfId="67"/>
    <cellStyle name="Followed Hyperlink 5" xfId="68"/>
    <cellStyle name="Followed Hyperlink 6" xfId="69"/>
    <cellStyle name="Followed Hyperlink 7" xfId="70"/>
    <cellStyle name="Followed Hyperlink 8" xfId="71"/>
    <cellStyle name="Followed Hyperlink 9" xfId="72"/>
    <cellStyle name="Grey" xfId="73"/>
    <cellStyle name="Header1" xfId="74"/>
    <cellStyle name="Header1 2" xfId="75"/>
    <cellStyle name="Header2" xfId="76"/>
    <cellStyle name="Header2 2" xfId="77"/>
    <cellStyle name="Heading" xfId="78"/>
    <cellStyle name="Heading 2 2" xfId="79"/>
    <cellStyle name="Heading 5" xfId="80"/>
    <cellStyle name="Heading No Underline" xfId="81"/>
    <cellStyle name="Heading With Underline" xfId="82"/>
    <cellStyle name="Hyperlink 2" xfId="83"/>
    <cellStyle name="Hyperlink 3" xfId="84"/>
    <cellStyle name="Hyperlink 4" xfId="85"/>
    <cellStyle name="Hyperlink 5" xfId="86"/>
    <cellStyle name="Hyperlink 6" xfId="87"/>
    <cellStyle name="Hyperlink 7" xfId="88"/>
    <cellStyle name="Hyperlink 8" xfId="89"/>
    <cellStyle name="Hyperlink 9" xfId="90"/>
    <cellStyle name="Input [yellow]" xfId="91"/>
    <cellStyle name="Input [yellow] 2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Milliers [0]_laroux" xfId="98"/>
    <cellStyle name="Milliers_laroux" xfId="99"/>
    <cellStyle name="negativ" xfId="100"/>
    <cellStyle name="nodollars" xfId="101"/>
    <cellStyle name="Normal" xfId="0" builtinId="0"/>
    <cellStyle name="Normal - Style1" xfId="102"/>
    <cellStyle name="Normal 10" xfId="103"/>
    <cellStyle name="Normal 11" xfId="104"/>
    <cellStyle name="Normal 12" xfId="105"/>
    <cellStyle name="Normal 13" xfId="106"/>
    <cellStyle name="Normal 14" xfId="107"/>
    <cellStyle name="Normal 15" xfId="108"/>
    <cellStyle name="Normal 16" xfId="109"/>
    <cellStyle name="Normal 17" xfId="110"/>
    <cellStyle name="Normal 18" xfId="111"/>
    <cellStyle name="Normal 19" xfId="112"/>
    <cellStyle name="Normal 2" xfId="113"/>
    <cellStyle name="Normal 2 2" xfId="114"/>
    <cellStyle name="Normal 20" xfId="115"/>
    <cellStyle name="Normal 21" xfId="116"/>
    <cellStyle name="Normal 22" xfId="117"/>
    <cellStyle name="Normal 23" xfId="118"/>
    <cellStyle name="Normal 24" xfId="119"/>
    <cellStyle name="Normal 25" xfId="120"/>
    <cellStyle name="Normal 26" xfId="121"/>
    <cellStyle name="Normal 27" xfId="122"/>
    <cellStyle name="Normal 28" xfId="123"/>
    <cellStyle name="Normal 29" xfId="124"/>
    <cellStyle name="Normal 3" xfId="125"/>
    <cellStyle name="Normal 3 2" xfId="126"/>
    <cellStyle name="Normal 3 3" xfId="127"/>
    <cellStyle name="Normal 4" xfId="128"/>
    <cellStyle name="Normal 4 2" xfId="129"/>
    <cellStyle name="Normal 5" xfId="130"/>
    <cellStyle name="Normal 6" xfId="131"/>
    <cellStyle name="Normal 7" xfId="132"/>
    <cellStyle name="Normal 8" xfId="133"/>
    <cellStyle name="Normal 9" xfId="134"/>
    <cellStyle name="Note 2" xfId="135"/>
    <cellStyle name="Note 3" xfId="136"/>
    <cellStyle name="OUTPUT AMOUNTS" xfId="137"/>
    <cellStyle name="OUTPUT LINE ITEMS" xfId="138"/>
    <cellStyle name="OUTPUT LINE ITEMS 2" xfId="139"/>
    <cellStyle name="over" xfId="140"/>
    <cellStyle name="Percent" xfId="3" builtinId="5"/>
    <cellStyle name="percent (0)" xfId="141"/>
    <cellStyle name="Percent [0]" xfId="142"/>
    <cellStyle name="Percent [00]" xfId="143"/>
    <cellStyle name="Percent [2]" xfId="144"/>
    <cellStyle name="Percent 2" xfId="145"/>
    <cellStyle name="Percent 2 2" xfId="146"/>
    <cellStyle name="Percent 3" xfId="147"/>
    <cellStyle name="Percent 3 2" xfId="148"/>
    <cellStyle name="Percent 4" xfId="149"/>
    <cellStyle name="Percent 5" xfId="150"/>
    <cellStyle name="Percent 6" xfId="151"/>
    <cellStyle name="Percent 7" xfId="152"/>
    <cellStyle name="Percent 8" xfId="153"/>
    <cellStyle name="posit" xfId="154"/>
    <cellStyle name="PrePop Currency (0)" xfId="155"/>
    <cellStyle name="PrePop Currency (2)" xfId="156"/>
    <cellStyle name="PrePop Units (0)" xfId="157"/>
    <cellStyle name="PrePop Units (1)" xfId="158"/>
    <cellStyle name="PrePop Units (2)" xfId="159"/>
    <cellStyle name="SingleTopDoubleBott" xfId="160"/>
    <cellStyle name="Text Indent A" xfId="161"/>
    <cellStyle name="Text Indent B" xfId="162"/>
    <cellStyle name="Text Indent C" xfId="163"/>
    <cellStyle name="Tickmark" xfId="164"/>
    <cellStyle name="TimStyle" xfId="165"/>
    <cellStyle name="Title 2" xfId="166"/>
    <cellStyle name="Underline" xfId="167"/>
    <cellStyle name="UnderlineDouble" xfId="168"/>
    <cellStyle name="Währung [0]_RESULTS" xfId="169"/>
    <cellStyle name="Währung_RESULTS" xfId="170"/>
    <cellStyle name="표준_BINV" xfId="171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1</xdr:row>
      <xdr:rowOff>38100</xdr:rowOff>
    </xdr:from>
    <xdr:to>
      <xdr:col>1</xdr:col>
      <xdr:colOff>982980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266700"/>
          <a:ext cx="967740" cy="967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25399</xdr:colOff>
      <xdr:row>10</xdr:row>
      <xdr:rowOff>42333</xdr:rowOff>
    </xdr:from>
    <xdr:to>
      <xdr:col>5</xdr:col>
      <xdr:colOff>461729</xdr:colOff>
      <xdr:row>17</xdr:row>
      <xdr:rowOff>154560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666" y="1947333"/>
          <a:ext cx="1469263" cy="14753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1</xdr:row>
      <xdr:rowOff>304800</xdr:rowOff>
    </xdr:to>
    <xdr:sp macro="" textlink="">
      <xdr:nvSpPr>
        <xdr:cNvPr id="2" name="AutoShape 1" descr="Image result for western digital"/>
        <xdr:cNvSpPr>
          <a:spLocks noChangeAspect="1" noChangeArrowheads="1"/>
        </xdr:cNvSpPr>
      </xdr:nvSpPr>
      <xdr:spPr bwMode="auto">
        <a:xfrm>
          <a:off x="236220" y="22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110203</xdr:rowOff>
    </xdr:to>
    <xdr:sp macro="" textlink="">
      <xdr:nvSpPr>
        <xdr:cNvPr id="3" name="AutoShape 4" descr="data:image/jpeg;base64,/9j/4AAQSkZJRgABAQAAAQABAAD/2wCEAAkGBxISDxAPDxAQFRAPFRIPDxURFBAQEBQVFhYWFxQUFBYYHjQgGBolHRQWITEhJSkrLi4uFx8zODMsNygtLisBCgoKDg0OGxAQFywkICQvMDAvLCwtNywsLCwvLSwtLCwsLCw0LCwsLCwsLSwsLCwsLCwsLCwsLCwsLCwsLCwsLP/AABEIAKUBMQMBEQACEQEDEQH/xAAcAAEAAgIDAQAAAAAAAAAAAAAABgcFCAECAwT/xABMEAABAwIABQwOCQMEAwEAAAABAAIDBBEFBgcSIRMXIjFBUVNhcYGj0RQyUlRydIKRkpOhsbPSFSMkNUKiwcLTQ2KyNERjgzPD8CX/xAAaAQEAAgMBAAAAAAAAAAAAAAAABAUBAwYC/8QAMxEAAgECAQgJBQEBAQEAAAAAAAECAxEEBRIVITFRUnETFDNBYYGhwfAjMpGx0SJC4WL/2gAMAwEAAhEDEQA/ALxQEXw5jrBA4xxtMsg0ODSGsad4u3+QFTKODnUV3qRCrY2FN2WtkedlDn3IYQOPPP6qUsnw3si6Rnwo41wqjgoOk61n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HUcDB0nWmj6e9jSM+FGQwblDaSBUQ5oP4oyXAcrTp8xK1Tye0rwf5NlPKKbtONuRNKWpZIxskbg5jtLS03BVdKLi7NayxjJSV09R6SPDQXOIAaCSSbAAbZJ3lg9ELqsc3vIdTikigdfUpq+bUdWsbF0UY2Rbf8RU6OES+67feoq9ubIjxDeyyW9u1+R9mDcaXh8TKyOJrKg5lPUU0mrUsj9xhda7HHcvtrXPDqzcG9W1NWaPca7ulJbe9a0SjOUUkEXx/wANGCBsUZtLPcXG21gtnEcZuBzneUzBUVUnd7EQsbXdOGatrKturopBdALoBdALoBdALoBdALoBdALoBdALoBdALoBdALoBdALoBdALoBdALoBdALoBdALoBdALoBdALoBdALoCT4hYbMNQ2Bx+qnObbca89q4b19o8o3lCxtFThnrav0TcFXcJ5j2P9kxyhvIwZU2JAIY15G2I3SNEh9ElV+DS6aN/j7izxV+idvm8xWMdM/6Qoo6SGmkzaWYMZPfUQwOjAtYHSNFltoyXRSc21rWzb3niqn0kVFJ6nt8jD4PgZ9CYVMtmv1aofKwAMjhnZm5rYrHaBDbHjst82+s07bLLzXiaYJdBO+27/Jm/pDCHcu8yj5lLeSLy3mFynyHs2Nu4IGEc75L/AOIUvJ6+k34+yK7KL+ql4e7IhdT7EEXSwF0sBdLAXSwF0sBdLAXSwF0sBdLAXSwF0sBdLAXSwF0sBdLAXSwF0sBdLAXSwF0sBdLAXSwF0sBdLAXSwF0sBdLAXSwF0sBdLAXSwF0sD0ppCJGOG21zSOUEFeZK6aMxdpJl61VO2SN8UjQ5kjSx7TtFpFiFzcZOLujpmk1ZkQgwVWUkjDHDHWMgY6Gme6YwVMcTiDqbwdg8DNaAdvQpjqUqqd3m31vVdN7/AAIyhUpvUr22a7M4osWZZpS6piip6Z0vZUlPFI+Z08246Z52IboBzWix3VmWIjBWg7u1rvVZeBiNFyd5Kyve29+JNbKDYllWZUP9czxeP4kqucn9k+b/AEikyj23kv2yIXU4gi6AXQC6AXQC6AXQC6AXQC6AXQC6AXQC6AXQC6AXQC6AXQC6AXQC6AXQC6AXQC6AXQC6AXQC6AXQC6AXQHeI7JvKPej2GY7UbALmDqAgCAICqcqR+3s8Xj+JKrrJ3ZPn7IpMo9t5L9siF1OIIugF0AugF0BwXcaWMXGeN8LNmLoZ43wlmLoArAuc3QyLoDjO40MXGdxoLnN0Mi6AXQHGdxoYuM7jQXGdxoLnN0MnGchi4zuNBcZ3GguM7jQXGdxoLjO40FxdDJzdALoBdALoBdALoDtEdk3lHvWHsMx2o2DXMHUBAEAQFT5VD9vZ4vH8SVXWTuyfP2RSZR7Zcl+2Q+6nEAXQC6AXQC6AuXEihYMHU2dGwlzS8ktBOycXD2EKhxc300tZ0GEiuhjq7jOdhx8HH6LepR86W8kZq3DsOPg4/Rb1JnS3jNW4qHKFIDhGVrQAI2xssAAO1DjteH7Fd4JPoU333KPHNOs0u6xHLqWQyUZPsCdk1WqSNBhp7PeCLhzz2jePdJ5BvqHja3RwstrJuBo9JUu9i/Zaf0TT97werj6lTdLPif5Lro4bkPomn73g9XH1J0s+J/kdHDciqcodK2KvcGNa1ro43gNAa3aLToHG1XWBk5Udb72UmOio1tS7kRq6lkM5aCSGtF3OIa0bpJ0AedNmtjW9SLywbgCCOGKIwwuMbGsc50bC5xAALiSNsnSudnXnKTld6zpKdCEYqNth9H0TT97werj6l46WfE/ye+jhuQOCafveD1cfUnSz4n+R0cNyKar7Vde5sLWtbPKIogwBoDbhodYcQzvOr+H0qN5dyOfn9ataPe7fP2XHFgamDQ0U8NmgAXjYTo3zZULqzf8A0y/VKC7kdvomn73g9XH1LHSz4n+TPRw3IfRNP3vB6uPqTpZ8T/I6OG5D6Jp+94PVx9SdLPif5HRw3IfRNP3vB6uPqTpZ8T/I6OG5D6Jp+94PVx9SdLPif5HRw3I8p8X6R/bUtOf+tgPnAXpV6q2Sf5PMqFKW2K/BgMKZPKWQEwF8L9yxMkd+NrjfzEKTTx9SP3ayLUyfSl9ur5uK+w/i/PRutM0FhNmSMuY3cV9w8R9qtKOIhVX+fwVdbDzov/WzeYm63GgXQC6AXQHaI7JvK33rD2HqO1Gwy5g6gIAgCAqXKsft8fi8fxJVdZO7J8/ZFHlLtVy92Q26nkAXQC6AXQAuWQ2X7gCHMpKZncwxA8uYLrma0s6pJ+LOnoxzacV4I+9azYCgKGxmqdUrqp+/LIByNOaPY0LpMPHNpRXgc1iJZ1WT8f8AwxrASQALkkBoG2SdAAW16tZpV3qReeKmBhSUscOjPOzmI3ZHbfm0AcQC53EVulqOX45HSYaiqVNR/PMzC0G8ICq8rMdqqB/dxFvovPzK5ya702vEpspq04vwIPdWBWkjxAoNWwhFcbGG87vJ7T8xb5lFxtTMovx1EvBU8+svDWXSqA6AIDA474S7HoZng2e8ajHv5z9FxyC55lIwtPpKqXmRsXU6Oi35fkgmSzB2qVbpiNjTM2Phvu0flD/YrLKFTNp5u8rcnU86o5bvctlUpdhAEAQBAEAQBAeFZSMljdFK0OY8Wc07R/8At9eoycXdbTzKKkrSWopPGvAbqOpMWkxu2cLj+Ju8f7htHmO6ugw1dVoZ3f3nPYmg6M83u7jDXW8ji6AXQHeE7JvhN96w9jMx2o2JXLnVBAEAQFR5Wf8AXx+Lx/ElV3k3snz9kUWU+1XL3ZC7qeV4ugF0AugOdvRv6EBNRlBr2gDUIQALC8Uw0Dy1X9QoP/p/lFl1/EL/AJX4Z1OUqt3Y6bnjl+dZ0dR3s86Srbl+Gddc2s7il9CT+RZ0bS8fnkY0nW3L1/pD5JCSXHbcS48pNypyVlYgt3d2fTgvCBgmZOxrHPjOc0SAlt9wkAjSNteKkFUi4vv3HqnVdOSku7eSkZTazg6X0Jf5FD0bS3v55E3SdXcvX+nOubWcHSehN/ImjaW9/PIaTrbl+H/Rrm1nBUnoTfyJo2lvfzyGk625fh/0wmMeMstaYzOyJpizg3U2vbfOte+c49yFIoYaNG+a3r3keviZ1rZyWrcYW63kczOLmMktEZHQshc6UNDjK17iA2+gZrhbb9gWivho1rZzercSKGJlRvmpa95nNc2s4Ok9Cb+RR9G0t7+eRI0nW3L1/o1zazg6T0Jv5E0bS3v55DSdbcvX+mHxixsnrWsZMImtjJeBE17bki1znOO0L+crdQwsKLbjfXvNFfFzrJKVtW474vY3T0Ubo4I4CHuz3GRsjnE2AtcPAto3t0pXwkKzvJv55GaGMnRjmxS+eZldc2s4Ok9Cb+RadG0t7+eRu0nW3L1/o1zazg6T0Jv5E0bS3v55DSdbcvX+jXNrODpPQm/kTRtLe/nkNJ1ty9f6Nc2s4Ok9Cb+RNG0t7+eQ0nW3L1/oGU6s3YqX0Jh/7FjRtLe/nkZ0nV3L1/pIMA5SIpXCOqj1Eu0B4dnRX/u0XZ7RvkKNWyfKKvB3/ZKo5RhN2mrfonQKriyOUAQEQyn4OElCZQNnTOEg381xDXjk0g+Sp2AqZtXN3/EQcoU86lnbvjKeurwoBdALoDvCdk3wm+8LD2M9R2rmbGrljqwgCAICocrZ+3x+Lx/ElV3k3sXz9kUWU+1XL3ZCs5WBXXGcguM5BcZyC5kMXY8+tpGd1PDfkzxf2LVXdqUn4M3YdZ1WK8UbBBcydQcFoO2AgMNje5sdBVvzW3ETwDYbbhmj2lb8MnKrFeJoxLzaUn4FF08TnvbGwXe8hjANskmwC6NtRV3sOZinJqK2l5YGxWpoaeOF8EMjmtGe98bHOc46XG5F7XJtxLnauJqTm5JteZ0tLDU4QUbJn0Oxbozt0lN6qPqXnrFXif5PTw9J7YL8Hk7FOhP+zg5mAe5ZWKrL/tmOq0eBfg8nYl0B/wBrHzF49xXrrlbiZ5eDoP8A4REcouLNNTUrJqaEMdqrWuIc83aWu0WJ3wFNwOJqVKmbN31EHH4anTp50I21lcjToA0nQFalRtLdpMnFJqUeqiXVc1uqFryBnW2VhuaVRyyhVzna1i+jk6jmq618zs7JpRbjqgeW39WppGt4GdG0fH8njJkxpLX1aoAGk7KK3tavSylV3L55nl5Mo72VnSUgmqWwQ5xbLLqcZdbOzS6wc7jtpKtpTzIZ0u5FNGGfUzI979Cw3ZLI9yqk52MP6qr0nLhRbaLhxM8n5KxuVh54h8y9aT/+PU86LXH6Hk7JW/crG88JH71nSa4PX/w86LfH6f8Ap8GFsnckEMs7qqIsiaXnYPBNtwadsnRzrbTygpyUVHaa6mTnCLk57PAhF1YFbcZyC4uguXFkvwo6aiMbyS6mdqYJ28wgFnm0jmVFlCkoVbrvL/J9VzpWfdqJioJPCAxWNTAaCsB4CY+ZhIW7Du1WPNGnEK9KXJlA5y6U5a4zkM3Gcgud4Ds2+E33hYexmYfcjZBcqdaEAQBAU/ld+8I/F4/iSq8yb2T5+yKHKnarl7shN1YFaLoBdALoCRZPY87ClKN4vcfJjeR7QFFxrtQl87yZgFevHz/Rei506QICI5UqjNwa9vCvjZ7c4/4Kbk+N6y8LkLKErUH4kYyUYDz5XVsg2MN2Q33XkbJ3MDbldxKXlGvZdGu/byIWTKF26j8i1VTl0EBjcB4WbUtlfH2kcr4Wnusy2y5CSeay21aTptJ96ua6dRVE2t9jJLUbCK5TYs7Bkx7h0T/ztH6qZgHauvMh49XoS+d5WWImDtXwhAwi7WHVn8jNI87s0c6tsZUzKLe/UU2Cp59ZeGsvdc6dKEBGsoWE9QwfMQbPm+oZ5d863khxUrBU8+svDWRMbV6Oi3v1EFyT4O1SsfORsaZmjw33aPyh6scpVLU1HeVuTKWdUc9xb6pC9CAICB5W8J5lLHTA7KofnO8COx/yLfMVY5Np3qOe4rcp1M2nm7ypbq7KEXQC6AtTI7CRBUybjpGNHktuf8wqbKb/ANxXgXmS19NvxLCVYWgQGCx4qdTwbVuP4ozGOWSzB/kpGEjnVorxI+Llm0ZN7ihrrpDlxdALoDvAdmzwm+9YlsZ7h9yNk1yh1oQBAEBT2V37wj8Xj+JKrzJvZPn7IocqdquXuyEqwK0IAgCAmeSaLOwiTwcMjvzMb+4qBlF2o+ZZZMV6r5FyKiL4ICA5VWPlFFSRC8k8ri0cgDbniGeSeRWOT2o583sSK3KKc1GmtrZMMC4NZTU8VPH2sTQ2+647bnHjJuedQqtR1JuT7ydSpqnBRXcfctZsIxlBw52LRPzDaae8MW+LjZv5hfnIUvBUelqq+xa2RMbW6Kk2tr1Iw2R2X7LUM7mUO9JjR+0rflNfUT8CPkt/Ta8SwFWlmYXHSLOwdWD/AInu9EZ36LfhXatHmaMSr0ZcmRHI9g6zKiqI7YiBnI3ZP5iS30VNynU1xh5kDJdO0XPyLIVWWwQFTZXcKZ9RFStOiFue/ez37V+RoHpK5ybTtBzfeUmVKt5KG7WSvJjg3UcHseRsqhxmPg7TOawB8pQ8fUz61t2onYCnmUV46yXKETQgBQFH5RsJ6vhGUA3ZBaBu9dt8/wDMXDmC6DA08yivHWc7lCrn1mt2ojCmEEIDljC4hrQS5xDWgaSSdAAG+sNpa2ZSbdkX9ilgjsSjhgPbgZ0tu7dpd5trmXN4ir0tRyOow9LoqaiZhaDeEBXWWDClooKRp2UjtWk8FuhoPEXEnyFZ5Mp3k57tXz53lXlOraChvKtVyUYQBAd4O3Z4TfesS2M9w+5Gyi5Q60IAgCAp3K+f/wBCPxeP4kqvMm9k+fsiiyp2q5e7IRdWBWi6AXQC6AsXI1Feark7lkbPSc4/sVXlR/5ii2yUtcnyLUVOXIQGMkwYH1ral4B1GIxwjec8kyO5bBo5ytqqWp5i73rNbgnPOfcjJrUbAgKMyg4c7KrX5pvDBeGLeNjs3859gauhwVHo6avtes53HVukqWWxaiR5GZtlWR8UTx53g+8KJlRfa+ZLyU/uXItBVJbny4Vhz6eaM/jjkZ52kfqvUHaSfieZq8Wj4cUMG9j0NPCRZwYHSeG/ZP8Aa4jmWzEVOkqyka8PT6OmomYWk3HSWQNaXONg0FxO4ANJKJX1Buxr/O99fhAkXzquazd0ta51m+i23mXSq1CjyRzMr16/Nl/00LWMbGwWawBjQNwNFgPMFzbbk7s6VJJWR6LBkID4cOYQFPTTVDv6THOAO678LeckDnWylDPmorvPFWahByfca6vkLiXOJLnEucTtknSSV06VlZHKSd3dnF1kwLoLFo5OsTHMc2tq22eNNPG7bbf+o8d1vDc29u1qfG4xS+nB6u9+xdYHB5v1JrX3IshVZahAedTO2NjpHkNYwF7ydoAC5JWYpydkYbSV2a/Yy4YdV1UtQbgONowfwsGho82k8ZK6WhSVKmonMYmt0tRy+WMXdbjQLoBdAelOdmzwm+9YlsZ6h9yNlVyh1oQBAEBTuV/7wj8Xj+JMrzJvZPn7Io8p9quXuyD3VgVougF0AugLWyNQ/Z6qTupWs9Fl/wB6pspv/cV4F3kuP02/EsRVhZhAEAQEZygYd7FonlptNN9TFvgkbJ3ML89lKwdHpalnsW0i4yt0VNtbXqRRa6I5snWSCe1bKzu4XH0Xs6yq7Ka+mn4lnkuX1GvAuBUhdhAEAQEUyl4U1DB8gB2dQRA3kdcv/KHecKZgaefWXhrImNq5lF73qITkkwbqlY+oI2NMzR4cl2j8uf7FPyjUzaajvK7JlK83N9xcKpC8CAICFZUmzyUsdPTwyyao/Ol1Njn2azSAbb7iD5KnYBwjUcptK2wg49TlTzYJu5WkWKde7ao5/Kbmf5K2eKor/tFQsHWf/JlsG5OK6QjVGxwt3TI4Odbiay/tIWmeUKMdms3U8nVZfdqLAxaxFpqQiQ3lnG0+QCzT/YzaHLpPGqyvjalXVsRZ0MFTpa9r3kqUQmBAEBVWU/GwPJoad12NP2lw2nOH9MHeB2+PRuFXGAwtvqSXL+lPlDFX+nF8/wCFdXVoVIugF0AugO9Odmzwm+9YlsZ6p/cjZdcodYEAQBAU5lg+8I/Fo/iTK8yb2T5+yKPKfarl7sgysCtCAIAhkujJNBm4NDuElkf5rM/YqHKDvW8i/wAnxtRRNFBJwQBAcFAUblFw52VWuDDeKnvDHvEg7N3ORbkaF0GCo9HTu9r1nPY6t0lSy2IiymEIleTCbNwpCOEbKz8hd+1Qser0H5E7J8rVkt5eKoDoAgCAICnsrmFNUq46cHY0zLu8OSxN+RoZ5yrvJtO1Nzff+ikylUvNQXcTPJfgzUcHseRs6lxnPgnQz8oB8pQcfUz6zW7UT8DTzKK8dZLlCJgQBAEAQBAEAQBAVtj/AI+BodSUT9mbtmladDN9kZ7rfdubmnatMHgr/wC6i5Iq8Zjc3/FN6+9/O8qxXBTBDAQBAEB6U/bs8JvvXmWxnuH3I2YXKnVhAEAQFN5YPvCPxaP4kyvMm9k+fsikyn2q5f0g6sCtCAIAgL6yew5mC6Qb7XSem9zv1XOYx3rSOlwkc2jFEiUYkBAEBGsoGHexKJ7mm0031MO+C4bJ3M255bb6lYOj0tVJ7FrZGxdboqba29xQ66I5s5QGbxImzMJUbv8AlDfSBb+5R8Wr0ZciVg3atE2BXNnRhAEB51M7Y2PkebMY1z3HeDRcnzBZSbdkYbSV2a9bOurt3Pq5uXNz3e5o9gXS6qNLkjm9detzZsLTwhjGxtFmsAY0bwAsAuabbd2dIlZWPRYMhAEAQBAEAQGPwxhqClZqlRK1g3AdL3cTWjS7mWynSnUdoq5rqVYU1eTsVRjblBlqc6GmDooDoJv9bIP7iO1HEPPuK4w+BjT/ANT1v0KfE4+U/wDMNS9SFKwK4IAgCAIAgO9P27PCb71iWxnuH3I2ZXKHVBAEAQFNZYfvCPxaP4kyvMm9k+fsikyl2i5f0gysCuCAIAgLlwFj1g6Glp4XVDs6KKON31U50taAdpu+FRVcHXnOUlHa33ovqWLoxgo52xbj7tcXBvfDvU1Hyrx1Cvw+qNnXaHF6Ma4uDe+HepqPlTqFfh9UOu0OL0Y1xcG98O9TUfKnUK/D6ox12hxejKzygYxCtqs6Ik08LcyG4Lb3sXvsdIubDkaFa4PDujDXte0qsZXVWerYiMKWQwgPqwVUiOoglOgRSxSHd0NeCfcvFSOdBx3pmylJRmpPuZdOuLg3vh3qaj5VRdQr8Pqi967Q4vRjXFwb3w71NR8qdQr8PqjPXaHF6Ma4uDe+HepqPlTqFfh9UOu0OL0Zgcd8e6WailgpJXOkmzWHYSssy93m7gBpAt5SkYXBVI1VKa1Ij4rGU5U3GD1sh+T+vpqes7Iq35rY2O1KzHvu92x/CDazS7zqbjIVKlPNgtpBwU6cKmdNlna4uDe+HepqPlVV1Cvw+qLbrtDi9GNcXBvfDvU1Hyp1Cvw+qHXaHF6Ma4uDe+HepqPlTqFfh9UOu0OL0Y1xcG98O9TUfKnUK/D6oddocXoxri4N74d6mo+VOoV+H1Q67Q4vRnByjYN4dx/6Z/lTqFfh9UY69Q4jH1mVOkb/AOKOeQ7mhsbfOTf2LZHJtV7Wka5ZRpLZdkVwtlOq5QWwNjgad0fWyek4W/KplPJ1OP3O/p8/JDqZRqS+1W9SGVVS+R5kle973bbnuLnHnKnRioqyViBKcpO8nc8l6PIQBAEAQBAEB6U/bs8JvvWJbGeofcjZpcodUEAQBAU1lj+8YvFo/iTK8yb2T5+yKXKXaLl/SCqwK4IAgCAIAgCAIAgCAIAgCAIAgCAIAgCAIAgCAIAgCAIAgCAIAgCAIAgPSn7dnhN94XmWxnqH3I2bXKnUhAEAQFM5Y/vGLxaP4kyvMm9k+fsilyl2i5f0gt1YFeLoBdALoBdALoBdALoBdALoBdALoBdALoBdALoBdALoBdALoBdALoBdALoBdALoBdALoBdALoBdALoBdAelOdmzwm+8LzLYz1D7kbOLlTqAgCAICmssjT9IROtoNOwDmklv7wrvJj+k+fsimyj2i5EDViVwQBAEAQBAEAQBAEAQBAEAQBAEAQBAEAQBAEAQBAEAQBAEAQBAEAQBAe1GwuljaNtz2NHKXABeZu0We6f3LmbNrlTpwgCAICDZVcX3VFM2oiaTLS5xLRtujdbOtvkWB5LqfgK6pzzXsf7IOOoucLraillelIEMBAEAQBAEAQBAEAQBAEAQBAEAQBAEAQBAEAQBAEAQBAEAQBAEAQBATLJji+6orGzuadQpXCRxO06QaWMG+b2ceIcYUHHV1Tp5q2v9E7A0XOec9iLvCoS8OUAQBAcFAQPG3J3TzZ9RC4wSaXvDWh8Tjtk5lxmk8RtxKww+OnC0Za0Qa+ChP/S1Mp+qhzHuZe+aSL7V1dRldXKacc2TR5L0eAgCAIAgCAIAgCAIAgCAIAgCAIAgCAIAgCAIAgCAIAgCAIAgCAnmJGIcdWwTzTPEYteNjQHHizydA0b3mVdisa6bzYossNg4zSlJlu4OoIoImwwMDI2aGtbtcZO+Tuk6Sqac5TlnSd2W0YKKtFaj6V5PQQBAEB//2Q=="/>
        <xdr:cNvSpPr>
          <a:spLocks noChangeAspect="1" noChangeArrowheads="1"/>
        </xdr:cNvSpPr>
      </xdr:nvSpPr>
      <xdr:spPr bwMode="auto">
        <a:xfrm>
          <a:off x="236220" y="1584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118396</xdr:rowOff>
    </xdr:to>
    <xdr:sp macro="" textlink="">
      <xdr:nvSpPr>
        <xdr:cNvPr id="5" name="AutoShape 2" descr="Image result for western digital"/>
        <xdr:cNvSpPr>
          <a:spLocks noChangeAspect="1" noChangeArrowheads="1"/>
        </xdr:cNvSpPr>
      </xdr:nvSpPr>
      <xdr:spPr bwMode="auto">
        <a:xfrm>
          <a:off x="236220" y="1965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118396</xdr:rowOff>
    </xdr:to>
    <xdr:sp macro="" textlink="">
      <xdr:nvSpPr>
        <xdr:cNvPr id="6" name="AutoShape 3" descr="Image result for western digital"/>
        <xdr:cNvSpPr>
          <a:spLocks noChangeAspect="1" noChangeArrowheads="1"/>
        </xdr:cNvSpPr>
      </xdr:nvSpPr>
      <xdr:spPr bwMode="auto">
        <a:xfrm>
          <a:off x="236220" y="1965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118396</xdr:rowOff>
    </xdr:to>
    <xdr:sp macro="" textlink="">
      <xdr:nvSpPr>
        <xdr:cNvPr id="7" name="AutoShape 4" descr="data:image/jpeg;base64,/9j/4AAQSkZJRgABAQAAAQABAAD/2wCEAAkGBxISDxAPDxAQFRAPFRIPDxURFBAQEBQVFhYWFxQUFBYYHjQgGBolHRQWITEhJSkrLi4uFx8zODMsNygtLisBCgoKDg0OGxAQFywkICQvMDAvLCwtNywsLCwvLSwtLCwsLCw0LCwsLCwsLSwsLCwsLCwsLCwsLCwsLCwsLCwsLP/AABEIAKUBMQMBEQACEQEDEQH/xAAcAAEAAgIDAQAAAAAAAAAAAAAABgcFCAECAwT/xABMEAABAwIABQwOCQMEAwEAAAABAAIDBBEFBgcSIRMXIjFBUVNhcYGj0RQyUlRydIKRkpOhsbPSFSMkNUKiwcLTQ2KyNERjgzPD8CX/xAAaAQEAAgMBAAAAAAAAAAAAAAAABAUBAwYC/8QAMxEAAgECAQgJBQEBAQEAAAAAAAECAxEEBRIVITFRUnETFDNBYYGhwfAjMpGx0SJC4WL/2gAMAwEAAhEDEQA/ALxQEXw5jrBA4xxtMsg0ODSGsad4u3+QFTKODnUV3qRCrY2FN2WtkedlDn3IYQOPPP6qUsnw3si6Rnwo41wqjgoOk61n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FUcFB0nWmj6e9jSM+FDXCqOCg6TrTR9PexpGfChrhVHBQdJ1po+nvY0jPhQ1wqjgoOk600fT3saRnwoa4VRwUHSdaaPp72NIz4UNcKo4KDpOtNH097GkZ8KGuHUcDB0nWmj6e9jSM+FGQwblDaSBUQ5oP4oyXAcrTp8xK1Tye0rwf5NlPKKbtONuRNKWpZIxskbg5jtLS03BVdKLi7NayxjJSV09R6SPDQXOIAaCSSbAAbZJ3lg9ELqsc3vIdTikigdfUpq+bUdWsbF0UY2Rbf8RU6OES+67feoq9ubIjxDeyyW9u1+R9mDcaXh8TKyOJrKg5lPUU0mrUsj9xhda7HHcvtrXPDqzcG9W1NWaPca7ulJbe9a0SjOUUkEXx/wANGCBsUZtLPcXG21gtnEcZuBzneUzBUVUnd7EQsbXdOGatrKturopBdALoBdALoBdALoBdALoBdALoBdALoBdALoBdALoBdALoBdALoBdALoBdALoBdALoBdALoBdALoBdALoCT4hYbMNQ2Bx+qnObbca89q4b19o8o3lCxtFThnrav0TcFXcJ5j2P9kxyhvIwZU2JAIY15G2I3SNEh9ElV+DS6aN/j7izxV+idvm8xWMdM/6Qoo6SGmkzaWYMZPfUQwOjAtYHSNFltoyXRSc21rWzb3niqn0kVFJ6nt8jD4PgZ9CYVMtmv1aofKwAMjhnZm5rYrHaBDbHjst82+s07bLLzXiaYJdBO+27/Jm/pDCHcu8yj5lLeSLy3mFynyHs2Nu4IGEc75L/AOIUvJ6+k34+yK7KL+ql4e7IhdT7EEXSwF0sBdLAXSwF0sBdLAXSwF0sBdLAXSwF0sBdLAXSwF0sBdLAXSwF0sBdLAXSwF0sBdLAXSwF0sBdLAXSwF0sBdLAXSwF0sBdLAXSwF0sD0ppCJGOG21zSOUEFeZK6aMxdpJl61VO2SN8UjQ5kjSx7TtFpFiFzcZOLujpmk1ZkQgwVWUkjDHDHWMgY6Gme6YwVMcTiDqbwdg8DNaAdvQpjqUqqd3m31vVdN7/AAIyhUpvUr22a7M4osWZZpS6piip6Z0vZUlPFI+Z08246Z52IboBzWix3VmWIjBWg7u1rvVZeBiNFyd5Kyve29+JNbKDYllWZUP9czxeP4kqucn9k+b/AEikyj23kv2yIXU4gi6AXQC6AXQC6AXQC6AXQC6AXQC6AXQC6AXQC6AXQC6AXQC6AXQC6AXQC6AXQC6AXQC6AXQC6AXQC6AXQHeI7JvKPej2GY7UbALmDqAgCAICqcqR+3s8Xj+JKrrJ3ZPn7IpMo9t5L9siF1OIIugF0AugF0BwXcaWMXGeN8LNmLoZ43wlmLoArAuc3QyLoDjO40MXGdxoLnN0Mi6AXQHGdxoYuM7jQXGdxoLnN0MnGchi4zuNBcZ3GguM7jQXGdxoLjO40FxdDJzdALoBdALoBdALoDtEdk3lHvWHsMx2o2DXMHUBAEAQFT5VD9vZ4vH8SVXWTuyfP2RSZR7Zcl+2Q+6nEAXQC6AXQC6AuXEihYMHU2dGwlzS8ktBOycXD2EKhxc300tZ0GEiuhjq7jOdhx8HH6LepR86W8kZq3DsOPg4/Rb1JnS3jNW4qHKFIDhGVrQAI2xssAAO1DjteH7Fd4JPoU333KPHNOs0u6xHLqWQyUZPsCdk1WqSNBhp7PeCLhzz2jePdJ5BvqHja3RwstrJuBo9JUu9i/Zaf0TT97werj6lTdLPif5Lro4bkPomn73g9XH1J0s+J/kdHDciqcodK2KvcGNa1ro43gNAa3aLToHG1XWBk5Udb72UmOio1tS7kRq6lkM5aCSGtF3OIa0bpJ0AedNmtjW9SLywbgCCOGKIwwuMbGsc50bC5xAALiSNsnSudnXnKTld6zpKdCEYqNth9H0TT97werj6l46WfE/ye+jhuQOCafveD1cfUnSz4n+R0cNyKar7Vde5sLWtbPKIogwBoDbhodYcQzvOr+H0qN5dyOfn9ataPe7fP2XHFgamDQ0U8NmgAXjYTo3zZULqzf8A0y/VKC7kdvomn73g9XH1LHSz4n+TPRw3IfRNP3vB6uPqTpZ8T/I6OG5D6Jp+94PVx9SdLPif5HRw3IfRNP3vB6uPqTpZ8T/I6OG5D6Jp+94PVx9SdLPif5HRw3I8p8X6R/bUtOf+tgPnAXpV6q2Sf5PMqFKW2K/BgMKZPKWQEwF8L9yxMkd+NrjfzEKTTx9SP3ayLUyfSl9ur5uK+w/i/PRutM0FhNmSMuY3cV9w8R9qtKOIhVX+fwVdbDzov/WzeYm63GgXQC6AXQHaI7JvK33rD2HqO1Gwy5g6gIAgCAqXKsft8fi8fxJVdZO7J8/ZFHlLtVy92Q26nkAXQC6AXQAuWQ2X7gCHMpKZncwxA8uYLrma0s6pJ+LOnoxzacV4I+9azYCgKGxmqdUrqp+/LIByNOaPY0LpMPHNpRXgc1iJZ1WT8f8AwxrASQALkkBoG2SdAAW16tZpV3qReeKmBhSUscOjPOzmI3ZHbfm0AcQC53EVulqOX45HSYaiqVNR/PMzC0G8ICq8rMdqqB/dxFvovPzK5ya702vEpspq04vwIPdWBWkjxAoNWwhFcbGG87vJ7T8xb5lFxtTMovx1EvBU8+svDWXSqA6AIDA474S7HoZng2e8ajHv5z9FxyC55lIwtPpKqXmRsXU6Oi35fkgmSzB2qVbpiNjTM2Phvu0flD/YrLKFTNp5u8rcnU86o5bvctlUpdhAEAQBAEAQBAeFZSMljdFK0OY8Wc07R/8At9eoycXdbTzKKkrSWopPGvAbqOpMWkxu2cLj+Ju8f7htHmO6ugw1dVoZ3f3nPYmg6M83u7jDXW8ji6AXQHeE7JvhN96w9jMx2o2JXLnVBAEAQFR5Wf8AXx+Lx/ElV3k3snz9kUWU+1XL3ZC7qeV4ugF0AugOdvRv6EBNRlBr2gDUIQALC8Uw0Dy1X9QoP/p/lFl1/EL/AJX4Z1OUqt3Y6bnjl+dZ0dR3s86Srbl+Gddc2s7il9CT+RZ0bS8fnkY0nW3L1/pD5JCSXHbcS48pNypyVlYgt3d2fTgvCBgmZOxrHPjOc0SAlt9wkAjSNteKkFUi4vv3HqnVdOSku7eSkZTazg6X0Jf5FD0bS3v55E3SdXcvX+nOubWcHSehN/ImjaW9/PIaTrbl+H/Rrm1nBUnoTfyJo2lvfzyGk625fh/0wmMeMstaYzOyJpizg3U2vbfOte+c49yFIoYaNG+a3r3keviZ1rZyWrcYW63kczOLmMktEZHQshc6UNDjK17iA2+gZrhbb9gWivho1rZzercSKGJlRvmpa95nNc2s4Ok9Cb+RR9G0t7+eRI0nW3L1/o1zazg6T0Jv5E0bS3v55DSdbcvX+mHxixsnrWsZMImtjJeBE17bki1znOO0L+crdQwsKLbjfXvNFfFzrJKVtW474vY3T0Ubo4I4CHuz3GRsjnE2AtcPAto3t0pXwkKzvJv55GaGMnRjmxS+eZldc2s4Ok9Cb+RadG0t7+eRu0nW3L1/o1zazg6T0Jv5E0bS3v55DSdbcvX+jXNrODpPQm/kTRtLe/nkNJ1ty9f6Nc2s4Ok9Cb+RNG0t7+eQ0nW3L1/oGU6s3YqX0Jh/7FjRtLe/nkZ0nV3L1/pIMA5SIpXCOqj1Eu0B4dnRX/u0XZ7RvkKNWyfKKvB3/ZKo5RhN2mrfonQKriyOUAQEQyn4OElCZQNnTOEg381xDXjk0g+Sp2AqZtXN3/EQcoU86lnbvjKeurwoBdALoDvCdk3wm+8LD2M9R2rmbGrljqwgCAICocrZ+3x+Lx/ElV3k3sXz9kUWU+1XL3ZCs5WBXXGcguM5BcZyC5kMXY8+tpGd1PDfkzxf2LVXdqUn4M3YdZ1WK8UbBBcydQcFoO2AgMNje5sdBVvzW3ETwDYbbhmj2lb8MnKrFeJoxLzaUn4FF08TnvbGwXe8hjANskmwC6NtRV3sOZinJqK2l5YGxWpoaeOF8EMjmtGe98bHOc46XG5F7XJtxLnauJqTm5JteZ0tLDU4QUbJn0Oxbozt0lN6qPqXnrFXif5PTw9J7YL8Hk7FOhP+zg5mAe5ZWKrL/tmOq0eBfg8nYl0B/wBrHzF49xXrrlbiZ5eDoP8A4REcouLNNTUrJqaEMdqrWuIc83aWu0WJ3wFNwOJqVKmbN31EHH4anTp50I21lcjToA0nQFalRtLdpMnFJqUeqiXVc1uqFryBnW2VhuaVRyyhVzna1i+jk6jmq618zs7JpRbjqgeW39WppGt4GdG0fH8njJkxpLX1aoAGk7KK3tavSylV3L55nl5Mo72VnSUgmqWwQ5xbLLqcZdbOzS6wc7jtpKtpTzIZ0u5FNGGfUzI979Cw3ZLI9yqk52MP6qr0nLhRbaLhxM8n5KxuVh54h8y9aT/+PU86LXH6Hk7JW/crG88JH71nSa4PX/w86LfH6f8Ap8GFsnckEMs7qqIsiaXnYPBNtwadsnRzrbTygpyUVHaa6mTnCLk57PAhF1YFbcZyC4uguXFkvwo6aiMbyS6mdqYJ28wgFnm0jmVFlCkoVbrvL/J9VzpWfdqJioJPCAxWNTAaCsB4CY+ZhIW7Du1WPNGnEK9KXJlA5y6U5a4zkM3Gcgud4Ds2+E33hYexmYfcjZBcqdaEAQBAU/ld+8I/F4/iSq8yb2T5+yKHKnarl7shN1YFaLoBdALoCRZPY87ClKN4vcfJjeR7QFFxrtQl87yZgFevHz/Rei506QICI5UqjNwa9vCvjZ7c4/4Kbk+N6y8LkLKErUH4kYyUYDz5XVsg2MN2Q33XkbJ3MDbldxKXlGvZdGu/byIWTKF26j8i1VTl0EBjcB4WbUtlfH2kcr4Wnusy2y5CSeay21aTptJ96ua6dRVE2t9jJLUbCK5TYs7Bkx7h0T/ztH6qZgHauvMh49XoS+d5WWImDtXwhAwi7WHVn8jNI87s0c6tsZUzKLe/UU2Cp59ZeGsvdc6dKEBGsoWE9QwfMQbPm+oZ5d863khxUrBU8+svDWRMbV6Oi3v1EFyT4O1SsfORsaZmjw33aPyh6scpVLU1HeVuTKWdUc9xb6pC9CAICB5W8J5lLHTA7KofnO8COx/yLfMVY5Np3qOe4rcp1M2nm7ypbq7KEXQC6AtTI7CRBUybjpGNHktuf8wqbKb/ANxXgXmS19NvxLCVYWgQGCx4qdTwbVuP4ozGOWSzB/kpGEjnVorxI+Llm0ZN7ihrrpDlxdALoDvAdmzwm+9YlsZ7h9yNk1yh1oQBAEBT2V37wj8Xj+JKrzJvZPn7IocqdquXuyEqwK0IAgCAmeSaLOwiTwcMjvzMb+4qBlF2o+ZZZMV6r5FyKiL4ICA5VWPlFFSRC8k8ri0cgDbniGeSeRWOT2o583sSK3KKc1GmtrZMMC4NZTU8VPH2sTQ2+647bnHjJuedQqtR1JuT7ydSpqnBRXcfctZsIxlBw52LRPzDaae8MW+LjZv5hfnIUvBUelqq+xa2RMbW6Kk2tr1Iw2R2X7LUM7mUO9JjR+0rflNfUT8CPkt/Ta8SwFWlmYXHSLOwdWD/AInu9EZ36LfhXatHmaMSr0ZcmRHI9g6zKiqI7YiBnI3ZP5iS30VNynU1xh5kDJdO0XPyLIVWWwQFTZXcKZ9RFStOiFue/ez37V+RoHpK5ybTtBzfeUmVKt5KG7WSvJjg3UcHseRsqhxmPg7TOawB8pQ8fUz61t2onYCnmUV46yXKETQgBQFH5RsJ6vhGUA3ZBaBu9dt8/wDMXDmC6DA08yivHWc7lCrn1mt2ojCmEEIDljC4hrQS5xDWgaSSdAAG+sNpa2ZSbdkX9ilgjsSjhgPbgZ0tu7dpd5trmXN4ir0tRyOow9LoqaiZhaDeEBXWWDClooKRp2UjtWk8FuhoPEXEnyFZ5Mp3k57tXz53lXlOraChvKtVyUYQBAd4O3Z4TfesS2M9w+5Gyi5Q60IAgCAp3K+f/wBCPxeP4kqvMm9k+fsiiyp2q5e7IRdWBWi6AXQC6AsXI1Feark7lkbPSc4/sVXlR/5ii2yUtcnyLUVOXIQGMkwYH1ral4B1GIxwjec8kyO5bBo5ytqqWp5i73rNbgnPOfcjJrUbAgKMyg4c7KrX5pvDBeGLeNjs3859gauhwVHo6avtes53HVukqWWxaiR5GZtlWR8UTx53g+8KJlRfa+ZLyU/uXItBVJbny4Vhz6eaM/jjkZ52kfqvUHaSfieZq8Wj4cUMG9j0NPCRZwYHSeG/ZP8Aa4jmWzEVOkqyka8PT6OmomYWk3HSWQNaXONg0FxO4ANJKJX1Buxr/O99fhAkXzquazd0ta51m+i23mXSq1CjyRzMr16/Nl/00LWMbGwWawBjQNwNFgPMFzbbk7s6VJJWR6LBkID4cOYQFPTTVDv6THOAO678LeckDnWylDPmorvPFWahByfca6vkLiXOJLnEucTtknSSV06VlZHKSd3dnF1kwLoLFo5OsTHMc2tq22eNNPG7bbf+o8d1vDc29u1qfG4xS+nB6u9+xdYHB5v1JrX3IshVZahAedTO2NjpHkNYwF7ydoAC5JWYpydkYbSV2a/Yy4YdV1UtQbgONowfwsGho82k8ZK6WhSVKmonMYmt0tRy+WMXdbjQLoBdAelOdmzwm+9YlsZ6h9yNlVyh1oQBAEBTuV/7wj8Xj+JMrzJvZPn7Io8p9quXuyD3VgVougF0AugLWyNQ/Z6qTupWs9Fl/wB6pspv/cV4F3kuP02/EsRVhZhAEAQEZygYd7FonlptNN9TFvgkbJ3ML89lKwdHpalnsW0i4yt0VNtbXqRRa6I5snWSCe1bKzu4XH0Xs6yq7Ka+mn4lnkuX1GvAuBUhdhAEAQEUyl4U1DB8gB2dQRA3kdcv/KHecKZgaefWXhrImNq5lF73qITkkwbqlY+oI2NMzR4cl2j8uf7FPyjUzaajvK7JlK83N9xcKpC8CAICFZUmzyUsdPTwyyao/Ol1Njn2azSAbb7iD5KnYBwjUcptK2wg49TlTzYJu5WkWKde7ao5/Kbmf5K2eKor/tFQsHWf/JlsG5OK6QjVGxwt3TI4Odbiay/tIWmeUKMdms3U8nVZfdqLAxaxFpqQiQ3lnG0+QCzT/YzaHLpPGqyvjalXVsRZ0MFTpa9r3kqUQmBAEBVWU/GwPJoad12NP2lw2nOH9MHeB2+PRuFXGAwtvqSXL+lPlDFX+nF8/wCFdXVoVIugF0AugO9Odmzwm+9YlsZ6p/cjZdcodYEAQBAU5lg+8I/Fo/iTK8yb2T5+yKPKfarl7sgysCtCAIAhkujJNBm4NDuElkf5rM/YqHKDvW8i/wAnxtRRNFBJwQBAcFAUblFw52VWuDDeKnvDHvEg7N3ORbkaF0GCo9HTu9r1nPY6t0lSy2IiymEIleTCbNwpCOEbKz8hd+1Qser0H5E7J8rVkt5eKoDoAgCAICnsrmFNUq46cHY0zLu8OSxN+RoZ5yrvJtO1Nzff+ikylUvNQXcTPJfgzUcHseRs6lxnPgnQz8oB8pQcfUz6zW7UT8DTzKK8dZLlCJgQBAEAQBAEAQBAVtj/AI+BodSUT9mbtmladDN9kZ7rfdubmnatMHgr/wC6i5Iq8Zjc3/FN6+9/O8qxXBTBDAQBAEB6U/bs8JvvXmWxnuH3I2YXKnVhAEAQFN5YPvCPxaP4kyvMm9k+fsikyn2q5f0g6sCtCAIAgL6yew5mC6Qb7XSem9zv1XOYx3rSOlwkc2jFEiUYkBAEBGsoGHexKJ7mm0031MO+C4bJ3M255bb6lYOj0tVJ7FrZGxdboqba29xQ66I5s5QGbxImzMJUbv8AlDfSBb+5R8Wr0ZciVg3atE2BXNnRhAEB51M7Y2PkebMY1z3HeDRcnzBZSbdkYbSV2a9bOurt3Pq5uXNz3e5o9gXS6qNLkjm9detzZsLTwhjGxtFmsAY0bwAsAuabbd2dIlZWPRYMhAEAQBAEAQGPwxhqClZqlRK1g3AdL3cTWjS7mWynSnUdoq5rqVYU1eTsVRjblBlqc6GmDooDoJv9bIP7iO1HEPPuK4w+BjT/ANT1v0KfE4+U/wDMNS9SFKwK4IAgCAIAgO9P27PCb71iWxnuH3I2ZXKHVBAEAQFNZYfvCPxaP4kyvMm9k+fsikyl2i5f0gysCuCAIAgLlwFj1g6Glp4XVDs6KKON31U50taAdpu+FRVcHXnOUlHa33ovqWLoxgo52xbj7tcXBvfDvU1Hyrx1Cvw+qNnXaHF6Ma4uDe+HepqPlTqFfh9UOu0OL0Y1xcG98O9TUfKnUK/D6ox12hxejKzygYxCtqs6Ik08LcyG4Lb3sXvsdIubDkaFa4PDujDXte0qsZXVWerYiMKWQwgPqwVUiOoglOgRSxSHd0NeCfcvFSOdBx3pmylJRmpPuZdOuLg3vh3qaj5VRdQr8Pqi967Q4vRjXFwb3w71NR8qdQr8PqjPXaHF6Ma4uDe+HepqPlTqFfh9UOu0OL0Zgcd8e6WailgpJXOkmzWHYSssy93m7gBpAt5SkYXBVI1VKa1Ij4rGU5U3GD1sh+T+vpqes7Iq35rY2O1KzHvu92x/CDazS7zqbjIVKlPNgtpBwU6cKmdNlna4uDe+HepqPlVV1Cvw+qLbrtDi9GNcXBvfDvU1Hyp1Cvw+qHXaHF6Ma4uDe+HepqPlTqFfh9UOu0OL0Y1xcG98O9TUfKnUK/D6oddocXoxri4N74d6mo+VOoV+H1Q67Q4vRnByjYN4dx/6Z/lTqFfh9UY69Q4jH1mVOkb/AOKOeQ7mhsbfOTf2LZHJtV7Wka5ZRpLZdkVwtlOq5QWwNjgad0fWyek4W/KplPJ1OP3O/p8/JDqZRqS+1W9SGVVS+R5kle973bbnuLnHnKnRioqyViBKcpO8nc8l6PIQBAEAQBAEB6U/bs8JvvWJbGeofcjZpcodUEAQBAU1lj+8YvFo/iTK8yb2T5+yKXKXaLl/SCqwK4IAgCAIAgCAIAgCAIAgCAIAgCAIAgCAIAgCAIAgCAIAgCAIAgCAIAgPSn7dnhN94XmWxnqH3I2bXKnUhAEAQFM5Y/vGLxaP4kyvMm9k+fsilyl2i5f0gt1YFeLoBdALoBdALoBdALoBdALoBdALoBdALoBdALoBdALoBdALoBdALoBdALoBdALoBdALoBdALoBdALoBdAelOdmzwm+8LzLYz1D7kbOLlTqAgCAICmssjT9IROtoNOwDmklv7wrvJj+k+fsimyj2i5EDViVwQBAEAQBAEAQBAEAQBAEAQBAEAQBAEAQBAEAQBAEAQBAEAQBAEAQBAe1GwuljaNtz2NHKXABeZu0We6f3LmbNrlTpwgCAICDZVcX3VFM2oiaTLS5xLRtujdbOtvkWB5LqfgK6pzzXsf7IOOoucLraillelIEMBAEAQBAEAQBAEAQBAEAQBAEAQBAEAQBAEAQBAEAQBAEAQBAEAQBATLJji+6orGzuadQpXCRxO06QaWMG+b2ceIcYUHHV1Tp5q2v9E7A0XOec9iLvCoS8OUAQBAcFAQPG3J3TzZ9RC4wSaXvDWh8Tjtk5lxmk8RtxKww+OnC0Za0Qa+ChP/S1Mp+qhzHuZe+aSL7V1dRldXKacc2TR5L0eAgCAIAgCAIAgCAIAgCAIAgCAIAgCAIAgCAIAgCAIAgCAIAgCAnmJGIcdWwTzTPEYteNjQHHizydA0b3mVdisa6bzYossNg4zSlJlu4OoIoImwwMDI2aGtbtcZO+Tuk6Sqac5TlnSd2W0YKKtFaj6V5PQQBAEB//2Q=="/>
        <xdr:cNvSpPr>
          <a:spLocks noChangeAspect="1" noChangeArrowheads="1"/>
        </xdr:cNvSpPr>
      </xdr:nvSpPr>
      <xdr:spPr bwMode="auto">
        <a:xfrm>
          <a:off x="236220" y="1965960"/>
          <a:ext cx="304800" cy="300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24582</xdr:colOff>
      <xdr:row>1</xdr:row>
      <xdr:rowOff>16388</xdr:rowOff>
    </xdr:from>
    <xdr:to>
      <xdr:col>1</xdr:col>
      <xdr:colOff>934066</xdr:colOff>
      <xdr:row>2</xdr:row>
      <xdr:rowOff>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195" y="245807"/>
          <a:ext cx="909484" cy="9094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29689</xdr:colOff>
      <xdr:row>1</xdr:row>
      <xdr:rowOff>9897</xdr:rowOff>
    </xdr:from>
    <xdr:to>
      <xdr:col>1</xdr:col>
      <xdr:colOff>672935</xdr:colOff>
      <xdr:row>1</xdr:row>
      <xdr:rowOff>653143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95" y="237507"/>
          <a:ext cx="643246" cy="6432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22860</xdr:rowOff>
    </xdr:from>
    <xdr:to>
      <xdr:col>1</xdr:col>
      <xdr:colOff>518160</xdr:colOff>
      <xdr:row>1</xdr:row>
      <xdr:rowOff>533400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" y="251460"/>
          <a:ext cx="510540" cy="510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7620</xdr:rowOff>
    </xdr:from>
    <xdr:to>
      <xdr:col>1</xdr:col>
      <xdr:colOff>533400</xdr:colOff>
      <xdr:row>1</xdr:row>
      <xdr:rowOff>533400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" y="236220"/>
          <a:ext cx="525780" cy="525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tabSelected="1" zoomScale="70" zoomScaleNormal="70" workbookViewId="0">
      <selection activeCell="F17" sqref="F17"/>
    </sheetView>
  </sheetViews>
  <sheetFormatPr defaultColWidth="8.77734375" defaultRowHeight="14.4" x14ac:dyDescent="0.3"/>
  <cols>
    <col min="1" max="1" width="3.44140625" style="237" customWidth="1"/>
    <col min="2" max="2" width="14.6640625" customWidth="1"/>
    <col min="3" max="3" width="0.88671875" style="180" customWidth="1"/>
    <col min="4" max="4" width="1.109375" style="180" customWidth="1"/>
    <col min="5" max="5" width="9.44140625" bestFit="1" customWidth="1"/>
    <col min="6" max="6" width="24.44140625" customWidth="1"/>
    <col min="9" max="9" width="8.77734375" style="2"/>
  </cols>
  <sheetData>
    <row r="1" spans="1:9" s="237" customFormat="1" ht="18" customHeight="1" x14ac:dyDescent="0.3">
      <c r="A1" s="47"/>
      <c r="B1" s="47"/>
      <c r="C1" s="47"/>
      <c r="D1" s="47"/>
      <c r="E1" s="47"/>
    </row>
    <row r="2" spans="1:9" ht="79.2" customHeight="1" x14ac:dyDescent="0.3">
      <c r="A2" s="47"/>
      <c r="B2" s="13"/>
      <c r="C2" s="13"/>
      <c r="D2" s="13"/>
      <c r="E2" s="13"/>
      <c r="F2" s="13"/>
      <c r="G2" s="13"/>
    </row>
    <row r="3" spans="1:9" ht="3.75" customHeight="1" x14ac:dyDescent="0.3">
      <c r="A3" s="47"/>
      <c r="B3" s="47"/>
      <c r="C3" s="47"/>
      <c r="D3" s="47"/>
      <c r="E3" s="47"/>
      <c r="F3" s="281"/>
      <c r="G3" s="281"/>
    </row>
    <row r="4" spans="1:9" x14ac:dyDescent="0.3">
      <c r="A4" s="47"/>
      <c r="B4" s="13" t="s">
        <v>40</v>
      </c>
      <c r="C4" s="13"/>
      <c r="D4" s="13"/>
      <c r="E4" s="13"/>
      <c r="F4" s="13"/>
      <c r="G4" s="13"/>
    </row>
    <row r="5" spans="1:9" x14ac:dyDescent="0.3">
      <c r="B5" s="13"/>
      <c r="C5" s="13"/>
      <c r="D5" s="13"/>
      <c r="E5" s="13" t="s">
        <v>40</v>
      </c>
      <c r="F5" s="268" t="s">
        <v>85</v>
      </c>
      <c r="G5" s="19" t="s">
        <v>13</v>
      </c>
    </row>
    <row r="6" spans="1:9" x14ac:dyDescent="0.3">
      <c r="B6" s="221" t="s">
        <v>86</v>
      </c>
      <c r="C6" s="270"/>
      <c r="D6" s="221"/>
      <c r="E6" s="273">
        <f>DCF!C48</f>
        <v>50.113293609921861</v>
      </c>
      <c r="F6" s="274">
        <f>(E6/F10)</f>
        <v>1.2610290289361312</v>
      </c>
      <c r="G6" s="275">
        <v>0.5</v>
      </c>
      <c r="H6" s="29"/>
    </row>
    <row r="7" spans="1:9" x14ac:dyDescent="0.3">
      <c r="B7" s="221" t="s">
        <v>87</v>
      </c>
      <c r="C7" s="271"/>
      <c r="D7" s="221"/>
      <c r="E7" s="273">
        <f>Relative!V29</f>
        <v>49.847571605078294</v>
      </c>
      <c r="F7" s="269">
        <f>(E7/F10)</f>
        <v>1.254342516484104</v>
      </c>
      <c r="G7" s="37">
        <v>0.5</v>
      </c>
      <c r="H7" s="29"/>
    </row>
    <row r="8" spans="1:9" x14ac:dyDescent="0.3">
      <c r="B8" s="221" t="s">
        <v>88</v>
      </c>
      <c r="C8" s="272"/>
      <c r="D8" s="221"/>
      <c r="E8" s="278">
        <f>Historical!E19</f>
        <v>236.77865840969892</v>
      </c>
      <c r="F8" s="276">
        <f>(E8/F10)</f>
        <v>5.9581947259612207</v>
      </c>
      <c r="G8" s="277">
        <v>0</v>
      </c>
      <c r="H8" s="29"/>
    </row>
    <row r="9" spans="1:9" ht="9" customHeight="1" x14ac:dyDescent="0.3">
      <c r="B9" s="221"/>
      <c r="C9" s="221"/>
      <c r="D9" s="221"/>
      <c r="E9" s="227"/>
      <c r="F9" s="227"/>
      <c r="G9" s="13"/>
    </row>
    <row r="10" spans="1:9" x14ac:dyDescent="0.3">
      <c r="B10" s="221" t="s">
        <v>89</v>
      </c>
      <c r="C10" s="221"/>
      <c r="D10" s="221"/>
      <c r="E10" s="227"/>
      <c r="F10" s="280">
        <v>39.74</v>
      </c>
      <c r="G10" s="13"/>
    </row>
    <row r="11" spans="1:9" x14ac:dyDescent="0.3">
      <c r="B11" s="221" t="s">
        <v>90</v>
      </c>
      <c r="C11" s="221"/>
      <c r="D11" s="221"/>
      <c r="E11" s="227"/>
      <c r="F11" s="280">
        <f>(E6*G6)+(E7*G7)+(E8*G8)</f>
        <v>49.980432607500077</v>
      </c>
      <c r="G11" s="13"/>
    </row>
    <row r="12" spans="1:9" s="180" customFormat="1" x14ac:dyDescent="0.3">
      <c r="A12" s="237"/>
      <c r="B12" s="221" t="s">
        <v>91</v>
      </c>
      <c r="C12" s="221"/>
      <c r="D12" s="221"/>
      <c r="E12" s="267"/>
      <c r="F12" s="279">
        <f>(F11-F10)/F10</f>
        <v>0.25768577271011761</v>
      </c>
      <c r="G12" s="13"/>
      <c r="I12" s="2"/>
    </row>
    <row r="13" spans="1:9" ht="47.55" customHeight="1" x14ac:dyDescent="0.3">
      <c r="B13" s="13"/>
      <c r="C13" s="13"/>
      <c r="D13" s="13"/>
      <c r="E13" s="37"/>
      <c r="F13" s="37"/>
      <c r="G13" s="13"/>
    </row>
    <row r="14" spans="1:9" s="263" customFormat="1" ht="47.55" customHeight="1" x14ac:dyDescent="0.3">
      <c r="A14" s="261"/>
      <c r="I14" s="26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zoomScale="70" zoomScaleNormal="70" workbookViewId="0">
      <selection activeCell="J34" sqref="J34"/>
    </sheetView>
  </sheetViews>
  <sheetFormatPr defaultColWidth="8.77734375" defaultRowHeight="14.4" x14ac:dyDescent="0.3"/>
  <cols>
    <col min="1" max="1" width="3.44140625" style="315" customWidth="1"/>
    <col min="2" max="2" width="16.77734375" customWidth="1"/>
    <col min="3" max="3" width="0.88671875" style="180" customWidth="1"/>
    <col min="4" max="4" width="1.5546875" style="180" customWidth="1"/>
    <col min="5" max="6" width="10.109375" bestFit="1" customWidth="1"/>
    <col min="11" max="11" width="8.77734375" style="2"/>
  </cols>
  <sheetData>
    <row r="1" spans="1:10" s="316" customFormat="1" ht="18" customHeight="1" x14ac:dyDescent="0.3">
      <c r="A1" s="315"/>
    </row>
    <row r="2" spans="1:10" ht="42.75" customHeight="1" x14ac:dyDescent="0.3">
      <c r="B2" s="13"/>
      <c r="C2" s="13"/>
      <c r="D2" s="13"/>
      <c r="E2" s="13"/>
      <c r="F2" s="13"/>
      <c r="G2" s="13"/>
      <c r="H2" s="13"/>
      <c r="I2" s="13"/>
      <c r="J2" s="13"/>
    </row>
    <row r="3" spans="1:10" ht="3.75" customHeight="1" x14ac:dyDescent="0.3">
      <c r="B3" s="47"/>
      <c r="C3" s="47"/>
      <c r="D3" s="47"/>
      <c r="E3" s="47"/>
      <c r="F3" s="47"/>
      <c r="G3" s="47"/>
      <c r="H3" s="47"/>
      <c r="I3" s="47"/>
      <c r="J3" s="13"/>
    </row>
    <row r="4" spans="1:10" x14ac:dyDescent="0.3">
      <c r="B4" s="13" t="s">
        <v>42</v>
      </c>
      <c r="C4" s="13"/>
      <c r="D4" s="13"/>
      <c r="E4" s="13"/>
      <c r="F4" s="13"/>
      <c r="G4" s="13"/>
      <c r="H4" s="13"/>
      <c r="I4" s="13"/>
      <c r="J4" s="13"/>
    </row>
    <row r="5" spans="1:10" x14ac:dyDescent="0.3"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3">
      <c r="B6" s="379"/>
      <c r="C6" s="379"/>
      <c r="D6" s="379"/>
      <c r="E6" s="380">
        <v>2011</v>
      </c>
      <c r="F6" s="33">
        <v>2012</v>
      </c>
      <c r="G6" s="380">
        <v>2013</v>
      </c>
      <c r="H6" s="33">
        <v>2014</v>
      </c>
      <c r="I6" s="380" t="s">
        <v>294</v>
      </c>
      <c r="J6" s="13"/>
    </row>
    <row r="7" spans="1:10" x14ac:dyDescent="0.3">
      <c r="B7" s="13" t="s">
        <v>44</v>
      </c>
      <c r="C7" s="13"/>
      <c r="D7" s="13"/>
      <c r="E7" s="378">
        <v>0.26</v>
      </c>
      <c r="F7" s="378">
        <v>0.31</v>
      </c>
      <c r="G7" s="378">
        <v>0.06</v>
      </c>
      <c r="H7" s="378">
        <v>0.34</v>
      </c>
      <c r="I7" s="25">
        <f>DCF!J24</f>
        <v>0.6426412771653417</v>
      </c>
      <c r="J7" s="13"/>
    </row>
    <row r="8" spans="1:10" x14ac:dyDescent="0.3">
      <c r="B8" s="13" t="s">
        <v>45</v>
      </c>
      <c r="C8" s="13"/>
      <c r="D8" s="13"/>
      <c r="E8" s="46" t="s">
        <v>180</v>
      </c>
      <c r="F8" s="46" t="s">
        <v>180</v>
      </c>
      <c r="G8" s="13">
        <v>47.01</v>
      </c>
      <c r="H8" s="13">
        <v>76.349999999999994</v>
      </c>
      <c r="I8" s="13"/>
      <c r="J8" s="13"/>
    </row>
    <row r="9" spans="1:10" x14ac:dyDescent="0.3">
      <c r="B9" s="13" t="s">
        <v>46</v>
      </c>
      <c r="C9" s="13"/>
      <c r="D9" s="13"/>
      <c r="E9" s="32" t="s">
        <v>180</v>
      </c>
      <c r="F9" s="32" t="s">
        <v>180</v>
      </c>
      <c r="G9" s="23">
        <v>22.12</v>
      </c>
      <c r="H9" s="13">
        <v>33</v>
      </c>
      <c r="I9" s="13"/>
      <c r="J9" s="13"/>
    </row>
    <row r="10" spans="1:10" x14ac:dyDescent="0.3">
      <c r="B10" s="31"/>
      <c r="C10" s="31"/>
      <c r="D10" s="31"/>
      <c r="E10" s="31"/>
      <c r="F10" s="31"/>
      <c r="G10" s="31"/>
      <c r="H10" s="31"/>
      <c r="I10" s="31"/>
      <c r="J10" s="13"/>
    </row>
    <row r="11" spans="1:10" x14ac:dyDescent="0.3">
      <c r="B11" s="13" t="s">
        <v>47</v>
      </c>
      <c r="C11" s="13"/>
      <c r="D11" s="13"/>
      <c r="E11" s="24"/>
      <c r="F11" s="24"/>
      <c r="G11" s="24">
        <f>G8/G7</f>
        <v>783.5</v>
      </c>
      <c r="H11" s="24">
        <f>H8/H7</f>
        <v>224.55882352941174</v>
      </c>
      <c r="I11" s="13"/>
      <c r="J11" s="13"/>
    </row>
    <row r="12" spans="1:10" x14ac:dyDescent="0.3">
      <c r="B12" s="12" t="s">
        <v>48</v>
      </c>
      <c r="C12" s="12"/>
      <c r="D12" s="12"/>
      <c r="E12" s="381"/>
      <c r="F12" s="381"/>
      <c r="G12" s="381">
        <f>G9/G7</f>
        <v>368.66666666666669</v>
      </c>
      <c r="H12" s="381">
        <f>H9/H7</f>
        <v>97.058823529411754</v>
      </c>
      <c r="I12" s="12"/>
      <c r="J12" s="13"/>
    </row>
    <row r="13" spans="1:10" x14ac:dyDescent="0.3">
      <c r="B13" s="23"/>
      <c r="C13" s="23"/>
      <c r="D13" s="23"/>
      <c r="E13" s="220"/>
      <c r="F13" s="496"/>
      <c r="G13" s="496"/>
      <c r="H13" s="496"/>
      <c r="I13" s="496"/>
    </row>
    <row r="14" spans="1:10" x14ac:dyDescent="0.3">
      <c r="B14" s="13"/>
      <c r="C14" s="13"/>
      <c r="D14" s="13"/>
      <c r="E14" s="497" t="s">
        <v>295</v>
      </c>
      <c r="F14" s="497"/>
      <c r="G14" s="23"/>
      <c r="H14" s="23"/>
      <c r="I14" s="23"/>
    </row>
    <row r="15" spans="1:10" ht="15" thickBot="1" x14ac:dyDescent="0.35">
      <c r="B15" s="13"/>
      <c r="C15" s="13"/>
      <c r="D15" s="13"/>
      <c r="E15" s="376" t="s">
        <v>50</v>
      </c>
      <c r="F15" s="376" t="s">
        <v>51</v>
      </c>
      <c r="G15" s="25"/>
      <c r="H15" s="25"/>
      <c r="I15" s="25"/>
    </row>
    <row r="16" spans="1:10" x14ac:dyDescent="0.3">
      <c r="B16" s="13" t="s">
        <v>52</v>
      </c>
      <c r="C16" s="372"/>
      <c r="D16" s="13"/>
      <c r="E16" s="375">
        <f>AVERAGE(G11:H11)</f>
        <v>504.02941176470586</v>
      </c>
      <c r="F16" s="375">
        <f>MEDIAN(G11:H11)</f>
        <v>504.02941176470586</v>
      </c>
      <c r="G16" s="25"/>
      <c r="H16" s="25"/>
      <c r="I16" s="25"/>
      <c r="J16" s="13"/>
    </row>
    <row r="17" spans="1:11" x14ac:dyDescent="0.3">
      <c r="B17" s="13" t="s">
        <v>53</v>
      </c>
      <c r="C17" s="371"/>
      <c r="D17" s="13"/>
      <c r="E17" s="368">
        <f>AVERAGE(G12:H12)</f>
        <v>232.86274509803923</v>
      </c>
      <c r="F17" s="368">
        <f>MEDIAN(G12:H12)</f>
        <v>232.86274509803923</v>
      </c>
      <c r="G17" s="25"/>
      <c r="H17" s="23"/>
      <c r="I17" s="23"/>
      <c r="J17" s="13"/>
    </row>
    <row r="18" spans="1:11" ht="15" thickBot="1" x14ac:dyDescent="0.35">
      <c r="B18" s="13" t="s">
        <v>50</v>
      </c>
      <c r="C18" s="373"/>
      <c r="D18" s="13"/>
      <c r="E18" s="374">
        <f>AVERAGE(E16:E17)</f>
        <v>368.44607843137254</v>
      </c>
      <c r="F18" s="374">
        <f>AVERAGE(F16:F17)</f>
        <v>368.44607843137254</v>
      </c>
      <c r="G18" s="25"/>
      <c r="H18" s="23"/>
      <c r="I18" s="23"/>
      <c r="J18" s="13"/>
    </row>
    <row r="19" spans="1:11" x14ac:dyDescent="0.3">
      <c r="B19" s="221" t="s">
        <v>11</v>
      </c>
      <c r="C19" s="221"/>
      <c r="D19" s="221"/>
      <c r="E19" s="369">
        <f>I7*F18</f>
        <v>236.77865840969892</v>
      </c>
      <c r="F19" s="369">
        <f>I7*F18</f>
        <v>236.77865840969892</v>
      </c>
      <c r="G19" s="13"/>
      <c r="H19" s="23"/>
      <c r="I19" s="13"/>
      <c r="J19" s="13"/>
    </row>
    <row r="20" spans="1:11" x14ac:dyDescent="0.3">
      <c r="B20" s="221" t="s">
        <v>54</v>
      </c>
      <c r="C20" s="221"/>
      <c r="D20" s="221"/>
      <c r="E20" s="377">
        <f>AVERAGE(E19:F19)</f>
        <v>236.77865840969892</v>
      </c>
      <c r="F20" s="23"/>
      <c r="G20" s="23"/>
      <c r="H20" s="23"/>
      <c r="I20" s="13"/>
      <c r="J20" s="13"/>
    </row>
    <row r="21" spans="1:11" x14ac:dyDescent="0.3">
      <c r="B21" s="370" t="s">
        <v>55</v>
      </c>
      <c r="C21" s="370"/>
      <c r="D21" s="370"/>
      <c r="E21" s="42">
        <f>(E20-Valuation!F10)/Valuation!F10</f>
        <v>4.9581947259612207</v>
      </c>
      <c r="F21" s="23"/>
      <c r="G21" s="23"/>
      <c r="H21" s="23"/>
      <c r="I21" s="13"/>
      <c r="J21" s="13"/>
    </row>
    <row r="22" spans="1:11" x14ac:dyDescent="0.3">
      <c r="B22" s="13"/>
      <c r="C22" s="13"/>
      <c r="D22" s="13"/>
      <c r="E22" s="13"/>
      <c r="F22" s="13"/>
      <c r="G22" s="23"/>
      <c r="H22" s="23"/>
      <c r="I22" s="13"/>
      <c r="J22" s="13"/>
    </row>
    <row r="23" spans="1:11" ht="47.55" customHeight="1" x14ac:dyDescent="0.3">
      <c r="B23" s="30"/>
      <c r="C23" s="30"/>
      <c r="D23" s="30"/>
      <c r="E23" s="30"/>
      <c r="F23" s="30"/>
      <c r="G23" s="23"/>
      <c r="H23" s="23"/>
      <c r="I23" s="23"/>
      <c r="J23" s="13"/>
    </row>
    <row r="24" spans="1:11" s="229" customFormat="1" ht="47.55" customHeight="1" x14ac:dyDescent="0.3">
      <c r="A24" s="315"/>
      <c r="K24" s="2"/>
    </row>
  </sheetData>
  <mergeCells count="2">
    <mergeCell ref="F13:I13"/>
    <mergeCell ref="E14:F14"/>
  </mergeCells>
  <pageMargins left="0.7" right="0.7" top="0.75" bottom="0.75" header="0.3" footer="0.3"/>
  <pageSetup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showGridLines="0" zoomScale="70" zoomScaleNormal="70" workbookViewId="0">
      <selection activeCell="I12" sqref="I12"/>
    </sheetView>
  </sheetViews>
  <sheetFormatPr defaultColWidth="8.77734375" defaultRowHeight="14.4" x14ac:dyDescent="0.3"/>
  <cols>
    <col min="1" max="1" width="3.44140625" style="237" customWidth="1"/>
    <col min="2" max="2" width="22.33203125" bestFit="1" customWidth="1"/>
    <col min="4" max="4" width="10.88671875" customWidth="1"/>
    <col min="5" max="5" width="12.6640625" customWidth="1"/>
    <col min="6" max="6" width="11" customWidth="1"/>
    <col min="7" max="7" width="12.33203125" customWidth="1"/>
    <col min="9" max="9" width="8.77734375" style="2"/>
  </cols>
  <sheetData>
    <row r="1" spans="2:8" s="237" customFormat="1" ht="18" customHeight="1" thickBot="1" x14ac:dyDescent="0.35"/>
    <row r="2" spans="2:8" ht="42.6" customHeight="1" x14ac:dyDescent="0.3">
      <c r="B2" s="17"/>
      <c r="C2" s="16"/>
      <c r="D2" s="16"/>
      <c r="E2" s="16"/>
      <c r="F2" s="16"/>
      <c r="G2" s="13"/>
      <c r="H2" s="30"/>
    </row>
    <row r="3" spans="2:8" ht="3.75" customHeight="1" x14ac:dyDescent="0.3">
      <c r="B3" s="317"/>
      <c r="C3" s="47"/>
      <c r="D3" s="47"/>
      <c r="E3" s="47"/>
      <c r="F3" s="47"/>
      <c r="G3" s="318"/>
      <c r="H3" s="30"/>
    </row>
    <row r="4" spans="2:8" ht="14.4" customHeight="1" x14ac:dyDescent="0.3">
      <c r="B4" s="169"/>
      <c r="C4" s="23"/>
      <c r="D4" s="23"/>
      <c r="E4" s="23"/>
      <c r="F4" s="23"/>
      <c r="G4" s="23"/>
      <c r="H4" s="23"/>
    </row>
    <row r="5" spans="2:8" x14ac:dyDescent="0.3">
      <c r="B5" s="14" t="s">
        <v>8</v>
      </c>
      <c r="C5" s="13"/>
      <c r="D5" s="13"/>
      <c r="E5" s="13"/>
      <c r="F5" s="13"/>
      <c r="G5" s="13"/>
      <c r="H5" s="23"/>
    </row>
    <row r="6" spans="2:8" x14ac:dyDescent="0.3">
      <c r="B6" s="14"/>
      <c r="C6" s="13">
        <v>2010</v>
      </c>
      <c r="D6" s="13">
        <v>2011</v>
      </c>
      <c r="E6" s="12">
        <v>2012</v>
      </c>
      <c r="F6" s="12">
        <v>2013</v>
      </c>
      <c r="G6" s="13">
        <v>2014</v>
      </c>
      <c r="H6" s="23"/>
    </row>
    <row r="7" spans="2:8" x14ac:dyDescent="0.3">
      <c r="B7" s="11" t="s">
        <v>7</v>
      </c>
      <c r="C7" s="10" t="e">
        <f>IS!C25/IS!C4</f>
        <v>#VALUE!</v>
      </c>
      <c r="D7" s="10">
        <f>IS!D25/IS!D4</f>
        <v>0.16150144369586142</v>
      </c>
      <c r="E7" s="10">
        <f>IS!E25/IS!E4</f>
        <v>0.1665395695644806</v>
      </c>
      <c r="F7" s="10">
        <f>IS!F25/IS!F4</f>
        <v>0.10029173027797512</v>
      </c>
      <c r="G7" s="10">
        <f>IS!G25/IS!G4</f>
        <v>9.6641714968106487E-2</v>
      </c>
      <c r="H7" s="30"/>
    </row>
    <row r="8" spans="2:8" x14ac:dyDescent="0.3">
      <c r="B8" s="6" t="s">
        <v>2</v>
      </c>
      <c r="C8" s="5" t="e">
        <f>DCF!C9/BS!C22</f>
        <v>#VALUE!</v>
      </c>
      <c r="D8" s="5" t="e">
        <f>DCF!D9/BS!D22</f>
        <v>#DIV/0!</v>
      </c>
      <c r="E8" s="5">
        <f>DCF!E9/BS!E22</f>
        <v>0.88664005343357311</v>
      </c>
      <c r="F8" s="5">
        <f>DCF!F9/BS!F22</f>
        <v>0.98403994471936163</v>
      </c>
      <c r="G8" s="5">
        <f>DCF!G9/BS!G22</f>
        <v>0.1361088947148448</v>
      </c>
      <c r="H8" s="30"/>
    </row>
    <row r="9" spans="2:8" x14ac:dyDescent="0.3">
      <c r="B9" s="9" t="s">
        <v>6</v>
      </c>
      <c r="C9" s="8" t="e">
        <f>C8*C7</f>
        <v>#VALUE!</v>
      </c>
      <c r="D9" s="8" t="e">
        <f t="shared" ref="D9:G9" si="0">D8*D7</f>
        <v>#DIV/0!</v>
      </c>
      <c r="E9" s="8">
        <f t="shared" si="0"/>
        <v>0.14766065285745533</v>
      </c>
      <c r="F9" s="8">
        <f t="shared" si="0"/>
        <v>9.869106871854777E-2</v>
      </c>
      <c r="G9" s="8">
        <f t="shared" si="0"/>
        <v>1.3153797007656048E-2</v>
      </c>
      <c r="H9" s="30"/>
    </row>
    <row r="10" spans="2:8" x14ac:dyDescent="0.3">
      <c r="B10" s="6" t="s">
        <v>5</v>
      </c>
      <c r="C10" s="5" t="e">
        <f>IS!C25/IS!C19</f>
        <v>#VALUE!</v>
      </c>
      <c r="D10" s="5">
        <f>IS!D25/IS!D19</f>
        <v>1.0715197956577267</v>
      </c>
      <c r="E10" s="5">
        <f>IS!E25/IS!E19</f>
        <v>1.0294618305617389</v>
      </c>
      <c r="F10" s="5">
        <f>IS!F25/IS!F19</f>
        <v>0.83406662476429916</v>
      </c>
      <c r="G10" s="5">
        <f>IS!G25/IS!G19</f>
        <v>0.6880962256325176</v>
      </c>
      <c r="H10" s="30"/>
    </row>
    <row r="11" spans="2:8" x14ac:dyDescent="0.3">
      <c r="B11" s="311" t="s">
        <v>4</v>
      </c>
      <c r="C11" s="312" t="s">
        <v>180</v>
      </c>
      <c r="D11" s="312" t="s">
        <v>180</v>
      </c>
      <c r="E11" s="312" t="s">
        <v>180</v>
      </c>
      <c r="F11" s="312" t="s">
        <v>180</v>
      </c>
      <c r="G11" s="312" t="s">
        <v>180</v>
      </c>
      <c r="H11" s="30"/>
    </row>
    <row r="12" spans="2:8" x14ac:dyDescent="0.3">
      <c r="B12" s="311" t="s">
        <v>3</v>
      </c>
      <c r="C12" s="312" t="s">
        <v>180</v>
      </c>
      <c r="D12" s="312" t="s">
        <v>180</v>
      </c>
      <c r="E12" s="312" t="s">
        <v>180</v>
      </c>
      <c r="F12" s="312" t="s">
        <v>180</v>
      </c>
      <c r="G12" s="312" t="s">
        <v>180</v>
      </c>
      <c r="H12" s="30"/>
    </row>
    <row r="13" spans="2:8" x14ac:dyDescent="0.3">
      <c r="B13" s="7" t="s">
        <v>2</v>
      </c>
      <c r="C13" s="223" t="e">
        <f>IS!C4/BS!C22</f>
        <v>#VALUE!</v>
      </c>
      <c r="D13" s="223" t="e">
        <f>IS!D4/BS!D22</f>
        <v>#DIV/0!</v>
      </c>
      <c r="E13" s="223">
        <f>IS!E4/BS!E22</f>
        <v>0.733282592149614</v>
      </c>
      <c r="F13" s="223">
        <f>IS!F4/BS!F22</f>
        <v>0.73733895055949361</v>
      </c>
      <c r="G13" s="223">
        <f>IS!G4/BS!G22</f>
        <v>0.48918556936053803</v>
      </c>
      <c r="H13" s="30"/>
    </row>
    <row r="14" spans="2:8" x14ac:dyDescent="0.3">
      <c r="B14" s="6" t="s">
        <v>1</v>
      </c>
      <c r="C14" s="5" t="e">
        <f>BS!C22/BS!C55</f>
        <v>#VALUE!</v>
      </c>
      <c r="D14" s="5" t="e">
        <f>BS!D22/BS!D55</f>
        <v>#VALUE!</v>
      </c>
      <c r="E14" s="5">
        <f>BS!E22/BS!E55</f>
        <v>1.6724424585649711</v>
      </c>
      <c r="F14" s="5">
        <f>BS!F22/BS!F55</f>
        <v>1.9570736814553069</v>
      </c>
      <c r="G14" s="5">
        <f>BS!G22/BS!G55</f>
        <v>1.3583298926507019</v>
      </c>
      <c r="H14" s="30"/>
    </row>
    <row r="15" spans="2:8" ht="15" thickBot="1" x14ac:dyDescent="0.35">
      <c r="B15" s="4" t="s">
        <v>0</v>
      </c>
      <c r="C15" s="3" t="e">
        <f>C10*C11*C12*C13*C14</f>
        <v>#VALUE!</v>
      </c>
      <c r="D15" s="3" t="e">
        <f t="shared" ref="D15:G15" si="1">D10*D11*D12*D13*D14</f>
        <v>#VALUE!</v>
      </c>
      <c r="E15" s="3" t="e">
        <f t="shared" si="1"/>
        <v>#VALUE!</v>
      </c>
      <c r="F15" s="3" t="e">
        <f>F10*F11*F12*F13*F14</f>
        <v>#VALUE!</v>
      </c>
      <c r="G15" s="3" t="e">
        <f t="shared" si="1"/>
        <v>#VALUE!</v>
      </c>
      <c r="H15" s="30"/>
    </row>
    <row r="16" spans="2:8" ht="47.55" customHeight="1" x14ac:dyDescent="0.3">
      <c r="B16" s="30"/>
      <c r="C16" s="30"/>
      <c r="D16" s="30"/>
      <c r="E16" s="30"/>
      <c r="F16" s="30"/>
      <c r="G16" s="30"/>
      <c r="H16" s="30"/>
    </row>
    <row r="17" spans="1:9" s="229" customFormat="1" ht="47.55" customHeight="1" x14ac:dyDescent="0.3">
      <c r="A17" s="237"/>
      <c r="I17" s="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showGridLines="0" zoomScale="70" zoomScaleNormal="70" zoomScalePageLayoutView="77" workbookViewId="0">
      <pane xSplit="1" ySplit="1" topLeftCell="B23" activePane="bottomRight" state="frozen"/>
      <selection pane="topRight" activeCell="B1" sqref="B1"/>
      <selection pane="bottomLeft" activeCell="A7" sqref="A7"/>
      <selection pane="bottomRight" activeCell="M25" sqref="M25"/>
    </sheetView>
  </sheetViews>
  <sheetFormatPr defaultRowHeight="14.4" x14ac:dyDescent="0.3"/>
  <cols>
    <col min="1" max="1" width="3.44140625" style="237" customWidth="1"/>
    <col min="2" max="2" width="33.109375" customWidth="1"/>
    <col min="3" max="5" width="8.44140625" customWidth="1"/>
    <col min="6" max="6" width="8.33203125" customWidth="1"/>
    <col min="7" max="9" width="8.44140625" customWidth="1"/>
    <col min="10" max="10" width="8.33203125" customWidth="1"/>
    <col min="12" max="12" width="8.88671875" style="2"/>
    <col min="13" max="13" width="8.77734375" style="30" customWidth="1"/>
  </cols>
  <sheetData>
    <row r="1" spans="1:11" s="237" customFormat="1" x14ac:dyDescent="0.3">
      <c r="A1" s="47"/>
      <c r="B1" s="238"/>
      <c r="C1" s="239"/>
      <c r="D1" s="239"/>
      <c r="E1" s="239"/>
      <c r="F1" s="239"/>
      <c r="G1" s="239"/>
      <c r="H1" s="240"/>
      <c r="I1" s="47"/>
    </row>
    <row r="2" spans="1:11" ht="18" customHeight="1" x14ac:dyDescent="0.3">
      <c r="A2" s="47"/>
      <c r="B2" s="188" t="s">
        <v>301</v>
      </c>
      <c r="C2" s="361">
        <v>2010</v>
      </c>
      <c r="D2" s="361">
        <v>2011</v>
      </c>
      <c r="E2" s="189">
        <v>2012</v>
      </c>
      <c r="F2" s="189">
        <v>2013</v>
      </c>
      <c r="G2" s="189">
        <v>2014</v>
      </c>
      <c r="H2" s="190" t="s">
        <v>268</v>
      </c>
      <c r="I2" s="190" t="s">
        <v>269</v>
      </c>
      <c r="J2" s="190" t="s">
        <v>270</v>
      </c>
      <c r="K2" s="23"/>
    </row>
    <row r="3" spans="1:11" ht="15" thickBot="1" x14ac:dyDescent="0.35">
      <c r="A3" s="47"/>
      <c r="B3" s="250" t="s">
        <v>282</v>
      </c>
      <c r="C3" s="362"/>
      <c r="D3" s="362"/>
      <c r="E3" s="233"/>
      <c r="F3" s="233"/>
      <c r="G3" s="233"/>
      <c r="H3" s="186"/>
      <c r="I3" s="186"/>
      <c r="J3" s="186"/>
      <c r="K3" s="23"/>
    </row>
    <row r="4" spans="1:11" x14ac:dyDescent="0.3">
      <c r="A4" s="47"/>
      <c r="B4" s="191" t="s">
        <v>184</v>
      </c>
      <c r="C4" s="363" t="s">
        <v>180</v>
      </c>
      <c r="D4" s="363">
        <v>0</v>
      </c>
      <c r="E4" s="463">
        <v>45995</v>
      </c>
      <c r="F4" s="463">
        <v>65786</v>
      </c>
      <c r="G4" s="463">
        <v>177181</v>
      </c>
      <c r="H4" s="463">
        <v>191668</v>
      </c>
      <c r="I4" s="463">
        <v>283818</v>
      </c>
      <c r="J4" s="463">
        <v>249655</v>
      </c>
      <c r="K4" s="23"/>
    </row>
    <row r="5" spans="1:11" x14ac:dyDescent="0.3">
      <c r="A5" s="47"/>
      <c r="B5" s="192" t="s">
        <v>185</v>
      </c>
      <c r="C5" s="363" t="s">
        <v>180</v>
      </c>
      <c r="D5" s="363" t="s">
        <v>180</v>
      </c>
      <c r="E5" s="463" t="s">
        <v>180</v>
      </c>
      <c r="F5" s="463" t="s">
        <v>180</v>
      </c>
      <c r="G5" s="463">
        <v>124184</v>
      </c>
      <c r="H5" s="463">
        <v>162946</v>
      </c>
      <c r="I5" s="463">
        <v>270119</v>
      </c>
      <c r="J5" s="463">
        <v>238930</v>
      </c>
      <c r="K5" s="193"/>
    </row>
    <row r="6" spans="1:11" x14ac:dyDescent="0.3">
      <c r="A6" s="47"/>
      <c r="B6" s="192" t="s">
        <v>186</v>
      </c>
      <c r="C6" s="363" t="s">
        <v>180</v>
      </c>
      <c r="D6" s="363" t="s">
        <v>180</v>
      </c>
      <c r="E6" s="463" t="s">
        <v>180</v>
      </c>
      <c r="F6" s="463" t="s">
        <v>180</v>
      </c>
      <c r="G6" s="463">
        <v>52997</v>
      </c>
      <c r="H6" s="464" t="s">
        <v>180</v>
      </c>
      <c r="I6" s="464" t="s">
        <v>180</v>
      </c>
      <c r="J6" s="465" t="s">
        <v>180</v>
      </c>
      <c r="K6" s="81"/>
    </row>
    <row r="7" spans="1:11" x14ac:dyDescent="0.3">
      <c r="A7" s="47"/>
      <c r="B7" s="191" t="s">
        <v>187</v>
      </c>
      <c r="C7" s="363" t="s">
        <v>180</v>
      </c>
      <c r="D7" s="363" t="s">
        <v>180</v>
      </c>
      <c r="E7" s="463">
        <v>9471</v>
      </c>
      <c r="F7" s="463">
        <v>12728</v>
      </c>
      <c r="G7" s="463">
        <v>19263</v>
      </c>
      <c r="H7" s="463">
        <v>14912</v>
      </c>
      <c r="I7" s="463">
        <v>14298</v>
      </c>
      <c r="J7" s="463">
        <v>23182</v>
      </c>
      <c r="K7" s="81"/>
    </row>
    <row r="8" spans="1:11" x14ac:dyDescent="0.3">
      <c r="A8" s="47"/>
      <c r="B8" s="192" t="s">
        <v>188</v>
      </c>
      <c r="C8" s="363" t="s">
        <v>180</v>
      </c>
      <c r="D8" s="363" t="s">
        <v>180</v>
      </c>
      <c r="E8" s="463">
        <v>0</v>
      </c>
      <c r="F8" s="463">
        <v>0</v>
      </c>
      <c r="G8" s="463">
        <v>0</v>
      </c>
      <c r="H8" s="463">
        <v>0</v>
      </c>
      <c r="I8" s="463">
        <v>0</v>
      </c>
      <c r="J8" s="463">
        <v>0</v>
      </c>
      <c r="K8" s="81"/>
    </row>
    <row r="9" spans="1:11" x14ac:dyDescent="0.3">
      <c r="A9" s="47"/>
      <c r="B9" s="192" t="s">
        <v>189</v>
      </c>
      <c r="C9" s="363" t="s">
        <v>180</v>
      </c>
      <c r="D9" s="363" t="s">
        <v>180</v>
      </c>
      <c r="E9" s="464">
        <v>4.9800000000000004</v>
      </c>
      <c r="F9" s="464">
        <v>5.2</v>
      </c>
      <c r="G9" s="464">
        <v>5.35</v>
      </c>
      <c r="H9" s="464">
        <v>2.21</v>
      </c>
      <c r="I9" s="464">
        <v>2.54</v>
      </c>
      <c r="J9" s="464">
        <v>1.73</v>
      </c>
      <c r="K9" s="81"/>
    </row>
    <row r="10" spans="1:11" x14ac:dyDescent="0.3">
      <c r="A10" s="47"/>
      <c r="B10" s="191" t="s">
        <v>190</v>
      </c>
      <c r="C10" s="363" t="s">
        <v>180</v>
      </c>
      <c r="D10" s="363" t="s">
        <v>180</v>
      </c>
      <c r="E10" s="463">
        <v>3423</v>
      </c>
      <c r="F10" s="463">
        <v>4570</v>
      </c>
      <c r="G10" s="463">
        <v>5866</v>
      </c>
      <c r="H10" s="463">
        <v>6854</v>
      </c>
      <c r="I10" s="463">
        <v>7789</v>
      </c>
      <c r="J10" s="463">
        <v>8832</v>
      </c>
      <c r="K10" s="23"/>
    </row>
    <row r="11" spans="1:11" x14ac:dyDescent="0.3">
      <c r="A11" s="47"/>
      <c r="B11" s="192" t="s">
        <v>191</v>
      </c>
      <c r="C11" s="363" t="s">
        <v>180</v>
      </c>
      <c r="D11" s="363" t="s">
        <v>180</v>
      </c>
      <c r="E11" s="463">
        <v>549</v>
      </c>
      <c r="F11" s="463">
        <v>1466</v>
      </c>
      <c r="G11" s="463">
        <v>1793</v>
      </c>
      <c r="H11" s="463">
        <v>0</v>
      </c>
      <c r="I11" s="463">
        <v>0</v>
      </c>
      <c r="J11" s="463">
        <v>0</v>
      </c>
      <c r="K11" s="23"/>
    </row>
    <row r="12" spans="1:11" x14ac:dyDescent="0.3">
      <c r="A12" s="47"/>
      <c r="B12" s="192" t="s">
        <v>192</v>
      </c>
      <c r="C12" s="363" t="s">
        <v>180</v>
      </c>
      <c r="D12" s="363" t="s">
        <v>180</v>
      </c>
      <c r="E12" s="463">
        <v>2874</v>
      </c>
      <c r="F12" s="463">
        <v>3104</v>
      </c>
      <c r="G12" s="463">
        <v>4073</v>
      </c>
      <c r="H12" s="463">
        <v>6854</v>
      </c>
      <c r="I12" s="463">
        <v>7789</v>
      </c>
      <c r="J12" s="463">
        <v>8832</v>
      </c>
      <c r="K12" s="81"/>
    </row>
    <row r="13" spans="1:11" x14ac:dyDescent="0.3">
      <c r="A13" s="47"/>
      <c r="B13" s="191" t="s">
        <v>77</v>
      </c>
      <c r="C13" s="363" t="s">
        <v>180</v>
      </c>
      <c r="D13" s="363" t="s">
        <v>180</v>
      </c>
      <c r="E13" s="463">
        <v>58889</v>
      </c>
      <c r="F13" s="463">
        <v>83084</v>
      </c>
      <c r="G13" s="463">
        <v>202310</v>
      </c>
      <c r="H13" s="463">
        <v>213434</v>
      </c>
      <c r="I13" s="463">
        <v>305905</v>
      </c>
      <c r="J13" s="463">
        <v>281669</v>
      </c>
      <c r="K13" s="23"/>
    </row>
    <row r="14" spans="1:11" x14ac:dyDescent="0.3">
      <c r="A14" s="47"/>
      <c r="B14" s="191" t="s">
        <v>193</v>
      </c>
      <c r="C14" s="363" t="s">
        <v>180</v>
      </c>
      <c r="D14" s="363" t="s">
        <v>180</v>
      </c>
      <c r="E14" s="463">
        <v>937</v>
      </c>
      <c r="F14" s="463">
        <v>1272</v>
      </c>
      <c r="G14" s="463">
        <v>2148</v>
      </c>
      <c r="H14" s="463">
        <v>2321</v>
      </c>
      <c r="I14" s="463">
        <v>2543</v>
      </c>
      <c r="J14" s="463">
        <v>3291</v>
      </c>
      <c r="K14" s="81"/>
    </row>
    <row r="15" spans="1:11" ht="27.6" x14ac:dyDescent="0.3">
      <c r="A15" s="47"/>
      <c r="B15" s="192" t="s">
        <v>194</v>
      </c>
      <c r="C15" s="363" t="s">
        <v>180</v>
      </c>
      <c r="D15" s="363" t="s">
        <v>180</v>
      </c>
      <c r="E15" s="463">
        <v>2271</v>
      </c>
      <c r="F15" s="463">
        <v>3081</v>
      </c>
      <c r="G15" s="463">
        <v>3537</v>
      </c>
      <c r="H15" s="463">
        <v>0</v>
      </c>
      <c r="I15" s="463">
        <v>0</v>
      </c>
      <c r="J15" s="463">
        <v>3291</v>
      </c>
      <c r="K15" s="23"/>
    </row>
    <row r="16" spans="1:11" ht="27.6" x14ac:dyDescent="0.3">
      <c r="A16" s="47"/>
      <c r="B16" s="194" t="s">
        <v>195</v>
      </c>
      <c r="C16" s="363" t="s">
        <v>180</v>
      </c>
      <c r="D16" s="363" t="s">
        <v>180</v>
      </c>
      <c r="E16" s="463">
        <v>1431</v>
      </c>
      <c r="F16" s="463">
        <v>2040</v>
      </c>
      <c r="G16" s="463">
        <v>2293</v>
      </c>
      <c r="H16" s="463">
        <v>0</v>
      </c>
      <c r="I16" s="463">
        <v>0</v>
      </c>
      <c r="J16" s="463">
        <v>0</v>
      </c>
      <c r="K16" s="23"/>
    </row>
    <row r="17" spans="1:19" ht="27.6" x14ac:dyDescent="0.3">
      <c r="A17" s="47"/>
      <c r="B17" s="194" t="s">
        <v>196</v>
      </c>
      <c r="C17" s="363" t="s">
        <v>180</v>
      </c>
      <c r="D17" s="363" t="s">
        <v>180</v>
      </c>
      <c r="E17" s="463">
        <v>840</v>
      </c>
      <c r="F17" s="463">
        <v>1041</v>
      </c>
      <c r="G17" s="463">
        <v>1244</v>
      </c>
      <c r="H17" s="463">
        <v>0</v>
      </c>
      <c r="I17" s="463">
        <v>0</v>
      </c>
      <c r="J17" s="463">
        <v>0</v>
      </c>
      <c r="K17" s="23"/>
    </row>
    <row r="18" spans="1:19" x14ac:dyDescent="0.3">
      <c r="A18" s="47"/>
      <c r="B18" s="192" t="s">
        <v>197</v>
      </c>
      <c r="C18" s="363" t="s">
        <v>180</v>
      </c>
      <c r="D18" s="363" t="s">
        <v>180</v>
      </c>
      <c r="E18" s="463">
        <v>1334</v>
      </c>
      <c r="F18" s="463">
        <v>1809</v>
      </c>
      <c r="G18" s="463">
        <v>1389</v>
      </c>
      <c r="H18" s="463">
        <v>0</v>
      </c>
      <c r="I18" s="463">
        <v>0</v>
      </c>
      <c r="J18" s="463">
        <v>0</v>
      </c>
      <c r="K18" s="23"/>
      <c r="L18" s="31"/>
      <c r="M18" s="23"/>
      <c r="N18" s="23"/>
      <c r="O18" s="23"/>
      <c r="P18" s="23"/>
      <c r="Q18" s="23"/>
      <c r="R18" s="23"/>
      <c r="S18" s="23"/>
    </row>
    <row r="19" spans="1:19" x14ac:dyDescent="0.3">
      <c r="A19" s="47"/>
      <c r="B19" s="191" t="s">
        <v>198</v>
      </c>
      <c r="C19" s="363" t="s">
        <v>180</v>
      </c>
      <c r="D19" s="363" t="s">
        <v>180</v>
      </c>
      <c r="E19" s="463">
        <v>0</v>
      </c>
      <c r="F19" s="463">
        <v>0</v>
      </c>
      <c r="G19" s="463">
        <v>0</v>
      </c>
      <c r="H19" s="463">
        <v>0</v>
      </c>
      <c r="I19" s="463">
        <v>0</v>
      </c>
      <c r="J19" s="463">
        <v>23895</v>
      </c>
      <c r="K19" s="23"/>
      <c r="L19" s="31"/>
      <c r="M19" s="23"/>
      <c r="N19" s="23"/>
      <c r="O19" s="23"/>
      <c r="P19" s="23"/>
      <c r="Q19" s="23"/>
      <c r="R19" s="23"/>
      <c r="S19" s="23"/>
    </row>
    <row r="20" spans="1:19" x14ac:dyDescent="0.3">
      <c r="A20" s="47"/>
      <c r="B20" s="192" t="s">
        <v>199</v>
      </c>
      <c r="C20" s="363" t="s">
        <v>180</v>
      </c>
      <c r="D20" s="363" t="s">
        <v>180</v>
      </c>
      <c r="E20" s="463">
        <v>0</v>
      </c>
      <c r="F20" s="463">
        <v>0</v>
      </c>
      <c r="G20" s="463">
        <v>0</v>
      </c>
      <c r="H20" s="463">
        <v>0</v>
      </c>
      <c r="I20" s="463">
        <v>0</v>
      </c>
      <c r="J20" s="463">
        <v>0</v>
      </c>
      <c r="K20" s="81"/>
      <c r="L20" s="31"/>
      <c r="M20" s="23"/>
      <c r="N20" s="23"/>
      <c r="O20" s="23"/>
      <c r="P20" s="23"/>
      <c r="Q20" s="23"/>
      <c r="R20" s="23"/>
      <c r="S20" s="23"/>
    </row>
    <row r="21" spans="1:19" x14ac:dyDescent="0.3">
      <c r="A21" s="47"/>
      <c r="B21" s="191" t="s">
        <v>200</v>
      </c>
      <c r="C21" s="363" t="s">
        <v>180</v>
      </c>
      <c r="D21" s="363" t="s">
        <v>180</v>
      </c>
      <c r="E21" s="463">
        <v>3415</v>
      </c>
      <c r="F21" s="463">
        <v>3890</v>
      </c>
      <c r="G21" s="463">
        <v>4081</v>
      </c>
      <c r="H21" s="463">
        <v>4090</v>
      </c>
      <c r="I21" s="463">
        <v>4294</v>
      </c>
      <c r="J21" s="463">
        <v>4776</v>
      </c>
      <c r="K21" s="81"/>
      <c r="L21" s="31"/>
      <c r="M21" s="23"/>
      <c r="N21" s="23"/>
      <c r="O21" s="23"/>
      <c r="P21" s="23"/>
      <c r="Q21" s="23"/>
      <c r="R21" s="23"/>
      <c r="S21" s="23"/>
    </row>
    <row r="22" spans="1:19" x14ac:dyDescent="0.3">
      <c r="A22" s="47"/>
      <c r="B22" s="191" t="s">
        <v>201</v>
      </c>
      <c r="C22" s="363" t="s">
        <v>180</v>
      </c>
      <c r="D22" s="363">
        <v>0</v>
      </c>
      <c r="E22" s="463">
        <v>64379</v>
      </c>
      <c r="F22" s="463">
        <v>89724</v>
      </c>
      <c r="G22" s="463">
        <v>210552</v>
      </c>
      <c r="H22" s="463">
        <v>222060</v>
      </c>
      <c r="I22" s="463">
        <v>315372</v>
      </c>
      <c r="J22" s="463">
        <v>316041</v>
      </c>
      <c r="K22" s="193"/>
    </row>
    <row r="23" spans="1:19" x14ac:dyDescent="0.3">
      <c r="A23" s="47"/>
      <c r="B23" s="192" t="s">
        <v>2</v>
      </c>
      <c r="C23" s="363" t="s">
        <v>180</v>
      </c>
      <c r="D23" s="363" t="s">
        <v>180</v>
      </c>
      <c r="E23" s="463" t="s">
        <v>180</v>
      </c>
      <c r="F23" s="463" t="s">
        <v>180</v>
      </c>
      <c r="G23" s="464">
        <v>0.69</v>
      </c>
      <c r="H23" s="463" t="s">
        <v>180</v>
      </c>
      <c r="I23" s="463" t="s">
        <v>180</v>
      </c>
      <c r="J23" s="464">
        <v>0.69</v>
      </c>
      <c r="K23" s="23"/>
    </row>
    <row r="24" spans="1:19" ht="15" thickBot="1" x14ac:dyDescent="0.35">
      <c r="A24" s="47"/>
      <c r="B24" s="251" t="s">
        <v>280</v>
      </c>
      <c r="C24" s="364"/>
      <c r="D24" s="364"/>
      <c r="E24" s="466"/>
      <c r="F24" s="466"/>
      <c r="G24" s="466"/>
      <c r="H24" s="467"/>
      <c r="I24" s="467"/>
      <c r="J24" s="467"/>
      <c r="K24" s="193"/>
    </row>
    <row r="25" spans="1:19" ht="27.6" x14ac:dyDescent="0.3">
      <c r="A25" s="47"/>
      <c r="B25" s="191" t="s">
        <v>203</v>
      </c>
      <c r="C25" s="363" t="s">
        <v>180</v>
      </c>
      <c r="D25" s="363" t="s">
        <v>180</v>
      </c>
      <c r="E25" s="463">
        <v>0</v>
      </c>
      <c r="F25" s="463">
        <v>0</v>
      </c>
      <c r="G25" s="463">
        <v>0</v>
      </c>
      <c r="H25" s="463">
        <v>0</v>
      </c>
      <c r="I25" s="463">
        <v>0</v>
      </c>
      <c r="J25" s="463">
        <v>0</v>
      </c>
      <c r="K25" s="23"/>
    </row>
    <row r="26" spans="1:19" x14ac:dyDescent="0.3">
      <c r="A26" s="47"/>
      <c r="B26" s="192" t="s">
        <v>204</v>
      </c>
      <c r="C26" s="363" t="s">
        <v>180</v>
      </c>
      <c r="D26" s="363">
        <v>0</v>
      </c>
      <c r="E26" s="463">
        <v>0</v>
      </c>
      <c r="F26" s="463">
        <v>0</v>
      </c>
      <c r="G26" s="463">
        <v>0</v>
      </c>
      <c r="H26" s="463">
        <v>0</v>
      </c>
      <c r="I26" s="463">
        <v>0</v>
      </c>
      <c r="J26" s="463">
        <v>0</v>
      </c>
      <c r="K26" s="81"/>
    </row>
    <row r="27" spans="1:19" ht="27.6" x14ac:dyDescent="0.3">
      <c r="A27" s="47"/>
      <c r="B27" s="192" t="s">
        <v>205</v>
      </c>
      <c r="C27" s="363" t="s">
        <v>180</v>
      </c>
      <c r="D27" s="363" t="s">
        <v>180</v>
      </c>
      <c r="E27" s="463">
        <v>0</v>
      </c>
      <c r="F27" s="463">
        <v>0</v>
      </c>
      <c r="G27" s="463">
        <v>0</v>
      </c>
      <c r="H27" s="463">
        <v>0</v>
      </c>
      <c r="I27" s="463">
        <v>0</v>
      </c>
      <c r="J27" s="463">
        <v>0</v>
      </c>
      <c r="K27" s="23"/>
    </row>
    <row r="28" spans="1:19" x14ac:dyDescent="0.3">
      <c r="A28" s="47"/>
      <c r="B28" s="191" t="s">
        <v>206</v>
      </c>
      <c r="C28" s="363" t="s">
        <v>180</v>
      </c>
      <c r="D28" s="363" t="s">
        <v>180</v>
      </c>
      <c r="E28" s="463">
        <v>1057</v>
      </c>
      <c r="F28" s="463">
        <v>1766</v>
      </c>
      <c r="G28" s="463">
        <v>1835</v>
      </c>
      <c r="H28" s="463">
        <v>2481</v>
      </c>
      <c r="I28" s="463">
        <v>1892</v>
      </c>
      <c r="J28" s="463">
        <v>1720</v>
      </c>
      <c r="K28" s="81"/>
    </row>
    <row r="29" spans="1:19" x14ac:dyDescent="0.3">
      <c r="A29" s="47"/>
      <c r="B29" s="191" t="s">
        <v>207</v>
      </c>
      <c r="C29" s="363" t="s">
        <v>180</v>
      </c>
      <c r="D29" s="363" t="s">
        <v>180</v>
      </c>
      <c r="E29" s="463">
        <v>0</v>
      </c>
      <c r="F29" s="463">
        <v>29</v>
      </c>
      <c r="G29" s="463" t="s">
        <v>180</v>
      </c>
      <c r="H29" s="463" t="s">
        <v>180</v>
      </c>
      <c r="I29" s="463" t="s">
        <v>180</v>
      </c>
      <c r="J29" s="463">
        <v>251</v>
      </c>
      <c r="K29" s="81"/>
    </row>
    <row r="30" spans="1:19" x14ac:dyDescent="0.3">
      <c r="A30" s="47"/>
      <c r="B30" s="191" t="s">
        <v>208</v>
      </c>
      <c r="C30" s="363" t="s">
        <v>180</v>
      </c>
      <c r="D30" s="363" t="s">
        <v>180</v>
      </c>
      <c r="E30" s="463">
        <v>16384</v>
      </c>
      <c r="F30" s="463">
        <v>29549</v>
      </c>
      <c r="G30" s="463">
        <v>39858</v>
      </c>
      <c r="H30" s="463">
        <v>42097</v>
      </c>
      <c r="I30" s="463">
        <v>73112</v>
      </c>
      <c r="J30" s="463">
        <v>60962</v>
      </c>
      <c r="K30" s="193"/>
    </row>
    <row r="31" spans="1:19" ht="19.2" customHeight="1" x14ac:dyDescent="0.3">
      <c r="A31" s="47"/>
      <c r="B31" s="192" t="s">
        <v>209</v>
      </c>
      <c r="C31" s="363" t="s">
        <v>180</v>
      </c>
      <c r="D31" s="363" t="s">
        <v>180</v>
      </c>
      <c r="E31" s="463">
        <v>4170</v>
      </c>
      <c r="F31" s="463">
        <v>6821</v>
      </c>
      <c r="G31" s="463">
        <v>10322</v>
      </c>
      <c r="H31" s="463">
        <v>0</v>
      </c>
      <c r="I31" s="463">
        <v>0</v>
      </c>
      <c r="J31" s="463">
        <v>0</v>
      </c>
      <c r="K31" s="23"/>
    </row>
    <row r="32" spans="1:19" s="30" customFormat="1" ht="26.4" customHeight="1" x14ac:dyDescent="0.3">
      <c r="A32" s="237"/>
      <c r="B32" s="192" t="s">
        <v>210</v>
      </c>
      <c r="C32" s="363" t="s">
        <v>180</v>
      </c>
      <c r="D32" s="363" t="s">
        <v>180</v>
      </c>
      <c r="E32" s="463">
        <v>12214</v>
      </c>
      <c r="F32" s="463">
        <v>22728</v>
      </c>
      <c r="G32" s="463">
        <v>29536</v>
      </c>
      <c r="H32" s="463">
        <v>34958</v>
      </c>
      <c r="I32" s="463">
        <v>46647</v>
      </c>
      <c r="J32" s="463">
        <v>49821</v>
      </c>
      <c r="K32" s="23"/>
      <c r="L32" s="2"/>
    </row>
    <row r="33" spans="2:11" x14ac:dyDescent="0.3">
      <c r="B33" s="191" t="s">
        <v>211</v>
      </c>
      <c r="C33" s="363" t="s">
        <v>180</v>
      </c>
      <c r="D33" s="363" t="s">
        <v>180</v>
      </c>
      <c r="E33" s="463">
        <v>17441</v>
      </c>
      <c r="F33" s="463">
        <v>31344</v>
      </c>
      <c r="G33" s="463">
        <v>41693</v>
      </c>
      <c r="H33" s="463">
        <v>44578</v>
      </c>
      <c r="I33" s="463">
        <v>75004</v>
      </c>
      <c r="J33" s="463">
        <v>62933</v>
      </c>
      <c r="K33" s="23"/>
    </row>
    <row r="34" spans="2:11" x14ac:dyDescent="0.3">
      <c r="B34" s="192" t="s">
        <v>212</v>
      </c>
      <c r="C34" s="363" t="s">
        <v>180</v>
      </c>
      <c r="D34" s="363" t="s">
        <v>180</v>
      </c>
      <c r="E34" s="464">
        <v>3.38</v>
      </c>
      <c r="F34" s="464">
        <v>2.65</v>
      </c>
      <c r="G34" s="464">
        <v>4.8499999999999996</v>
      </c>
      <c r="H34" s="464">
        <v>4.79</v>
      </c>
      <c r="I34" s="464">
        <v>4.08</v>
      </c>
      <c r="J34" s="464">
        <v>4.4800000000000004</v>
      </c>
      <c r="K34" s="23"/>
    </row>
    <row r="35" spans="2:11" x14ac:dyDescent="0.3">
      <c r="B35" s="192" t="s">
        <v>213</v>
      </c>
      <c r="C35" s="363" t="s">
        <v>180</v>
      </c>
      <c r="D35" s="363" t="s">
        <v>180</v>
      </c>
      <c r="E35" s="464">
        <v>3.38</v>
      </c>
      <c r="F35" s="464">
        <v>2.65</v>
      </c>
      <c r="G35" s="464">
        <v>4.8499999999999996</v>
      </c>
      <c r="H35" s="464">
        <v>4.79</v>
      </c>
      <c r="I35" s="464">
        <v>4.08</v>
      </c>
      <c r="J35" s="464">
        <v>4.4800000000000004</v>
      </c>
      <c r="K35" s="23"/>
    </row>
    <row r="36" spans="2:11" x14ac:dyDescent="0.3">
      <c r="B36" s="192" t="s">
        <v>214</v>
      </c>
      <c r="C36" s="363" t="s">
        <v>180</v>
      </c>
      <c r="D36" s="363" t="s">
        <v>180</v>
      </c>
      <c r="E36" s="464">
        <v>2.64</v>
      </c>
      <c r="F36" s="464">
        <v>2.1</v>
      </c>
      <c r="G36" s="464">
        <v>4.25</v>
      </c>
      <c r="H36" s="464">
        <v>4.3</v>
      </c>
      <c r="I36" s="464">
        <v>3.78</v>
      </c>
      <c r="J36" s="464">
        <v>3.97</v>
      </c>
      <c r="K36" s="23"/>
    </row>
    <row r="37" spans="2:11" x14ac:dyDescent="0.3">
      <c r="B37" s="191" t="s">
        <v>26</v>
      </c>
      <c r="C37" s="363" t="s">
        <v>180</v>
      </c>
      <c r="D37" s="363" t="s">
        <v>180</v>
      </c>
      <c r="E37" s="463">
        <v>0</v>
      </c>
      <c r="F37" s="463">
        <v>0</v>
      </c>
      <c r="G37" s="463">
        <v>0</v>
      </c>
      <c r="H37" s="463">
        <v>0</v>
      </c>
      <c r="I37" s="463">
        <v>0</v>
      </c>
      <c r="J37" s="463">
        <v>0</v>
      </c>
      <c r="K37" s="23"/>
    </row>
    <row r="38" spans="2:11" x14ac:dyDescent="0.3">
      <c r="B38" s="191" t="s">
        <v>215</v>
      </c>
      <c r="C38" s="363" t="s">
        <v>180</v>
      </c>
      <c r="D38" s="363" t="s">
        <v>180</v>
      </c>
      <c r="E38" s="463">
        <v>0</v>
      </c>
      <c r="F38" s="463">
        <v>0</v>
      </c>
      <c r="G38" s="463" t="s">
        <v>180</v>
      </c>
      <c r="H38" s="463">
        <v>4312</v>
      </c>
      <c r="I38" s="463">
        <v>4483</v>
      </c>
      <c r="J38" s="463">
        <v>0</v>
      </c>
      <c r="K38" s="23"/>
    </row>
    <row r="39" spans="2:11" x14ac:dyDescent="0.3">
      <c r="B39" s="191" t="s">
        <v>216</v>
      </c>
      <c r="C39" s="363" t="s">
        <v>180</v>
      </c>
      <c r="D39" s="363" t="s">
        <v>180</v>
      </c>
      <c r="E39" s="463">
        <v>-1118</v>
      </c>
      <c r="F39" s="463">
        <v>-1451</v>
      </c>
      <c r="G39" s="463">
        <v>-2013</v>
      </c>
      <c r="H39" s="463">
        <v>-2215</v>
      </c>
      <c r="I39" s="463">
        <v>-2630</v>
      </c>
      <c r="J39" s="463">
        <v>-1707</v>
      </c>
      <c r="K39" s="23"/>
    </row>
    <row r="40" spans="2:11" x14ac:dyDescent="0.3">
      <c r="B40" s="192" t="s">
        <v>217</v>
      </c>
      <c r="C40" s="363" t="s">
        <v>180</v>
      </c>
      <c r="D40" s="363" t="s">
        <v>180</v>
      </c>
      <c r="E40" s="463">
        <v>20</v>
      </c>
      <c r="F40" s="463">
        <v>27</v>
      </c>
      <c r="G40" s="463" t="s">
        <v>180</v>
      </c>
      <c r="H40" s="463">
        <v>0</v>
      </c>
      <c r="I40" s="463">
        <v>0</v>
      </c>
      <c r="J40" s="463">
        <v>703</v>
      </c>
      <c r="K40" s="23"/>
    </row>
    <row r="41" spans="2:11" x14ac:dyDescent="0.3">
      <c r="B41" s="192" t="s">
        <v>218</v>
      </c>
      <c r="C41" s="363" t="s">
        <v>180</v>
      </c>
      <c r="D41" s="363" t="s">
        <v>180</v>
      </c>
      <c r="E41" s="463">
        <v>1138</v>
      </c>
      <c r="F41" s="463">
        <v>1478</v>
      </c>
      <c r="G41" s="463">
        <v>2013</v>
      </c>
      <c r="H41" s="463">
        <v>2215</v>
      </c>
      <c r="I41" s="463">
        <v>2630</v>
      </c>
      <c r="J41" s="463">
        <v>2410</v>
      </c>
      <c r="K41" s="23"/>
    </row>
    <row r="42" spans="2:11" x14ac:dyDescent="0.3">
      <c r="B42" s="191" t="s">
        <v>219</v>
      </c>
      <c r="C42" s="363" t="s">
        <v>180</v>
      </c>
      <c r="D42" s="363" t="s">
        <v>180</v>
      </c>
      <c r="E42" s="463">
        <v>8424</v>
      </c>
      <c r="F42" s="463">
        <v>12507</v>
      </c>
      <c r="G42" s="463">
        <v>13851</v>
      </c>
      <c r="H42" s="463">
        <v>12730</v>
      </c>
      <c r="I42" s="463">
        <v>13918</v>
      </c>
      <c r="J42" s="463">
        <v>20654</v>
      </c>
      <c r="K42" s="23"/>
    </row>
    <row r="43" spans="2:11" ht="27.6" x14ac:dyDescent="0.3">
      <c r="B43" s="192" t="s">
        <v>220</v>
      </c>
      <c r="C43" s="363" t="s">
        <v>180</v>
      </c>
      <c r="D43" s="363" t="s">
        <v>180</v>
      </c>
      <c r="E43" s="463">
        <v>3908</v>
      </c>
      <c r="F43" s="463">
        <v>6204</v>
      </c>
      <c r="G43" s="463">
        <v>4285</v>
      </c>
      <c r="H43" s="463">
        <v>217</v>
      </c>
      <c r="I43" s="463">
        <v>238</v>
      </c>
      <c r="J43" s="463">
        <v>4807</v>
      </c>
      <c r="K43" s="23"/>
    </row>
    <row r="44" spans="2:11" x14ac:dyDescent="0.3">
      <c r="B44" s="192" t="s">
        <v>221</v>
      </c>
      <c r="C44" s="363" t="s">
        <v>180</v>
      </c>
      <c r="D44" s="363" t="s">
        <v>180</v>
      </c>
      <c r="E44" s="463">
        <v>4516</v>
      </c>
      <c r="F44" s="463">
        <v>6303</v>
      </c>
      <c r="G44" s="463">
        <v>9566</v>
      </c>
      <c r="H44" s="463"/>
      <c r="I44" s="463"/>
      <c r="J44" s="463"/>
      <c r="K44" s="23"/>
    </row>
    <row r="45" spans="2:11" x14ac:dyDescent="0.3">
      <c r="B45" s="191" t="s">
        <v>222</v>
      </c>
      <c r="C45" s="363" t="s">
        <v>180</v>
      </c>
      <c r="D45" s="363">
        <v>0</v>
      </c>
      <c r="E45" s="463">
        <v>25885</v>
      </c>
      <c r="F45" s="463">
        <v>43878</v>
      </c>
      <c r="G45" s="463">
        <v>55544</v>
      </c>
      <c r="H45" s="463">
        <v>61620</v>
      </c>
      <c r="I45" s="463">
        <v>93405</v>
      </c>
      <c r="J45" s="463">
        <v>84290</v>
      </c>
      <c r="K45" s="23"/>
    </row>
    <row r="46" spans="2:11" ht="15" thickBot="1" x14ac:dyDescent="0.35">
      <c r="B46" s="250" t="s">
        <v>281</v>
      </c>
      <c r="C46" s="362"/>
      <c r="D46" s="362"/>
      <c r="E46" s="468"/>
      <c r="F46" s="468"/>
      <c r="G46" s="468"/>
      <c r="H46" s="463"/>
      <c r="I46" s="463"/>
      <c r="J46" s="463"/>
      <c r="K46" s="23"/>
    </row>
    <row r="47" spans="2:11" x14ac:dyDescent="0.3">
      <c r="B47" s="191" t="s">
        <v>223</v>
      </c>
      <c r="C47" s="363" t="s">
        <v>180</v>
      </c>
      <c r="D47" s="363" t="s">
        <v>180</v>
      </c>
      <c r="E47" s="463">
        <v>0</v>
      </c>
      <c r="F47" s="463">
        <v>0</v>
      </c>
      <c r="G47" s="463">
        <v>0</v>
      </c>
      <c r="H47" s="463">
        <v>0</v>
      </c>
      <c r="I47" s="463">
        <v>0</v>
      </c>
      <c r="J47" s="463">
        <v>0</v>
      </c>
      <c r="K47" s="23"/>
    </row>
    <row r="48" spans="2:11" x14ac:dyDescent="0.3">
      <c r="B48" s="191" t="s">
        <v>224</v>
      </c>
      <c r="C48" s="363" t="s">
        <v>180</v>
      </c>
      <c r="D48" s="363" t="s">
        <v>180</v>
      </c>
      <c r="E48" s="463">
        <v>41</v>
      </c>
      <c r="F48" s="463">
        <v>41</v>
      </c>
      <c r="G48" s="463">
        <v>0</v>
      </c>
      <c r="H48" s="463">
        <v>0</v>
      </c>
      <c r="I48" s="463">
        <v>0</v>
      </c>
      <c r="J48" s="463">
        <v>0</v>
      </c>
      <c r="K48" s="23"/>
    </row>
    <row r="49" spans="1:13" ht="27.6" x14ac:dyDescent="0.3">
      <c r="B49" s="192" t="s">
        <v>225</v>
      </c>
      <c r="C49" s="363" t="s">
        <v>180</v>
      </c>
      <c r="D49" s="363" t="s">
        <v>180</v>
      </c>
      <c r="E49" s="463">
        <v>41</v>
      </c>
      <c r="F49" s="463">
        <v>41</v>
      </c>
      <c r="G49" s="463">
        <v>0</v>
      </c>
      <c r="H49" s="463">
        <v>0</v>
      </c>
      <c r="I49" s="463">
        <v>0</v>
      </c>
      <c r="J49" s="463">
        <v>0</v>
      </c>
      <c r="K49" s="23"/>
    </row>
    <row r="50" spans="1:13" x14ac:dyDescent="0.3">
      <c r="B50" s="191" t="s">
        <v>226</v>
      </c>
      <c r="C50" s="363" t="s">
        <v>180</v>
      </c>
      <c r="D50" s="363" t="s">
        <v>180</v>
      </c>
      <c r="E50" s="463">
        <v>38453</v>
      </c>
      <c r="F50" s="463">
        <v>45805</v>
      </c>
      <c r="G50" s="463">
        <v>155008</v>
      </c>
      <c r="H50" s="463">
        <v>160440</v>
      </c>
      <c r="I50" s="463">
        <v>221967</v>
      </c>
      <c r="J50" s="463">
        <v>231751</v>
      </c>
      <c r="K50" s="23"/>
    </row>
    <row r="51" spans="1:13" x14ac:dyDescent="0.3">
      <c r="B51" s="192" t="s">
        <v>227</v>
      </c>
      <c r="C51" s="363" t="s">
        <v>180</v>
      </c>
      <c r="D51" s="363" t="s">
        <v>180</v>
      </c>
      <c r="E51" s="463">
        <v>16</v>
      </c>
      <c r="F51" s="463">
        <v>17</v>
      </c>
      <c r="G51" s="463">
        <v>79</v>
      </c>
      <c r="H51" s="463">
        <v>80</v>
      </c>
      <c r="I51" s="463">
        <v>85</v>
      </c>
      <c r="J51" s="463">
        <v>86</v>
      </c>
      <c r="K51" s="23"/>
    </row>
    <row r="52" spans="1:13" ht="27.6" x14ac:dyDescent="0.3">
      <c r="B52" s="192" t="s">
        <v>228</v>
      </c>
      <c r="C52" s="363" t="s">
        <v>180</v>
      </c>
      <c r="D52" s="363" t="s">
        <v>180</v>
      </c>
      <c r="E52" s="463">
        <v>34250</v>
      </c>
      <c r="F52" s="463">
        <v>34811</v>
      </c>
      <c r="G52" s="463">
        <v>134486</v>
      </c>
      <c r="H52" s="463">
        <v>135713</v>
      </c>
      <c r="I52" s="463">
        <v>191735</v>
      </c>
      <c r="J52" s="463">
        <v>195153</v>
      </c>
      <c r="K52" s="23"/>
    </row>
    <row r="53" spans="1:13" x14ac:dyDescent="0.3">
      <c r="B53" s="192" t="s">
        <v>229</v>
      </c>
      <c r="C53" s="363" t="s">
        <v>180</v>
      </c>
      <c r="D53" s="363" t="s">
        <v>180</v>
      </c>
      <c r="E53" s="463">
        <v>4187</v>
      </c>
      <c r="F53" s="463">
        <v>10822</v>
      </c>
      <c r="G53" s="463">
        <v>20776</v>
      </c>
      <c r="H53" s="463">
        <v>24942</v>
      </c>
      <c r="I53" s="463">
        <v>29864</v>
      </c>
      <c r="J53" s="463">
        <v>36637</v>
      </c>
      <c r="K53" s="23"/>
    </row>
    <row r="54" spans="1:13" x14ac:dyDescent="0.3">
      <c r="B54" s="192" t="s">
        <v>230</v>
      </c>
      <c r="C54" s="363" t="s">
        <v>180</v>
      </c>
      <c r="D54" s="363" t="s">
        <v>180</v>
      </c>
      <c r="E54" s="463" t="s">
        <v>180</v>
      </c>
      <c r="F54" s="463">
        <v>155</v>
      </c>
      <c r="G54" s="463">
        <v>-333</v>
      </c>
      <c r="H54" s="463">
        <v>-295</v>
      </c>
      <c r="I54" s="463">
        <v>283</v>
      </c>
      <c r="J54" s="463">
        <v>-125</v>
      </c>
      <c r="K54" s="23"/>
    </row>
    <row r="55" spans="1:13" x14ac:dyDescent="0.3">
      <c r="B55" s="191" t="s">
        <v>231</v>
      </c>
      <c r="C55" s="363" t="s">
        <v>180</v>
      </c>
      <c r="D55" s="363" t="s">
        <v>180</v>
      </c>
      <c r="E55" s="463">
        <v>38494</v>
      </c>
      <c r="F55" s="463">
        <v>45846</v>
      </c>
      <c r="G55" s="463">
        <v>155008</v>
      </c>
      <c r="H55" s="463">
        <v>160440</v>
      </c>
      <c r="I55" s="463">
        <v>221967</v>
      </c>
      <c r="J55" s="463">
        <v>231751</v>
      </c>
      <c r="K55" s="23"/>
    </row>
    <row r="56" spans="1:13" x14ac:dyDescent="0.3">
      <c r="B56" s="191" t="s">
        <v>202</v>
      </c>
      <c r="C56" s="363" t="s">
        <v>180</v>
      </c>
      <c r="D56" s="363" t="s">
        <v>180</v>
      </c>
      <c r="E56" s="463">
        <v>64379</v>
      </c>
      <c r="F56" s="463">
        <v>89724</v>
      </c>
      <c r="G56" s="463">
        <v>210552</v>
      </c>
      <c r="H56" s="463">
        <v>222060</v>
      </c>
      <c r="I56" s="463">
        <v>315372</v>
      </c>
      <c r="J56" s="463">
        <v>316041</v>
      </c>
      <c r="K56" s="23"/>
    </row>
    <row r="57" spans="1:13" s="180" customFormat="1" x14ac:dyDescent="0.3">
      <c r="A57" s="237"/>
      <c r="B57" s="191"/>
      <c r="C57" s="363"/>
      <c r="D57" s="363"/>
      <c r="E57" s="186"/>
      <c r="F57" s="186"/>
      <c r="G57" s="186"/>
      <c r="H57" s="186"/>
      <c r="I57" s="186"/>
      <c r="J57" s="186"/>
      <c r="K57" s="23"/>
      <c r="L57" s="2"/>
      <c r="M57" s="30"/>
    </row>
    <row r="58" spans="1:13" s="180" customFormat="1" x14ac:dyDescent="0.3">
      <c r="A58" s="237"/>
      <c r="B58" s="366" t="s">
        <v>232</v>
      </c>
      <c r="C58" s="363"/>
      <c r="D58" s="363"/>
      <c r="E58" s="186"/>
      <c r="F58" s="186"/>
      <c r="G58" s="186"/>
      <c r="H58" s="186"/>
      <c r="I58" s="186"/>
      <c r="J58" s="186"/>
      <c r="K58" s="23"/>
      <c r="L58" s="2"/>
      <c r="M58" s="30"/>
    </row>
    <row r="59" spans="1:13" ht="46.2" customHeight="1" x14ac:dyDescent="0.3">
      <c r="B59" s="23"/>
      <c r="C59" s="32"/>
      <c r="D59" s="195"/>
      <c r="E59" s="23"/>
      <c r="F59" s="23"/>
      <c r="G59" s="23"/>
      <c r="H59" s="23"/>
      <c r="I59" s="23"/>
      <c r="J59" s="23"/>
      <c r="K59" s="23"/>
    </row>
    <row r="60" spans="1:13" s="229" customFormat="1" ht="47.4" customHeight="1" x14ac:dyDescent="0.3">
      <c r="A60" s="237"/>
      <c r="B60" s="228"/>
      <c r="C60" s="235"/>
      <c r="D60" s="236"/>
      <c r="E60" s="228"/>
      <c r="F60" s="228"/>
      <c r="G60" s="228"/>
      <c r="H60" s="228"/>
      <c r="I60" s="228"/>
      <c r="J60" s="228"/>
      <c r="K60" s="228"/>
      <c r="L60" s="2"/>
    </row>
    <row r="61" spans="1:13" x14ac:dyDescent="0.3">
      <c r="B61" s="23"/>
      <c r="C61" s="175"/>
      <c r="D61" s="175"/>
      <c r="E61" s="172"/>
      <c r="F61" s="172"/>
      <c r="G61" s="172"/>
      <c r="H61" s="23"/>
      <c r="I61" s="23"/>
      <c r="J61" s="23"/>
      <c r="K61" s="23"/>
    </row>
    <row r="62" spans="1:13" x14ac:dyDescent="0.3">
      <c r="B62" s="23"/>
      <c r="C62" s="32"/>
      <c r="D62" s="175"/>
      <c r="E62" s="23"/>
      <c r="F62" s="23"/>
      <c r="G62" s="23"/>
      <c r="H62" s="23"/>
      <c r="I62" s="23"/>
      <c r="J62" s="23"/>
      <c r="K62" s="23"/>
    </row>
    <row r="63" spans="1:13" x14ac:dyDescent="0.3">
      <c r="B63" s="23"/>
      <c r="C63" s="175"/>
      <c r="D63" s="175"/>
      <c r="E63" s="172"/>
      <c r="F63" s="172"/>
      <c r="G63" s="172"/>
      <c r="H63" s="23"/>
      <c r="I63" s="23"/>
      <c r="J63" s="23"/>
      <c r="K63" s="23"/>
    </row>
    <row r="64" spans="1:13" x14ac:dyDescent="0.3">
      <c r="C64" s="173"/>
      <c r="D64" s="173"/>
      <c r="E64" s="170"/>
      <c r="F64" s="170"/>
      <c r="G64" s="170"/>
    </row>
    <row r="65" spans="3:7" x14ac:dyDescent="0.3">
      <c r="C65" s="82"/>
      <c r="D65" s="173"/>
    </row>
    <row r="66" spans="3:7" x14ac:dyDescent="0.3">
      <c r="C66" s="82"/>
      <c r="D66" s="173"/>
      <c r="G66" s="82"/>
    </row>
    <row r="67" spans="3:7" x14ac:dyDescent="0.3">
      <c r="C67" s="82"/>
      <c r="D67" s="173"/>
    </row>
    <row r="68" spans="3:7" x14ac:dyDescent="0.3">
      <c r="C68" s="82"/>
      <c r="D68" s="173"/>
    </row>
    <row r="69" spans="3:7" x14ac:dyDescent="0.3">
      <c r="C69" s="82"/>
      <c r="D69" s="173"/>
      <c r="E69" s="82"/>
    </row>
    <row r="70" spans="3:7" x14ac:dyDescent="0.3">
      <c r="C70" s="82"/>
      <c r="D70" s="173"/>
    </row>
    <row r="71" spans="3:7" x14ac:dyDescent="0.3">
      <c r="C71" s="82"/>
      <c r="D71" s="173"/>
    </row>
    <row r="72" spans="3:7" x14ac:dyDescent="0.3">
      <c r="C72" s="174"/>
      <c r="D72" s="174"/>
      <c r="E72" s="171"/>
      <c r="F72" s="171"/>
      <c r="G72" s="171"/>
    </row>
    <row r="73" spans="3:7" x14ac:dyDescent="0.3">
      <c r="C73" s="173"/>
      <c r="D73" s="173"/>
      <c r="E73" s="170"/>
      <c r="F73" s="170"/>
      <c r="G73" s="170"/>
    </row>
    <row r="74" spans="3:7" x14ac:dyDescent="0.3">
      <c r="C74" s="174"/>
      <c r="D74" s="174"/>
      <c r="E74" s="171"/>
      <c r="F74" s="171"/>
      <c r="G74" s="171"/>
    </row>
    <row r="75" spans="3:7" x14ac:dyDescent="0.3">
      <c r="C75" s="82"/>
      <c r="D75" s="173"/>
    </row>
    <row r="76" spans="3:7" x14ac:dyDescent="0.3">
      <c r="C76" s="173"/>
      <c r="D76" s="173"/>
      <c r="E76" s="170"/>
      <c r="F76" s="170"/>
      <c r="G76" s="170"/>
    </row>
    <row r="77" spans="3:7" x14ac:dyDescent="0.3">
      <c r="C77" s="173"/>
      <c r="D77" s="173"/>
      <c r="E77" s="170"/>
      <c r="F77" s="170"/>
      <c r="G77" s="170"/>
    </row>
    <row r="78" spans="3:7" x14ac:dyDescent="0.3">
      <c r="C78" s="173"/>
      <c r="D78" s="17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showGridLines="0" zoomScale="70" zoomScaleNormal="70" zoomScalePageLayoutView="75" workbookViewId="0">
      <pane xSplit="1" ySplit="1" topLeftCell="B8" activePane="bottomRight" state="frozen"/>
      <selection pane="topRight" activeCell="B1" sqref="B1"/>
      <selection pane="bottomLeft" activeCell="A7" sqref="A7"/>
      <selection pane="bottomRight" activeCell="D20" sqref="D20"/>
    </sheetView>
  </sheetViews>
  <sheetFormatPr defaultRowHeight="14.4" x14ac:dyDescent="0.3"/>
  <cols>
    <col min="1" max="1" width="3.44140625" style="237" customWidth="1"/>
    <col min="2" max="2" width="43.33203125" customWidth="1"/>
    <col min="3" max="5" width="8.33203125" customWidth="1"/>
    <col min="6" max="7" width="8.44140625" customWidth="1"/>
    <col min="8" max="8" width="8.33203125" customWidth="1"/>
    <col min="9" max="9" width="8.44140625" customWidth="1"/>
    <col min="10" max="10" width="8.33203125" customWidth="1"/>
    <col min="12" max="12" width="8.88671875" style="2"/>
  </cols>
  <sheetData>
    <row r="1" spans="2:14" s="237" customFormat="1" x14ac:dyDescent="0.3">
      <c r="B1" s="238"/>
      <c r="C1" s="239"/>
      <c r="D1" s="239"/>
      <c r="E1" s="239"/>
      <c r="F1" s="239"/>
      <c r="G1" s="239"/>
      <c r="H1" s="246"/>
      <c r="I1" s="47"/>
    </row>
    <row r="2" spans="2:14" ht="20.399999999999999" customHeight="1" x14ac:dyDescent="0.3">
      <c r="B2" s="181" t="s">
        <v>285</v>
      </c>
      <c r="C2" s="360">
        <v>2010</v>
      </c>
      <c r="D2" s="225">
        <v>2011</v>
      </c>
      <c r="E2" s="225">
        <v>2012</v>
      </c>
      <c r="F2" s="225">
        <v>2013</v>
      </c>
      <c r="G2" s="225">
        <v>2014</v>
      </c>
      <c r="H2" s="183" t="s">
        <v>268</v>
      </c>
      <c r="I2" s="183" t="s">
        <v>269</v>
      </c>
      <c r="J2" s="183" t="s">
        <v>270</v>
      </c>
    </row>
    <row r="3" spans="2:14" ht="15" thickBot="1" x14ac:dyDescent="0.35">
      <c r="B3" s="234" t="s">
        <v>285</v>
      </c>
      <c r="C3" s="252"/>
      <c r="D3" s="252"/>
      <c r="E3" s="252"/>
      <c r="F3" s="252"/>
      <c r="G3" s="252"/>
      <c r="H3" s="183"/>
      <c r="I3" s="183"/>
      <c r="J3" s="183"/>
    </row>
    <row r="4" spans="2:14" x14ac:dyDescent="0.3">
      <c r="B4" s="215" t="s">
        <v>273</v>
      </c>
      <c r="C4" s="349" t="s">
        <v>180</v>
      </c>
      <c r="D4" s="457">
        <v>36365</v>
      </c>
      <c r="E4" s="457">
        <v>47208</v>
      </c>
      <c r="F4" s="457">
        <v>66157</v>
      </c>
      <c r="G4" s="457">
        <v>102999</v>
      </c>
      <c r="H4" s="457">
        <v>32915</v>
      </c>
      <c r="I4" s="457">
        <v>36375</v>
      </c>
      <c r="J4" s="457">
        <v>40056</v>
      </c>
      <c r="L4" s="243"/>
      <c r="M4" s="79"/>
      <c r="N4" s="79"/>
    </row>
    <row r="5" spans="2:14" x14ac:dyDescent="0.3">
      <c r="B5" s="207" t="s">
        <v>233</v>
      </c>
      <c r="C5" s="349" t="s">
        <v>180</v>
      </c>
      <c r="D5" s="457">
        <v>5416</v>
      </c>
      <c r="E5" s="457">
        <v>6924</v>
      </c>
      <c r="F5" s="457">
        <v>9076</v>
      </c>
      <c r="G5" s="457">
        <v>14707</v>
      </c>
      <c r="H5" s="457">
        <v>4257</v>
      </c>
      <c r="I5" s="457">
        <v>6074</v>
      </c>
      <c r="J5" s="457">
        <v>5531</v>
      </c>
      <c r="L5" s="244"/>
      <c r="M5" s="80"/>
      <c r="N5" s="80"/>
    </row>
    <row r="6" spans="2:14" x14ac:dyDescent="0.3">
      <c r="B6" s="213" t="s">
        <v>290</v>
      </c>
      <c r="C6" s="349" t="s">
        <v>180</v>
      </c>
      <c r="D6" s="457">
        <v>5206</v>
      </c>
      <c r="E6" s="457">
        <v>6595</v>
      </c>
      <c r="F6" s="457">
        <v>8601</v>
      </c>
      <c r="G6" s="457">
        <v>13961</v>
      </c>
      <c r="H6" s="457">
        <v>4035</v>
      </c>
      <c r="I6" s="457">
        <v>6074</v>
      </c>
      <c r="J6" s="457">
        <v>4954</v>
      </c>
      <c r="L6" s="244"/>
      <c r="M6" s="80"/>
      <c r="N6" s="80"/>
    </row>
    <row r="7" spans="2:14" x14ac:dyDescent="0.3">
      <c r="B7" s="213" t="s">
        <v>289</v>
      </c>
      <c r="C7" s="349" t="s">
        <v>180</v>
      </c>
      <c r="D7" s="457">
        <v>210</v>
      </c>
      <c r="E7" s="457">
        <v>329</v>
      </c>
      <c r="F7" s="457">
        <v>475</v>
      </c>
      <c r="G7" s="457">
        <v>746</v>
      </c>
      <c r="H7" s="457">
        <v>222</v>
      </c>
      <c r="I7" s="457">
        <v>0</v>
      </c>
      <c r="J7" s="457">
        <v>577</v>
      </c>
    </row>
    <row r="8" spans="2:14" x14ac:dyDescent="0.3">
      <c r="B8" s="214" t="s">
        <v>291</v>
      </c>
      <c r="C8" s="349" t="s">
        <v>180</v>
      </c>
      <c r="D8" s="457">
        <v>210</v>
      </c>
      <c r="E8" s="457">
        <v>329</v>
      </c>
      <c r="F8" s="457">
        <v>475</v>
      </c>
      <c r="G8" s="457">
        <v>746</v>
      </c>
      <c r="H8" s="458">
        <v>0</v>
      </c>
      <c r="I8" s="458">
        <v>0</v>
      </c>
      <c r="J8" s="458">
        <v>0</v>
      </c>
    </row>
    <row r="9" spans="2:14" hidden="1" x14ac:dyDescent="0.3">
      <c r="B9" s="212" t="s">
        <v>234</v>
      </c>
      <c r="C9" s="349" t="s">
        <v>180</v>
      </c>
      <c r="D9" s="457">
        <v>30949</v>
      </c>
      <c r="E9" s="457">
        <v>40284</v>
      </c>
      <c r="F9" s="457">
        <v>57081</v>
      </c>
      <c r="G9" s="457">
        <v>88292</v>
      </c>
      <c r="H9" s="457">
        <v>28658</v>
      </c>
      <c r="I9" s="457">
        <v>30301</v>
      </c>
      <c r="J9" s="457">
        <v>34525</v>
      </c>
    </row>
    <row r="10" spans="2:14" ht="15" thickBot="1" x14ac:dyDescent="0.35">
      <c r="B10" s="234" t="s">
        <v>286</v>
      </c>
      <c r="C10" s="350"/>
      <c r="D10" s="459"/>
      <c r="E10" s="459"/>
      <c r="F10" s="459"/>
      <c r="G10" s="459"/>
      <c r="H10" s="457"/>
      <c r="I10" s="457"/>
      <c r="J10" s="457"/>
    </row>
    <row r="11" spans="2:14" ht="16.2" customHeight="1" x14ac:dyDescent="0.3">
      <c r="B11" s="207" t="s">
        <v>292</v>
      </c>
      <c r="C11" s="349" t="s">
        <v>180</v>
      </c>
      <c r="D11" s="457">
        <v>25278</v>
      </c>
      <c r="E11" s="457">
        <v>32651</v>
      </c>
      <c r="F11" s="457">
        <v>48002</v>
      </c>
      <c r="G11" s="457">
        <v>67838</v>
      </c>
      <c r="H11" s="457">
        <v>21155</v>
      </c>
      <c r="I11" s="457">
        <v>23770</v>
      </c>
      <c r="J11" s="457">
        <v>26237</v>
      </c>
    </row>
    <row r="12" spans="2:14" x14ac:dyDescent="0.3">
      <c r="B12" s="213" t="s">
        <v>288</v>
      </c>
      <c r="C12" s="349" t="s">
        <v>180</v>
      </c>
      <c r="D12" s="457">
        <v>6272</v>
      </c>
      <c r="E12" s="457">
        <v>7273</v>
      </c>
      <c r="F12" s="457">
        <v>10404</v>
      </c>
      <c r="G12" s="457">
        <v>14400</v>
      </c>
      <c r="H12" s="457">
        <v>4117</v>
      </c>
      <c r="I12" s="457">
        <v>4263</v>
      </c>
      <c r="J12" s="457">
        <v>5649</v>
      </c>
    </row>
    <row r="13" spans="2:14" x14ac:dyDescent="0.3">
      <c r="B13" s="213" t="s">
        <v>293</v>
      </c>
      <c r="C13" s="349" t="s">
        <v>180</v>
      </c>
      <c r="D13" s="457">
        <v>19006</v>
      </c>
      <c r="E13" s="457">
        <v>25378</v>
      </c>
      <c r="F13" s="457">
        <v>37598</v>
      </c>
      <c r="G13" s="457">
        <v>53438</v>
      </c>
      <c r="H13" s="457">
        <v>17038</v>
      </c>
      <c r="I13" s="457">
        <v>19507</v>
      </c>
      <c r="J13" s="457">
        <v>20588</v>
      </c>
    </row>
    <row r="14" spans="2:14" x14ac:dyDescent="0.3">
      <c r="B14" s="207" t="s">
        <v>235</v>
      </c>
      <c r="C14" s="349" t="s">
        <v>180</v>
      </c>
      <c r="D14" s="457">
        <v>0</v>
      </c>
      <c r="E14" s="457">
        <v>0</v>
      </c>
      <c r="F14" s="457">
        <v>0</v>
      </c>
      <c r="G14" s="457">
        <v>0</v>
      </c>
      <c r="H14" s="457">
        <v>0</v>
      </c>
      <c r="I14" s="457">
        <v>0</v>
      </c>
      <c r="J14" s="457">
        <v>0</v>
      </c>
    </row>
    <row r="15" spans="2:14" x14ac:dyDescent="0.3">
      <c r="B15" s="207" t="s">
        <v>236</v>
      </c>
      <c r="C15" s="349" t="s">
        <v>180</v>
      </c>
      <c r="D15" s="457">
        <v>179</v>
      </c>
      <c r="E15" s="457">
        <v>176</v>
      </c>
      <c r="F15" s="457">
        <v>1446</v>
      </c>
      <c r="G15" s="457">
        <v>4309</v>
      </c>
      <c r="H15" s="457">
        <v>0</v>
      </c>
      <c r="I15" s="457">
        <v>0</v>
      </c>
      <c r="J15" s="457">
        <v>0</v>
      </c>
    </row>
    <row r="16" spans="2:14" x14ac:dyDescent="0.3">
      <c r="B16" s="207" t="s">
        <v>237</v>
      </c>
      <c r="C16" s="349" t="s">
        <v>180</v>
      </c>
      <c r="D16" s="457">
        <v>-90</v>
      </c>
      <c r="E16" s="457">
        <v>74</v>
      </c>
      <c r="F16" s="457">
        <v>245</v>
      </c>
      <c r="G16" s="457">
        <v>-1880</v>
      </c>
      <c r="H16" s="457">
        <v>0</v>
      </c>
      <c r="I16" s="457">
        <v>327</v>
      </c>
      <c r="J16" s="457">
        <v>58</v>
      </c>
      <c r="L16" s="243"/>
      <c r="M16" s="79"/>
      <c r="N16" s="79"/>
    </row>
    <row r="17" spans="1:14" x14ac:dyDescent="0.3">
      <c r="B17" s="207" t="s">
        <v>238</v>
      </c>
      <c r="C17" s="349" t="s">
        <v>180</v>
      </c>
      <c r="D17" s="457">
        <v>79</v>
      </c>
      <c r="E17" s="457">
        <v>106</v>
      </c>
      <c r="F17" s="457">
        <v>77</v>
      </c>
      <c r="G17" s="457">
        <v>201</v>
      </c>
      <c r="H17" s="457">
        <v>1631</v>
      </c>
      <c r="I17" s="457">
        <v>0</v>
      </c>
      <c r="J17" s="457">
        <v>0</v>
      </c>
      <c r="L17" s="245"/>
      <c r="M17" s="34"/>
      <c r="N17" s="34"/>
    </row>
    <row r="18" spans="1:14" x14ac:dyDescent="0.3">
      <c r="B18" s="207" t="s">
        <v>239</v>
      </c>
      <c r="C18" s="349" t="s">
        <v>180</v>
      </c>
      <c r="D18" s="457">
        <v>0</v>
      </c>
      <c r="E18" s="457">
        <v>0</v>
      </c>
      <c r="F18" s="457">
        <v>0</v>
      </c>
      <c r="G18" s="457">
        <v>0</v>
      </c>
      <c r="H18" s="457">
        <v>0</v>
      </c>
      <c r="I18" s="457">
        <v>0</v>
      </c>
      <c r="J18" s="457">
        <v>0</v>
      </c>
    </row>
    <row r="19" spans="1:14" x14ac:dyDescent="0.3">
      <c r="B19" s="207" t="s">
        <v>108</v>
      </c>
      <c r="C19" s="349" t="s">
        <v>180</v>
      </c>
      <c r="D19" s="457">
        <v>5481</v>
      </c>
      <c r="E19" s="457">
        <v>7637</v>
      </c>
      <c r="F19" s="457">
        <v>7955</v>
      </c>
      <c r="G19" s="457">
        <v>14466</v>
      </c>
      <c r="H19" s="457">
        <v>5872</v>
      </c>
      <c r="I19" s="457">
        <v>6858</v>
      </c>
      <c r="J19" s="457">
        <v>8346</v>
      </c>
    </row>
    <row r="20" spans="1:14" x14ac:dyDescent="0.3">
      <c r="B20" s="207" t="s">
        <v>297</v>
      </c>
      <c r="C20" s="349" t="s">
        <v>180</v>
      </c>
      <c r="D20" s="457">
        <v>-392</v>
      </c>
      <c r="E20" s="457">
        <v>-225</v>
      </c>
      <c r="F20" s="457">
        <v>1320</v>
      </c>
      <c r="G20" s="457">
        <v>4512</v>
      </c>
      <c r="H20" s="457">
        <v>1706</v>
      </c>
      <c r="I20" s="457">
        <v>1936</v>
      </c>
      <c r="J20" s="457">
        <v>1573</v>
      </c>
    </row>
    <row r="21" spans="1:14" x14ac:dyDescent="0.3">
      <c r="B21" s="207" t="s">
        <v>240</v>
      </c>
      <c r="C21" s="349" t="s">
        <v>180</v>
      </c>
      <c r="D21" s="457">
        <v>5873</v>
      </c>
      <c r="E21" s="457">
        <v>7862</v>
      </c>
      <c r="F21" s="457">
        <v>6635</v>
      </c>
      <c r="G21" s="457">
        <v>9954</v>
      </c>
      <c r="H21" s="457">
        <v>4166</v>
      </c>
      <c r="I21" s="457">
        <v>4922</v>
      </c>
      <c r="J21" s="457">
        <v>6773</v>
      </c>
    </row>
    <row r="22" spans="1:14" x14ac:dyDescent="0.3">
      <c r="B22" s="207" t="s">
        <v>241</v>
      </c>
      <c r="C22" s="349" t="s">
        <v>180</v>
      </c>
      <c r="D22" s="457">
        <v>5873</v>
      </c>
      <c r="E22" s="457">
        <v>7862</v>
      </c>
      <c r="F22" s="457">
        <v>6635</v>
      </c>
      <c r="G22" s="457">
        <v>9954</v>
      </c>
      <c r="H22" s="457">
        <v>4166</v>
      </c>
      <c r="I22" s="457">
        <v>4922</v>
      </c>
      <c r="J22" s="457">
        <v>6773</v>
      </c>
    </row>
    <row r="23" spans="1:14" x14ac:dyDescent="0.3">
      <c r="B23" s="207" t="s">
        <v>242</v>
      </c>
      <c r="C23" s="349" t="s">
        <v>180</v>
      </c>
      <c r="D23" s="457">
        <v>3743</v>
      </c>
      <c r="E23" s="457">
        <v>4530</v>
      </c>
      <c r="F23" s="457">
        <v>4879</v>
      </c>
      <c r="G23" s="457">
        <v>3815</v>
      </c>
      <c r="H23" s="457">
        <v>0</v>
      </c>
      <c r="I23" s="457">
        <v>0</v>
      </c>
      <c r="J23" s="457">
        <v>0</v>
      </c>
    </row>
    <row r="24" spans="1:14" x14ac:dyDescent="0.3">
      <c r="B24" s="207" t="s">
        <v>243</v>
      </c>
      <c r="C24" s="349" t="s">
        <v>180</v>
      </c>
      <c r="D24" s="457">
        <v>2130</v>
      </c>
      <c r="E24" s="457">
        <v>3332</v>
      </c>
      <c r="F24" s="457">
        <v>1756</v>
      </c>
      <c r="G24" s="457">
        <v>6139</v>
      </c>
      <c r="H24" s="457">
        <v>4166</v>
      </c>
      <c r="I24" s="457">
        <v>4922</v>
      </c>
      <c r="J24" s="457">
        <v>6773</v>
      </c>
    </row>
    <row r="25" spans="1:14" ht="18" customHeight="1" x14ac:dyDescent="0.3">
      <c r="B25" s="215" t="s">
        <v>125</v>
      </c>
      <c r="C25" s="351" t="s">
        <v>180</v>
      </c>
      <c r="D25" s="460">
        <v>5873</v>
      </c>
      <c r="E25" s="460">
        <v>7862</v>
      </c>
      <c r="F25" s="460">
        <v>6635</v>
      </c>
      <c r="G25" s="461">
        <v>9954</v>
      </c>
      <c r="H25" s="457">
        <v>4166</v>
      </c>
      <c r="I25" s="457">
        <v>4922</v>
      </c>
      <c r="J25" s="457">
        <v>6773</v>
      </c>
    </row>
    <row r="26" spans="1:14" s="180" customFormat="1" ht="15" thickBot="1" x14ac:dyDescent="0.35">
      <c r="A26" s="237"/>
      <c r="B26" s="234" t="s">
        <v>287</v>
      </c>
      <c r="C26" s="350"/>
      <c r="D26" s="459"/>
      <c r="E26" s="459"/>
      <c r="F26" s="459"/>
      <c r="G26" s="459"/>
      <c r="H26" s="457"/>
      <c r="I26" s="457"/>
      <c r="J26" s="457"/>
      <c r="L26" s="2"/>
    </row>
    <row r="27" spans="1:14" s="180" customFormat="1" x14ac:dyDescent="0.3">
      <c r="A27" s="237"/>
      <c r="B27" s="207" t="s">
        <v>275</v>
      </c>
      <c r="C27" s="349" t="s">
        <v>180</v>
      </c>
      <c r="D27" s="208">
        <v>0.26</v>
      </c>
      <c r="E27" s="208">
        <v>0.31</v>
      </c>
      <c r="F27" s="208">
        <v>0.16</v>
      </c>
      <c r="G27" s="208">
        <v>0.34</v>
      </c>
      <c r="H27" s="208">
        <v>0.12</v>
      </c>
      <c r="I27" s="208">
        <v>0.14000000000000001</v>
      </c>
      <c r="J27" s="208">
        <v>0.19</v>
      </c>
      <c r="L27" s="2"/>
    </row>
    <row r="28" spans="1:14" x14ac:dyDescent="0.3">
      <c r="B28" s="207" t="s">
        <v>274</v>
      </c>
      <c r="C28" s="349" t="s">
        <v>180</v>
      </c>
      <c r="D28" s="208">
        <v>0.26</v>
      </c>
      <c r="E28" s="208">
        <v>0.31</v>
      </c>
      <c r="F28" s="208">
        <v>0.06</v>
      </c>
      <c r="G28" s="208">
        <v>0.34</v>
      </c>
      <c r="H28" s="208">
        <v>0.12</v>
      </c>
      <c r="I28" s="208">
        <v>0.14000000000000001</v>
      </c>
      <c r="J28" s="208">
        <v>0.19</v>
      </c>
    </row>
    <row r="29" spans="1:14" ht="15" thickBot="1" x14ac:dyDescent="0.35">
      <c r="B29" s="232" t="s">
        <v>300</v>
      </c>
      <c r="C29" s="352"/>
      <c r="D29" s="462"/>
      <c r="E29" s="462"/>
      <c r="F29" s="462"/>
      <c r="G29" s="462"/>
      <c r="H29" s="457"/>
      <c r="I29" s="457"/>
      <c r="J29" s="457"/>
    </row>
    <row r="30" spans="1:14" s="180" customFormat="1" x14ac:dyDescent="0.3">
      <c r="A30" s="237"/>
      <c r="B30" s="207" t="s">
        <v>244</v>
      </c>
      <c r="C30" s="349" t="s">
        <v>180</v>
      </c>
      <c r="D30" s="457">
        <v>4969.5</v>
      </c>
      <c r="E30" s="457">
        <v>6593</v>
      </c>
      <c r="F30" s="457">
        <v>23963.3</v>
      </c>
      <c r="G30" s="457">
        <v>13335.1</v>
      </c>
      <c r="H30" s="457">
        <v>30563.9</v>
      </c>
      <c r="I30" s="457">
        <v>31530.2</v>
      </c>
      <c r="J30" s="457">
        <v>33122.1</v>
      </c>
      <c r="L30" s="2"/>
    </row>
    <row r="31" spans="1:14" x14ac:dyDescent="0.3">
      <c r="B31" s="207" t="s">
        <v>245</v>
      </c>
      <c r="C31" s="349" t="s">
        <v>180</v>
      </c>
      <c r="D31" s="457">
        <v>22791.4</v>
      </c>
      <c r="E31" s="457">
        <v>25245.8</v>
      </c>
      <c r="F31" s="457">
        <v>27828.799999999999</v>
      </c>
      <c r="G31" s="457">
        <v>29704.7</v>
      </c>
      <c r="H31" s="457">
        <v>34786.6</v>
      </c>
      <c r="I31" s="457">
        <v>35001.300000000003</v>
      </c>
      <c r="J31" s="457">
        <v>35761.1</v>
      </c>
    </row>
    <row r="32" spans="1:14" x14ac:dyDescent="0.3">
      <c r="B32" s="207" t="s">
        <v>246</v>
      </c>
      <c r="C32" s="349" t="s">
        <v>180</v>
      </c>
      <c r="D32" s="457">
        <v>5881</v>
      </c>
      <c r="E32" s="457">
        <v>7962</v>
      </c>
      <c r="F32" s="457">
        <v>9554</v>
      </c>
      <c r="G32" s="457">
        <v>21200</v>
      </c>
      <c r="H32" s="457">
        <v>7725</v>
      </c>
      <c r="I32" s="457">
        <v>6768</v>
      </c>
      <c r="J32" s="457">
        <v>8865</v>
      </c>
    </row>
    <row r="33" spans="1:12" s="180" customFormat="1" x14ac:dyDescent="0.3">
      <c r="A33" s="237"/>
      <c r="B33" s="207"/>
      <c r="C33" s="349"/>
      <c r="D33" s="208"/>
      <c r="E33" s="208"/>
      <c r="F33" s="208"/>
      <c r="G33" s="208"/>
      <c r="H33" s="208"/>
      <c r="I33" s="208"/>
      <c r="J33" s="208"/>
      <c r="L33" s="2"/>
    </row>
    <row r="34" spans="1:12" s="180" customFormat="1" x14ac:dyDescent="0.3">
      <c r="A34" s="237"/>
      <c r="B34" s="365" t="s">
        <v>232</v>
      </c>
      <c r="C34" s="349"/>
      <c r="D34" s="208"/>
      <c r="E34" s="208"/>
      <c r="F34" s="208"/>
      <c r="G34" s="208"/>
      <c r="H34" s="208"/>
      <c r="I34" s="208"/>
      <c r="J34" s="208"/>
      <c r="L34" s="2"/>
    </row>
    <row r="35" spans="1:12" ht="48.6" customHeight="1" x14ac:dyDescent="0.3">
      <c r="C35" s="82"/>
      <c r="D35" s="170"/>
      <c r="E35" s="170"/>
      <c r="F35" s="170"/>
      <c r="G35" s="170"/>
      <c r="H35" s="170"/>
      <c r="I35" s="170"/>
      <c r="J35" s="170"/>
    </row>
    <row r="36" spans="1:12" s="229" customFormat="1" ht="48.6" customHeight="1" x14ac:dyDescent="0.3">
      <c r="A36" s="237"/>
      <c r="C36" s="241"/>
      <c r="D36" s="242"/>
      <c r="E36" s="242"/>
      <c r="F36" s="242"/>
      <c r="G36" s="242"/>
      <c r="H36" s="242"/>
      <c r="I36" s="242"/>
      <c r="J36" s="242"/>
      <c r="L36" s="2"/>
    </row>
    <row r="37" spans="1:12" x14ac:dyDescent="0.3">
      <c r="C37" s="82"/>
      <c r="D37" s="170"/>
      <c r="E37" s="170"/>
      <c r="F37" s="170"/>
      <c r="G37" s="170"/>
      <c r="H37" s="170"/>
      <c r="I37" s="170"/>
      <c r="J37" s="170"/>
    </row>
    <row r="38" spans="1:12" x14ac:dyDescent="0.3">
      <c r="C38" s="82"/>
    </row>
    <row r="39" spans="1:12" x14ac:dyDescent="0.3">
      <c r="C39" s="82"/>
      <c r="D39" s="171"/>
      <c r="E39" s="171"/>
      <c r="F39" s="171"/>
      <c r="G39" s="171"/>
      <c r="H39" s="171"/>
      <c r="I39" s="171"/>
      <c r="J39" s="171"/>
    </row>
    <row r="40" spans="1:12" x14ac:dyDescent="0.3">
      <c r="C40" s="82"/>
    </row>
    <row r="41" spans="1:12" x14ac:dyDescent="0.3">
      <c r="C41" s="82"/>
      <c r="D41" s="170"/>
      <c r="E41" s="170"/>
      <c r="F41" s="170"/>
      <c r="G41" s="170"/>
      <c r="H41" s="253"/>
      <c r="I41" s="253"/>
      <c r="J41" s="253"/>
    </row>
    <row r="42" spans="1:12" x14ac:dyDescent="0.3">
      <c r="C42" s="82"/>
      <c r="H42" s="13"/>
      <c r="I42" s="13"/>
      <c r="J42" s="13"/>
    </row>
    <row r="43" spans="1:12" x14ac:dyDescent="0.3">
      <c r="C43" s="82"/>
      <c r="D43" s="171"/>
      <c r="E43" s="171"/>
      <c r="F43" s="171"/>
      <c r="G43" s="171"/>
      <c r="H43" s="254"/>
      <c r="I43" s="254"/>
      <c r="J43" s="254"/>
    </row>
    <row r="44" spans="1:12" x14ac:dyDescent="0.3">
      <c r="C44" s="82"/>
      <c r="H44" s="13"/>
      <c r="I44" s="13"/>
      <c r="J44" s="13"/>
    </row>
    <row r="45" spans="1:12" x14ac:dyDescent="0.3">
      <c r="C45" s="82"/>
      <c r="D45" s="170"/>
      <c r="E45" s="170"/>
      <c r="F45" s="170"/>
      <c r="G45" s="170"/>
      <c r="H45" s="253"/>
      <c r="I45" s="253"/>
      <c r="J45" s="253"/>
    </row>
    <row r="46" spans="1:12" x14ac:dyDescent="0.3">
      <c r="C46" s="82"/>
      <c r="D46" s="170"/>
      <c r="E46" s="170"/>
      <c r="F46" s="170"/>
      <c r="G46" s="170"/>
      <c r="H46" s="253"/>
      <c r="I46" s="253"/>
      <c r="J46" s="253"/>
    </row>
    <row r="47" spans="1:12" x14ac:dyDescent="0.3">
      <c r="C47" s="82"/>
      <c r="D47" s="171"/>
      <c r="E47" s="171"/>
      <c r="F47" s="171"/>
      <c r="G47" s="171"/>
      <c r="H47" s="171"/>
      <c r="I47" s="171"/>
      <c r="J47" s="171"/>
    </row>
    <row r="48" spans="1:12" x14ac:dyDescent="0.3">
      <c r="C48" s="82"/>
      <c r="D48" s="82"/>
      <c r="E48" s="82"/>
      <c r="F48" s="82"/>
      <c r="G48" s="171"/>
      <c r="H48" s="82"/>
      <c r="I48" s="82"/>
      <c r="J48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zoomScale="70" zoomScaleNormal="70" zoomScalePageLayoutView="78" workbookViewId="0">
      <pane xSplit="1" ySplit="1" topLeftCell="B20" activePane="bottomRight" state="frozen"/>
      <selection pane="topRight" activeCell="B1" sqref="B1"/>
      <selection pane="bottomLeft" activeCell="A9" sqref="A9"/>
      <selection pane="bottomRight" activeCell="C57" sqref="C57"/>
    </sheetView>
  </sheetViews>
  <sheetFormatPr defaultRowHeight="14.4" x14ac:dyDescent="0.3"/>
  <cols>
    <col min="1" max="1" width="3.44140625" style="237" customWidth="1"/>
    <col min="2" max="2" width="39.77734375" customWidth="1"/>
    <col min="3" max="4" width="8.44140625" customWidth="1"/>
    <col min="5" max="5" width="8.44140625" style="30" customWidth="1"/>
    <col min="6" max="7" width="8.33203125" customWidth="1"/>
    <col min="8" max="9" width="8.44140625" customWidth="1"/>
    <col min="10" max="10" width="8.33203125" customWidth="1"/>
    <col min="11" max="11" width="11.33203125" style="30" customWidth="1"/>
    <col min="12" max="12" width="11.33203125" style="2" bestFit="1" customWidth="1"/>
    <col min="13" max="13" width="11.33203125" style="30" bestFit="1" customWidth="1"/>
  </cols>
  <sheetData>
    <row r="1" spans="1:10" s="249" customFormat="1" x14ac:dyDescent="0.3">
      <c r="A1" s="247"/>
      <c r="B1" s="248"/>
    </row>
    <row r="2" spans="1:10" x14ac:dyDescent="0.3">
      <c r="A2" s="47"/>
      <c r="B2" s="181" t="s">
        <v>302</v>
      </c>
      <c r="C2" s="359">
        <v>2010</v>
      </c>
      <c r="D2" s="182">
        <v>2011</v>
      </c>
      <c r="E2" s="182">
        <v>2012</v>
      </c>
      <c r="F2" s="182">
        <v>2013</v>
      </c>
      <c r="G2" s="182">
        <v>2014</v>
      </c>
      <c r="H2" s="183" t="s">
        <v>268</v>
      </c>
      <c r="I2" s="183" t="s">
        <v>269</v>
      </c>
      <c r="J2" s="183" t="s">
        <v>270</v>
      </c>
    </row>
    <row r="3" spans="1:10" ht="28.8" customHeight="1" x14ac:dyDescent="0.3">
      <c r="A3" s="47"/>
      <c r="B3" s="184" t="s">
        <v>125</v>
      </c>
      <c r="C3" s="353" t="s">
        <v>180</v>
      </c>
      <c r="D3" s="453">
        <v>5873</v>
      </c>
      <c r="E3" s="453">
        <v>7862</v>
      </c>
      <c r="F3" s="453">
        <v>6635</v>
      </c>
      <c r="G3" s="453">
        <v>9954</v>
      </c>
      <c r="H3" s="453">
        <v>4166</v>
      </c>
      <c r="I3" s="453">
        <v>4922</v>
      </c>
      <c r="J3" s="453">
        <v>6773</v>
      </c>
    </row>
    <row r="4" spans="1:10" ht="15" thickBot="1" x14ac:dyDescent="0.35">
      <c r="A4" s="47"/>
      <c r="B4" s="230" t="s">
        <v>283</v>
      </c>
      <c r="C4" s="354"/>
      <c r="D4" s="454"/>
      <c r="E4" s="454"/>
      <c r="F4" s="454"/>
      <c r="G4" s="454"/>
      <c r="H4" s="453"/>
      <c r="I4" s="453"/>
      <c r="J4" s="453"/>
    </row>
    <row r="5" spans="1:10" x14ac:dyDescent="0.3">
      <c r="A5" s="47"/>
      <c r="B5" s="184" t="s">
        <v>276</v>
      </c>
      <c r="C5" s="355" t="s">
        <v>180</v>
      </c>
      <c r="D5" s="453">
        <v>210</v>
      </c>
      <c r="E5" s="453">
        <v>329</v>
      </c>
      <c r="F5" s="453">
        <v>475</v>
      </c>
      <c r="G5" s="453">
        <v>746</v>
      </c>
      <c r="H5" s="453">
        <v>222</v>
      </c>
      <c r="I5" s="453">
        <v>237</v>
      </c>
      <c r="J5" s="453">
        <v>577</v>
      </c>
    </row>
    <row r="6" spans="1:10" x14ac:dyDescent="0.3">
      <c r="A6" s="47"/>
      <c r="B6" s="185" t="s">
        <v>216</v>
      </c>
      <c r="C6" s="355" t="s">
        <v>180</v>
      </c>
      <c r="D6" s="453">
        <v>-512</v>
      </c>
      <c r="E6" s="453">
        <v>-458</v>
      </c>
      <c r="F6" s="453">
        <v>-769</v>
      </c>
      <c r="G6" s="453">
        <v>45</v>
      </c>
      <c r="H6" s="453">
        <v>-245</v>
      </c>
      <c r="I6" s="453">
        <v>-486</v>
      </c>
      <c r="J6" s="453">
        <v>-689</v>
      </c>
    </row>
    <row r="7" spans="1:10" x14ac:dyDescent="0.3">
      <c r="A7" s="47"/>
      <c r="B7" s="184" t="s">
        <v>247</v>
      </c>
      <c r="C7" s="355" t="s">
        <v>180</v>
      </c>
      <c r="D7" s="453">
        <v>1855</v>
      </c>
      <c r="E7" s="453">
        <v>460</v>
      </c>
      <c r="F7" s="453">
        <v>1849</v>
      </c>
      <c r="G7" s="453">
        <v>2218</v>
      </c>
      <c r="H7" s="453">
        <v>994</v>
      </c>
      <c r="I7" s="453">
        <v>1790</v>
      </c>
      <c r="J7" s="453">
        <v>-1392</v>
      </c>
    </row>
    <row r="8" spans="1:10" x14ac:dyDescent="0.3">
      <c r="A8" s="47"/>
      <c r="B8" s="184" t="s">
        <v>248</v>
      </c>
      <c r="C8" s="353" t="s">
        <v>180</v>
      </c>
      <c r="D8" s="453">
        <v>7426</v>
      </c>
      <c r="E8" s="453">
        <v>8193</v>
      </c>
      <c r="F8" s="453">
        <v>8190</v>
      </c>
      <c r="G8" s="453">
        <v>12963</v>
      </c>
      <c r="H8" s="453">
        <v>5137</v>
      </c>
      <c r="I8" s="453">
        <v>6463</v>
      </c>
      <c r="J8" s="453">
        <v>5269</v>
      </c>
    </row>
    <row r="9" spans="1:10" ht="15" thickBot="1" x14ac:dyDescent="0.35">
      <c r="A9" s="47"/>
      <c r="B9" s="231" t="s">
        <v>277</v>
      </c>
      <c r="C9" s="356"/>
      <c r="D9" s="454"/>
      <c r="E9" s="454"/>
      <c r="F9" s="454"/>
      <c r="G9" s="454"/>
      <c r="H9" s="453"/>
      <c r="I9" s="453"/>
      <c r="J9" s="453"/>
    </row>
    <row r="10" spans="1:10" x14ac:dyDescent="0.3">
      <c r="A10" s="47"/>
      <c r="B10" s="184" t="s">
        <v>278</v>
      </c>
      <c r="C10" s="353" t="s">
        <v>180</v>
      </c>
      <c r="D10" s="453">
        <v>1950</v>
      </c>
      <c r="E10" s="453">
        <v>5464</v>
      </c>
      <c r="F10" s="453">
        <v>11969</v>
      </c>
      <c r="G10" s="453">
        <v>10877</v>
      </c>
      <c r="H10" s="453">
        <v>9732</v>
      </c>
      <c r="I10" s="453">
        <v>14964</v>
      </c>
      <c r="J10" s="453">
        <v>-1253</v>
      </c>
    </row>
    <row r="11" spans="1:10" x14ac:dyDescent="0.3">
      <c r="A11" s="47"/>
      <c r="B11" s="185" t="s">
        <v>279</v>
      </c>
      <c r="C11" s="353" t="s">
        <v>180</v>
      </c>
      <c r="D11" s="453">
        <v>-870</v>
      </c>
      <c r="E11" s="453">
        <v>-3074</v>
      </c>
      <c r="F11" s="453">
        <v>-3257</v>
      </c>
      <c r="G11" s="453">
        <v>-6535</v>
      </c>
      <c r="H11" s="453">
        <v>4351</v>
      </c>
      <c r="I11" s="453">
        <v>614</v>
      </c>
      <c r="J11" s="453">
        <v>-8852</v>
      </c>
    </row>
    <row r="12" spans="1:10" x14ac:dyDescent="0.3">
      <c r="A12" s="47"/>
      <c r="B12" s="185" t="s">
        <v>206</v>
      </c>
      <c r="C12" s="355" t="s">
        <v>180</v>
      </c>
      <c r="D12" s="453">
        <v>-431</v>
      </c>
      <c r="E12" s="453">
        <v>583</v>
      </c>
      <c r="F12" s="453">
        <v>651</v>
      </c>
      <c r="G12" s="453">
        <v>-145</v>
      </c>
      <c r="H12" s="453">
        <v>871</v>
      </c>
      <c r="I12" s="453">
        <v>-608</v>
      </c>
      <c r="J12" s="453">
        <v>-228</v>
      </c>
    </row>
    <row r="13" spans="1:10" x14ac:dyDescent="0.3">
      <c r="A13" s="47"/>
      <c r="B13" s="185" t="s">
        <v>249</v>
      </c>
      <c r="C13" s="353" t="s">
        <v>180</v>
      </c>
      <c r="D13" s="453">
        <v>1787</v>
      </c>
      <c r="E13" s="453">
        <v>2092</v>
      </c>
      <c r="F13" s="453">
        <v>6085</v>
      </c>
      <c r="G13" s="453">
        <v>5725</v>
      </c>
      <c r="H13" s="453">
        <v>-3954</v>
      </c>
      <c r="I13" s="453">
        <v>3081</v>
      </c>
      <c r="J13" s="453">
        <v>5023</v>
      </c>
    </row>
    <row r="14" spans="1:10" x14ac:dyDescent="0.3">
      <c r="A14" s="47"/>
      <c r="B14" s="185" t="s">
        <v>250</v>
      </c>
      <c r="C14" s="353" t="s">
        <v>180</v>
      </c>
      <c r="D14" s="453">
        <v>1464</v>
      </c>
      <c r="E14" s="453">
        <v>5863</v>
      </c>
      <c r="F14" s="453">
        <v>8490</v>
      </c>
      <c r="G14" s="453">
        <v>11832</v>
      </c>
      <c r="H14" s="453">
        <v>8464</v>
      </c>
      <c r="I14" s="453">
        <v>11877</v>
      </c>
      <c r="J14" s="453">
        <v>2804</v>
      </c>
    </row>
    <row r="15" spans="1:10" x14ac:dyDescent="0.3">
      <c r="A15" s="47"/>
      <c r="B15" s="184" t="s">
        <v>251</v>
      </c>
      <c r="C15" s="353" t="s">
        <v>180</v>
      </c>
      <c r="D15" s="453">
        <v>9376</v>
      </c>
      <c r="E15" s="453">
        <v>13657</v>
      </c>
      <c r="F15" s="453">
        <v>20159</v>
      </c>
      <c r="G15" s="453">
        <v>23840</v>
      </c>
      <c r="H15" s="453">
        <v>14869</v>
      </c>
      <c r="I15" s="453">
        <v>21427</v>
      </c>
      <c r="J15" s="453">
        <v>4016</v>
      </c>
    </row>
    <row r="16" spans="1:10" ht="15" thickBot="1" x14ac:dyDescent="0.35">
      <c r="A16" s="47"/>
      <c r="B16" s="232" t="s">
        <v>284</v>
      </c>
      <c r="C16" s="357"/>
      <c r="D16" s="455"/>
      <c r="E16" s="455"/>
      <c r="F16" s="455"/>
      <c r="G16" s="455"/>
      <c r="H16" s="456"/>
      <c r="I16" s="456"/>
      <c r="J16" s="456"/>
    </row>
    <row r="17" spans="1:10" x14ac:dyDescent="0.3">
      <c r="A17" s="47"/>
      <c r="B17" s="184" t="s">
        <v>132</v>
      </c>
      <c r="C17" s="355" t="s">
        <v>180</v>
      </c>
      <c r="D17" s="453">
        <v>-431</v>
      </c>
      <c r="E17" s="453">
        <v>-686</v>
      </c>
      <c r="F17" s="453">
        <v>-752</v>
      </c>
      <c r="G17" s="453">
        <v>-1408</v>
      </c>
      <c r="H17" s="453">
        <v>-620</v>
      </c>
      <c r="I17" s="453">
        <v>-440</v>
      </c>
      <c r="J17" s="453">
        <v>-691</v>
      </c>
    </row>
    <row r="18" spans="1:10" x14ac:dyDescent="0.3">
      <c r="A18" s="47"/>
      <c r="B18" s="184" t="s">
        <v>252</v>
      </c>
      <c r="C18" s="355" t="s">
        <v>180</v>
      </c>
      <c r="D18" s="453">
        <v>0</v>
      </c>
      <c r="E18" s="453">
        <v>0</v>
      </c>
      <c r="F18" s="453">
        <v>0</v>
      </c>
      <c r="G18" s="453">
        <v>0</v>
      </c>
      <c r="H18" s="453" t="s">
        <v>180</v>
      </c>
      <c r="I18" s="453" t="s">
        <v>180</v>
      </c>
      <c r="J18" s="453" t="s">
        <v>180</v>
      </c>
    </row>
    <row r="19" spans="1:10" x14ac:dyDescent="0.3">
      <c r="A19" s="47"/>
      <c r="B19" s="185" t="s">
        <v>253</v>
      </c>
      <c r="C19" s="355" t="s">
        <v>180</v>
      </c>
      <c r="D19" s="453">
        <v>800</v>
      </c>
      <c r="E19" s="453">
        <v>9649</v>
      </c>
      <c r="F19" s="453">
        <v>-8883</v>
      </c>
      <c r="G19" s="453">
        <v>0</v>
      </c>
      <c r="H19" s="453" t="s">
        <v>180</v>
      </c>
      <c r="I19" s="453" t="s">
        <v>180</v>
      </c>
      <c r="J19" s="453" t="s">
        <v>180</v>
      </c>
    </row>
    <row r="20" spans="1:10" x14ac:dyDescent="0.3">
      <c r="A20" s="47"/>
      <c r="B20" s="185" t="s">
        <v>254</v>
      </c>
      <c r="C20" s="355" t="s">
        <v>180</v>
      </c>
      <c r="D20" s="453">
        <v>800</v>
      </c>
      <c r="E20" s="453">
        <v>4555</v>
      </c>
      <c r="F20" s="453">
        <v>8735</v>
      </c>
      <c r="G20" s="453">
        <v>0</v>
      </c>
      <c r="H20" s="453" t="s">
        <v>180</v>
      </c>
      <c r="I20" s="453" t="s">
        <v>180</v>
      </c>
      <c r="J20" s="453" t="s">
        <v>180</v>
      </c>
    </row>
    <row r="21" spans="1:10" x14ac:dyDescent="0.3">
      <c r="A21" s="47"/>
      <c r="B21" s="184" t="s">
        <v>255</v>
      </c>
      <c r="C21" s="355" t="s">
        <v>180</v>
      </c>
      <c r="D21" s="453">
        <v>0</v>
      </c>
      <c r="E21" s="453">
        <v>0</v>
      </c>
      <c r="F21" s="453">
        <v>0</v>
      </c>
      <c r="G21" s="453">
        <v>-52570</v>
      </c>
      <c r="H21" s="453" t="s">
        <v>180</v>
      </c>
      <c r="I21" s="453" t="s">
        <v>180</v>
      </c>
      <c r="J21" s="453">
        <v>0</v>
      </c>
    </row>
    <row r="22" spans="1:10" x14ac:dyDescent="0.3">
      <c r="A22" s="47"/>
      <c r="B22" s="184" t="s">
        <v>256</v>
      </c>
      <c r="C22" s="353" t="s">
        <v>180</v>
      </c>
      <c r="D22" s="453">
        <v>0</v>
      </c>
      <c r="E22" s="453">
        <v>0</v>
      </c>
      <c r="F22" s="453">
        <v>0</v>
      </c>
      <c r="G22" s="453">
        <v>2533</v>
      </c>
      <c r="H22" s="453">
        <v>24279</v>
      </c>
      <c r="I22" s="453">
        <v>15010</v>
      </c>
      <c r="J22" s="453">
        <v>-39289</v>
      </c>
    </row>
    <row r="23" spans="1:10" x14ac:dyDescent="0.3">
      <c r="A23" s="47"/>
      <c r="B23" s="184" t="s">
        <v>257</v>
      </c>
      <c r="C23" s="353" t="s">
        <v>180</v>
      </c>
      <c r="D23" s="453">
        <v>369</v>
      </c>
      <c r="E23" s="453">
        <v>-3233</v>
      </c>
      <c r="F23" s="453">
        <v>-826</v>
      </c>
      <c r="G23" s="453">
        <v>-51445</v>
      </c>
      <c r="H23" s="453">
        <v>23659</v>
      </c>
      <c r="I23" s="453">
        <v>14570</v>
      </c>
      <c r="J23" s="453">
        <v>-21434</v>
      </c>
    </row>
    <row r="24" spans="1:10" ht="15" thickBot="1" x14ac:dyDescent="0.35">
      <c r="A24" s="47"/>
      <c r="B24" s="234" t="s">
        <v>298</v>
      </c>
      <c r="C24" s="358" t="s">
        <v>180</v>
      </c>
      <c r="D24" s="455"/>
      <c r="E24" s="455"/>
      <c r="F24" s="455"/>
      <c r="G24" s="455"/>
      <c r="H24" s="456"/>
      <c r="I24" s="456"/>
      <c r="J24" s="456"/>
    </row>
    <row r="25" spans="1:10" x14ac:dyDescent="0.3">
      <c r="A25" s="47"/>
      <c r="B25" s="184" t="s">
        <v>258</v>
      </c>
      <c r="C25" s="355" t="s">
        <v>180</v>
      </c>
      <c r="D25" s="453">
        <v>0</v>
      </c>
      <c r="E25" s="453">
        <v>0</v>
      </c>
      <c r="F25" s="453">
        <v>0</v>
      </c>
      <c r="G25" s="453">
        <v>0</v>
      </c>
      <c r="H25" s="453" t="s">
        <v>180</v>
      </c>
      <c r="I25" s="453" t="s">
        <v>180</v>
      </c>
      <c r="J25" s="453" t="s">
        <v>180</v>
      </c>
    </row>
    <row r="26" spans="1:10" x14ac:dyDescent="0.3">
      <c r="A26" s="47"/>
      <c r="B26" s="184" t="s">
        <v>259</v>
      </c>
      <c r="C26" s="355" t="s">
        <v>180</v>
      </c>
      <c r="D26" s="453">
        <v>6691</v>
      </c>
      <c r="E26" s="453">
        <v>-329</v>
      </c>
      <c r="F26" s="453">
        <v>159</v>
      </c>
      <c r="G26" s="453">
        <v>89410</v>
      </c>
      <c r="H26" s="453">
        <v>234</v>
      </c>
      <c r="I26" s="453">
        <v>71176</v>
      </c>
      <c r="J26" s="453">
        <v>-17103</v>
      </c>
    </row>
    <row r="27" spans="1:10" ht="15.6" customHeight="1" x14ac:dyDescent="0.3">
      <c r="A27" s="47"/>
      <c r="B27" s="185" t="s">
        <v>260</v>
      </c>
      <c r="C27" s="355" t="s">
        <v>180</v>
      </c>
      <c r="D27" s="453">
        <v>0</v>
      </c>
      <c r="E27" s="453">
        <v>-387</v>
      </c>
      <c r="F27" s="453">
        <v>0</v>
      </c>
      <c r="G27" s="453">
        <v>0</v>
      </c>
      <c r="H27" s="453" t="s">
        <v>180</v>
      </c>
      <c r="I27" s="453" t="s">
        <v>180</v>
      </c>
      <c r="J27" s="453" t="s">
        <v>180</v>
      </c>
    </row>
    <row r="28" spans="1:10" ht="15.6" customHeight="1" x14ac:dyDescent="0.3">
      <c r="A28" s="47"/>
      <c r="B28" s="185" t="s">
        <v>261</v>
      </c>
      <c r="C28" s="355" t="s">
        <v>180</v>
      </c>
      <c r="D28" s="453">
        <v>6691</v>
      </c>
      <c r="E28" s="453">
        <v>58</v>
      </c>
      <c r="F28" s="453">
        <v>159</v>
      </c>
      <c r="G28" s="453">
        <v>89410</v>
      </c>
      <c r="H28" s="453">
        <v>234</v>
      </c>
      <c r="I28" s="453">
        <v>71176</v>
      </c>
      <c r="J28" s="453">
        <v>-17103</v>
      </c>
    </row>
    <row r="29" spans="1:10" ht="18" customHeight="1" x14ac:dyDescent="0.3">
      <c r="A29" s="47"/>
      <c r="B29" s="187" t="s">
        <v>262</v>
      </c>
      <c r="C29" s="355" t="s">
        <v>180</v>
      </c>
      <c r="D29" s="453">
        <v>0</v>
      </c>
      <c r="E29" s="453">
        <v>0</v>
      </c>
      <c r="F29" s="453">
        <v>0</v>
      </c>
      <c r="G29" s="453">
        <v>88468</v>
      </c>
      <c r="H29" s="453">
        <v>0</v>
      </c>
      <c r="I29" s="453">
        <v>52685</v>
      </c>
      <c r="J29" s="453">
        <v>-71</v>
      </c>
    </row>
    <row r="30" spans="1:10" ht="16.2" customHeight="1" x14ac:dyDescent="0.3">
      <c r="A30" s="47"/>
      <c r="B30" s="187" t="s">
        <v>263</v>
      </c>
      <c r="C30" s="355" t="s">
        <v>180</v>
      </c>
      <c r="D30" s="453">
        <v>6691</v>
      </c>
      <c r="E30" s="453">
        <v>58</v>
      </c>
      <c r="F30" s="453">
        <v>159</v>
      </c>
      <c r="G30" s="453">
        <v>942</v>
      </c>
      <c r="H30" s="453">
        <v>234</v>
      </c>
      <c r="I30" s="453">
        <v>18491</v>
      </c>
      <c r="J30" s="453">
        <v>-17032</v>
      </c>
    </row>
    <row r="31" spans="1:10" ht="17.399999999999999" customHeight="1" thickBot="1" x14ac:dyDescent="0.35">
      <c r="A31" s="47"/>
      <c r="B31" s="231" t="s">
        <v>299</v>
      </c>
      <c r="C31" s="354"/>
      <c r="D31" s="454"/>
      <c r="E31" s="454"/>
      <c r="F31" s="454"/>
      <c r="G31" s="454"/>
      <c r="H31" s="453"/>
      <c r="I31" s="453"/>
      <c r="J31" s="453"/>
    </row>
    <row r="32" spans="1:10" x14ac:dyDescent="0.3">
      <c r="A32" s="47"/>
      <c r="B32" s="185" t="s">
        <v>264</v>
      </c>
      <c r="C32" s="355" t="s">
        <v>180</v>
      </c>
      <c r="D32" s="453">
        <v>0</v>
      </c>
      <c r="E32" s="453">
        <v>0</v>
      </c>
      <c r="F32" s="453">
        <v>0</v>
      </c>
      <c r="G32" s="453">
        <v>0</v>
      </c>
      <c r="H32" s="453">
        <v>0</v>
      </c>
      <c r="I32" s="453" t="s">
        <v>180</v>
      </c>
      <c r="J32" s="453" t="s">
        <v>180</v>
      </c>
    </row>
    <row r="33" spans="1:12" x14ac:dyDescent="0.3">
      <c r="B33" s="184" t="s">
        <v>247</v>
      </c>
      <c r="C33" s="355" t="s">
        <v>180</v>
      </c>
      <c r="D33" s="453">
        <v>0</v>
      </c>
      <c r="E33" s="453">
        <v>0</v>
      </c>
      <c r="F33" s="453">
        <v>0</v>
      </c>
      <c r="G33" s="453">
        <v>0</v>
      </c>
      <c r="H33" s="453" t="s">
        <v>180</v>
      </c>
      <c r="I33" s="453" t="s">
        <v>180</v>
      </c>
      <c r="J33" s="453" t="s">
        <v>180</v>
      </c>
    </row>
    <row r="34" spans="1:12" x14ac:dyDescent="0.3">
      <c r="B34" s="184" t="s">
        <v>265</v>
      </c>
      <c r="C34" s="355" t="s">
        <v>180</v>
      </c>
      <c r="D34" s="453">
        <v>6691</v>
      </c>
      <c r="E34" s="453">
        <v>-329</v>
      </c>
      <c r="F34" s="453">
        <v>159</v>
      </c>
      <c r="G34" s="453">
        <v>89410</v>
      </c>
      <c r="H34" s="453">
        <v>234</v>
      </c>
      <c r="I34" s="453">
        <v>71176</v>
      </c>
      <c r="J34" s="453">
        <v>-13771</v>
      </c>
    </row>
    <row r="35" spans="1:12" x14ac:dyDescent="0.3">
      <c r="B35" s="184" t="s">
        <v>266</v>
      </c>
      <c r="C35" s="355" t="s">
        <v>180</v>
      </c>
      <c r="D35" s="453">
        <v>0</v>
      </c>
      <c r="E35" s="453">
        <v>0</v>
      </c>
      <c r="F35" s="453">
        <v>0</v>
      </c>
      <c r="G35" s="453">
        <v>0</v>
      </c>
      <c r="H35" s="453">
        <v>0</v>
      </c>
      <c r="I35" s="453">
        <v>0</v>
      </c>
      <c r="J35" s="453">
        <v>0</v>
      </c>
    </row>
    <row r="36" spans="1:12" x14ac:dyDescent="0.3">
      <c r="B36" s="184" t="s">
        <v>267</v>
      </c>
      <c r="C36" s="353" t="s">
        <v>180</v>
      </c>
      <c r="D36" s="453">
        <v>16436</v>
      </c>
      <c r="E36" s="453">
        <v>10095</v>
      </c>
      <c r="F36" s="453">
        <v>19492</v>
      </c>
      <c r="G36" s="453">
        <v>61805</v>
      </c>
      <c r="H36" s="453">
        <v>38762</v>
      </c>
      <c r="I36" s="453">
        <v>107173</v>
      </c>
      <c r="J36" s="453">
        <v>-31189</v>
      </c>
    </row>
    <row r="37" spans="1:12" x14ac:dyDescent="0.3">
      <c r="B37" s="184" t="s">
        <v>133</v>
      </c>
      <c r="C37" s="353" t="s">
        <v>180</v>
      </c>
      <c r="D37" s="453">
        <v>8945</v>
      </c>
      <c r="E37" s="453">
        <v>12971</v>
      </c>
      <c r="F37" s="453">
        <v>19407</v>
      </c>
      <c r="G37" s="453">
        <v>22432</v>
      </c>
      <c r="H37" s="453">
        <v>14249</v>
      </c>
      <c r="I37" s="453">
        <v>20987</v>
      </c>
      <c r="J37" s="453">
        <v>3325</v>
      </c>
    </row>
    <row r="38" spans="1:12" x14ac:dyDescent="0.3">
      <c r="H38" s="177"/>
      <c r="I38" s="177"/>
      <c r="J38" s="177"/>
    </row>
    <row r="39" spans="1:12" x14ac:dyDescent="0.3">
      <c r="B39" s="180" t="s">
        <v>232</v>
      </c>
      <c r="H39" s="469"/>
      <c r="I39" s="470"/>
      <c r="J39" s="470"/>
    </row>
    <row r="40" spans="1:12" ht="48" customHeight="1" x14ac:dyDescent="0.3">
      <c r="H40" s="469"/>
      <c r="I40" s="470"/>
      <c r="J40" s="470"/>
    </row>
    <row r="41" spans="1:12" s="229" customFormat="1" ht="48" customHeight="1" x14ac:dyDescent="0.3">
      <c r="A41" s="237"/>
      <c r="H41" s="255"/>
      <c r="I41" s="256"/>
      <c r="J41" s="257"/>
      <c r="L41" s="2"/>
    </row>
    <row r="42" spans="1:12" x14ac:dyDescent="0.3">
      <c r="F42" s="180"/>
      <c r="G42" s="30"/>
      <c r="H42" s="258"/>
      <c r="I42" s="259"/>
      <c r="J42" s="260"/>
    </row>
    <row r="43" spans="1:12" x14ac:dyDescent="0.3">
      <c r="H43" s="471"/>
      <c r="I43" s="472"/>
      <c r="J43" s="471"/>
    </row>
    <row r="44" spans="1:12" x14ac:dyDescent="0.3">
      <c r="H44" s="471"/>
      <c r="I44" s="472"/>
      <c r="J44" s="471"/>
    </row>
    <row r="45" spans="1:12" x14ac:dyDescent="0.3">
      <c r="H45" s="177"/>
      <c r="I45" s="177"/>
      <c r="J45" s="177"/>
    </row>
    <row r="46" spans="1:12" x14ac:dyDescent="0.3">
      <c r="H46" s="177"/>
      <c r="I46" s="177"/>
      <c r="J46" s="177"/>
    </row>
    <row r="47" spans="1:12" x14ac:dyDescent="0.3">
      <c r="H47" s="176"/>
      <c r="I47" s="176"/>
      <c r="J47" s="176"/>
    </row>
    <row r="48" spans="1:12" x14ac:dyDescent="0.3">
      <c r="H48" s="176"/>
      <c r="I48" s="176"/>
      <c r="J48" s="176"/>
    </row>
    <row r="49" spans="8:10" x14ac:dyDescent="0.3">
      <c r="H49" s="178"/>
      <c r="I49" s="179"/>
      <c r="J49" s="179"/>
    </row>
    <row r="50" spans="8:10" x14ac:dyDescent="0.3">
      <c r="H50" s="177"/>
      <c r="I50" s="177"/>
      <c r="J50" s="177"/>
    </row>
    <row r="51" spans="8:10" x14ac:dyDescent="0.3">
      <c r="H51" s="13"/>
      <c r="I51" s="13"/>
      <c r="J51" s="13"/>
    </row>
  </sheetData>
  <mergeCells count="6">
    <mergeCell ref="H39:H40"/>
    <mergeCell ref="I39:I40"/>
    <mergeCell ref="J39:J40"/>
    <mergeCell ref="H43:H44"/>
    <mergeCell ref="I43:I44"/>
    <mergeCell ref="J43:J4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8"/>
  <sheetViews>
    <sheetView showGridLines="0" zoomScale="70" zoomScaleNormal="70" zoomScalePageLayoutView="90" workbookViewId="0">
      <pane xSplit="1" ySplit="1" topLeftCell="B2" activePane="bottomRight" state="frozen"/>
      <selection pane="topRight" activeCell="B1" sqref="B1"/>
      <selection pane="bottomLeft" activeCell="A9" sqref="A9"/>
      <selection pane="bottomRight" activeCell="H15" sqref="H15"/>
    </sheetView>
  </sheetViews>
  <sheetFormatPr defaultRowHeight="14.4" x14ac:dyDescent="0.3"/>
  <cols>
    <col min="1" max="1" width="3.44140625" style="35" customWidth="1"/>
    <col min="2" max="2" width="6.6640625" style="30" customWidth="1"/>
    <col min="3" max="3" width="12.77734375" style="30" customWidth="1"/>
    <col min="4" max="4" width="0.77734375" style="30" customWidth="1"/>
    <col min="5" max="5" width="1.44140625" style="30" customWidth="1"/>
    <col min="6" max="6" width="8.6640625" style="30" customWidth="1"/>
    <col min="7" max="7" width="8.44140625" style="30" customWidth="1"/>
    <col min="8" max="8" width="8.5546875" style="30" customWidth="1"/>
    <col min="9" max="9" width="8.6640625" style="30" customWidth="1"/>
    <col min="10" max="10" width="12.33203125" style="180" customWidth="1"/>
    <col min="11" max="11" width="9.33203125" style="180" bestFit="1" customWidth="1"/>
    <col min="12" max="12" width="7.44140625" style="180" bestFit="1" customWidth="1"/>
    <col min="13" max="13" width="9.33203125" style="180" bestFit="1" customWidth="1"/>
    <col min="14" max="14" width="7.44140625" style="180" bestFit="1" customWidth="1"/>
    <col min="15" max="15" width="8.88671875" style="180"/>
    <col min="16" max="16" width="11.44140625" style="180" customWidth="1"/>
    <col min="17" max="20" width="8.88671875" style="180"/>
    <col min="21" max="21" width="7.5546875" style="180" customWidth="1"/>
    <col min="22" max="22" width="10.6640625" style="180" customWidth="1"/>
    <col min="23" max="27" width="8.88671875" style="180"/>
    <col min="28" max="28" width="8.88671875" style="1"/>
    <col min="29" max="16384" width="8.88671875" style="180"/>
  </cols>
  <sheetData>
    <row r="1" spans="1:28" s="35" customFormat="1" x14ac:dyDescent="0.3">
      <c r="A1" s="48"/>
      <c r="B1" s="48"/>
      <c r="C1" s="48"/>
      <c r="D1" s="48"/>
      <c r="E1" s="48"/>
      <c r="F1" s="48"/>
      <c r="G1" s="48"/>
      <c r="H1" s="48"/>
      <c r="I1" s="48"/>
      <c r="J1" s="15"/>
      <c r="K1" s="15"/>
      <c r="L1" s="15"/>
      <c r="M1" s="15"/>
      <c r="N1" s="15"/>
      <c r="O1" s="15"/>
      <c r="AB1" s="18"/>
    </row>
    <row r="2" spans="1:28" ht="21.6" customHeight="1" x14ac:dyDescent="0.3">
      <c r="A2" s="49"/>
      <c r="B2" s="50"/>
      <c r="C2" s="50"/>
      <c r="D2" s="293"/>
      <c r="E2" s="293"/>
      <c r="F2" s="293"/>
      <c r="G2" s="293"/>
      <c r="H2" s="293"/>
      <c r="I2" s="50"/>
      <c r="J2" s="60"/>
      <c r="K2" s="60"/>
      <c r="L2" s="60"/>
      <c r="M2" s="60"/>
      <c r="N2" s="60"/>
      <c r="O2" s="13"/>
      <c r="P2" s="60"/>
      <c r="Q2" s="60"/>
      <c r="R2" s="60"/>
      <c r="S2" s="60"/>
      <c r="T2" s="60"/>
      <c r="U2" s="13"/>
      <c r="V2" s="60"/>
      <c r="W2" s="60"/>
      <c r="X2" s="60"/>
      <c r="Y2" s="60"/>
      <c r="Z2" s="60"/>
      <c r="AA2" s="13"/>
    </row>
    <row r="3" spans="1:28" ht="5.4" customHeight="1" x14ac:dyDescent="0.3">
      <c r="A3" s="51"/>
      <c r="B3" s="52"/>
      <c r="C3" s="53"/>
      <c r="D3" s="294"/>
      <c r="E3" s="294"/>
      <c r="F3" s="294"/>
      <c r="G3" s="294"/>
      <c r="H3" s="295"/>
      <c r="I3" s="52"/>
      <c r="J3" s="54"/>
      <c r="K3" s="55"/>
      <c r="L3" s="55"/>
      <c r="M3" s="55"/>
      <c r="N3" s="56"/>
      <c r="O3" s="13"/>
      <c r="P3" s="54"/>
      <c r="Q3" s="55"/>
      <c r="R3" s="55"/>
      <c r="S3" s="55"/>
      <c r="T3" s="56"/>
      <c r="V3" s="54"/>
      <c r="W3" s="55"/>
      <c r="X3" s="55"/>
      <c r="Y3" s="55"/>
      <c r="Z3" s="56"/>
    </row>
    <row r="4" spans="1:28" x14ac:dyDescent="0.3">
      <c r="A4" s="57"/>
      <c r="B4" s="58"/>
      <c r="C4" s="53"/>
      <c r="D4" s="294"/>
      <c r="E4" s="294"/>
      <c r="F4" s="288" t="s">
        <v>92</v>
      </c>
      <c r="G4" s="288" t="s">
        <v>93</v>
      </c>
      <c r="H4" s="296" t="s">
        <v>94</v>
      </c>
      <c r="I4" s="58"/>
      <c r="J4" s="59" t="s">
        <v>95</v>
      </c>
      <c r="K4" s="60"/>
      <c r="L4" s="60"/>
      <c r="M4" s="60"/>
      <c r="N4" s="61"/>
      <c r="O4" s="13"/>
      <c r="P4" s="59" t="s">
        <v>271</v>
      </c>
      <c r="Q4" s="60"/>
      <c r="R4" s="60"/>
      <c r="S4" s="60"/>
      <c r="T4" s="61"/>
      <c r="V4" s="59" t="s">
        <v>272</v>
      </c>
      <c r="W4" s="60"/>
      <c r="X4" s="60"/>
      <c r="Y4" s="60"/>
      <c r="Z4" s="61"/>
    </row>
    <row r="5" spans="1:28" ht="15" thickBot="1" x14ac:dyDescent="0.35">
      <c r="A5" s="57"/>
      <c r="B5" s="58"/>
      <c r="C5" s="53" t="s">
        <v>96</v>
      </c>
      <c r="D5" s="53"/>
      <c r="E5" s="53"/>
      <c r="F5" s="289">
        <f>SLOPE(L8:L325,N8:N325)</f>
        <v>1.3110719843168603</v>
      </c>
      <c r="G5" s="289">
        <f>SLOPE(R8:R73,T8:T73)</f>
        <v>1.8201773108319155</v>
      </c>
      <c r="H5" s="289">
        <f>SLOPE(X8:X22,Z8:Z22)</f>
        <v>3.3594004582385737</v>
      </c>
      <c r="I5" s="58"/>
      <c r="J5" s="59"/>
      <c r="K5" s="60"/>
      <c r="L5" s="60"/>
      <c r="M5" s="60"/>
      <c r="N5" s="61"/>
      <c r="O5" s="13"/>
      <c r="P5" s="59"/>
      <c r="Q5" s="60"/>
      <c r="R5" s="60"/>
      <c r="S5" s="60"/>
      <c r="T5" s="61"/>
      <c r="V5" s="59"/>
      <c r="W5" s="60"/>
      <c r="X5" s="60"/>
      <c r="Y5" s="60"/>
      <c r="Z5" s="61"/>
    </row>
    <row r="6" spans="1:28" ht="16.2" customHeight="1" x14ac:dyDescent="0.3">
      <c r="A6" s="57"/>
      <c r="B6" s="58"/>
      <c r="C6" s="53" t="s">
        <v>97</v>
      </c>
      <c r="D6" s="265"/>
      <c r="E6" s="53"/>
      <c r="F6" s="290">
        <f>CORREL(L8:L325,N8:N325)</f>
        <v>0.27841396646649968</v>
      </c>
      <c r="G6" s="290">
        <f>CORREL(R8:R73,T8:T73)</f>
        <v>0.33788116408330698</v>
      </c>
      <c r="H6" s="290">
        <f>CORREL(X8:X22,Z8:Z22)</f>
        <v>0.53793842690645188</v>
      </c>
      <c r="I6" s="58"/>
      <c r="J6" s="59"/>
      <c r="K6" s="474" t="s">
        <v>167</v>
      </c>
      <c r="L6" s="474"/>
      <c r="M6" s="473" t="s">
        <v>98</v>
      </c>
      <c r="N6" s="473"/>
      <c r="O6" s="13"/>
      <c r="P6" s="59"/>
      <c r="Q6" s="474" t="s">
        <v>167</v>
      </c>
      <c r="R6" s="474"/>
      <c r="S6" s="473" t="s">
        <v>98</v>
      </c>
      <c r="T6" s="473"/>
      <c r="V6" s="59"/>
      <c r="W6" s="474" t="s">
        <v>167</v>
      </c>
      <c r="X6" s="474"/>
      <c r="Y6" s="473" t="s">
        <v>98</v>
      </c>
      <c r="Z6" s="473"/>
    </row>
    <row r="7" spans="1:28" ht="16.2" customHeight="1" x14ac:dyDescent="0.3">
      <c r="A7" s="57"/>
      <c r="B7" s="58"/>
      <c r="C7" s="53" t="s">
        <v>99</v>
      </c>
      <c r="D7" s="264"/>
      <c r="E7" s="53"/>
      <c r="F7" s="291">
        <f>RSQ(L8:L325,N8:N325)</f>
        <v>7.7514336723609217E-2</v>
      </c>
      <c r="G7" s="291">
        <f>RSQ(R8:R73,T8:T73)</f>
        <v>0.11416368104229066</v>
      </c>
      <c r="H7" s="291">
        <f>RSQ(N8:N22,P8:P22)</f>
        <v>4.5508229229024907E-2</v>
      </c>
      <c r="I7" s="58"/>
      <c r="J7" s="180" t="s">
        <v>100</v>
      </c>
      <c r="K7" s="180" t="s">
        <v>101</v>
      </c>
      <c r="L7" s="62" t="s">
        <v>102</v>
      </c>
      <c r="M7" s="180" t="s">
        <v>101</v>
      </c>
      <c r="N7" s="63" t="s">
        <v>102</v>
      </c>
      <c r="O7" s="13"/>
      <c r="P7" s="180" t="s">
        <v>100</v>
      </c>
      <c r="Q7" s="180" t="s">
        <v>101</v>
      </c>
      <c r="R7" s="62" t="s">
        <v>102</v>
      </c>
      <c r="S7" s="180" t="s">
        <v>101</v>
      </c>
      <c r="T7" s="63" t="s">
        <v>102</v>
      </c>
      <c r="V7" s="180" t="s">
        <v>100</v>
      </c>
      <c r="W7" s="180" t="s">
        <v>101</v>
      </c>
      <c r="X7" s="62" t="s">
        <v>102</v>
      </c>
      <c r="Y7" s="180" t="s">
        <v>101</v>
      </c>
      <c r="Z7" s="63" t="s">
        <v>102</v>
      </c>
    </row>
    <row r="8" spans="1:28" ht="16.2" customHeight="1" x14ac:dyDescent="0.3">
      <c r="A8" s="48"/>
      <c r="B8" s="64"/>
      <c r="C8" s="53" t="s">
        <v>103</v>
      </c>
      <c r="D8" s="266"/>
      <c r="E8" s="53"/>
      <c r="F8" s="292">
        <f>COUNT(L8:L325,N8:N325)</f>
        <v>636</v>
      </c>
      <c r="G8" s="292">
        <f>COUNT(R8:R73,T8:T73)</f>
        <v>132</v>
      </c>
      <c r="H8" s="292">
        <f>COUNT(X8:X22,Z8:Z22)</f>
        <v>30</v>
      </c>
      <c r="I8" s="64"/>
      <c r="J8" s="65">
        <v>42367</v>
      </c>
      <c r="K8" s="180">
        <v>45.419998</v>
      </c>
      <c r="L8" s="66">
        <f>(K9-K10)/K10</f>
        <v>-1.321197804686931E-2</v>
      </c>
      <c r="M8" s="180">
        <v>2078.360107</v>
      </c>
      <c r="N8" s="67">
        <f>(M9-M10)/M10</f>
        <v>-2.1785598289101996E-3</v>
      </c>
      <c r="O8" s="13"/>
      <c r="P8" s="65">
        <v>42366</v>
      </c>
      <c r="Q8" s="180">
        <v>45.419998</v>
      </c>
      <c r="R8" s="66">
        <f>(Q9-Q10)/Q10</f>
        <v>1.5841517803266921E-2</v>
      </c>
      <c r="S8" s="180">
        <v>2078.360107</v>
      </c>
      <c r="T8" s="66">
        <f>(S9-S10)/S10</f>
        <v>2.7643259776859396E-2</v>
      </c>
      <c r="U8" s="66"/>
      <c r="V8" s="65">
        <v>42339</v>
      </c>
      <c r="W8" s="180">
        <v>45.419998</v>
      </c>
      <c r="X8" s="66">
        <f>(W9-W10)/W10</f>
        <v>-0.12792099371315471</v>
      </c>
      <c r="Y8" s="180">
        <v>2078.360107</v>
      </c>
      <c r="Z8" s="66">
        <f>(Y9-Y10)/Y10</f>
        <v>5.0486926072401835E-4</v>
      </c>
    </row>
    <row r="9" spans="1:28" ht="16.05" customHeight="1" x14ac:dyDescent="0.3">
      <c r="A9" s="48"/>
      <c r="B9" s="64"/>
      <c r="C9" s="53"/>
      <c r="D9" s="53"/>
      <c r="E9" s="53"/>
      <c r="F9" s="68"/>
      <c r="G9" s="68"/>
      <c r="H9" s="60"/>
      <c r="I9" s="64"/>
      <c r="J9" s="65">
        <v>42366</v>
      </c>
      <c r="K9" s="180">
        <v>45.560001</v>
      </c>
      <c r="L9" s="66">
        <f>(K9-K10)/K10</f>
        <v>-1.321197804686931E-2</v>
      </c>
      <c r="M9" s="180">
        <v>2056.5</v>
      </c>
      <c r="N9" s="67">
        <f>(M9-M10)/M10</f>
        <v>-2.1785598289101996E-3</v>
      </c>
      <c r="O9" s="13"/>
      <c r="P9" s="65">
        <v>42359</v>
      </c>
      <c r="Q9" s="180">
        <v>46.169998</v>
      </c>
      <c r="R9" s="66">
        <f>(Q9-Q10)/Q10</f>
        <v>1.5841517803266921E-2</v>
      </c>
      <c r="S9" s="180">
        <v>2060.98999</v>
      </c>
      <c r="T9" s="66">
        <f>(S9-S10)/S10</f>
        <v>2.7643259776859396E-2</v>
      </c>
      <c r="U9" s="66"/>
      <c r="V9" s="65">
        <v>42310</v>
      </c>
      <c r="W9" s="180">
        <v>43.290000999999997</v>
      </c>
      <c r="X9" s="66">
        <f>(W9-W10)/W10</f>
        <v>-0.12792099371315471</v>
      </c>
      <c r="Y9" s="180">
        <v>2080.4099120000001</v>
      </c>
      <c r="Z9" s="66">
        <f>(Y9-Y10)/Y10</f>
        <v>5.0486926072401835E-4</v>
      </c>
    </row>
    <row r="10" spans="1:28" ht="16.05" customHeight="1" x14ac:dyDescent="0.3">
      <c r="A10" s="48"/>
      <c r="B10" s="64"/>
      <c r="C10" s="64" t="s">
        <v>104</v>
      </c>
      <c r="D10" s="64"/>
      <c r="E10" s="64"/>
      <c r="F10" s="287"/>
      <c r="G10" s="451">
        <f>(F5+G5+H5)/3</f>
        <v>2.1635499177957835</v>
      </c>
      <c r="H10" s="64"/>
      <c r="I10" s="64"/>
      <c r="J10" s="65">
        <v>42362</v>
      </c>
      <c r="K10" s="180">
        <v>46.169998</v>
      </c>
      <c r="L10" s="66">
        <f t="shared" ref="L10:L73" si="0">(K10-K11)/K11</f>
        <v>4.3505981215879504E-3</v>
      </c>
      <c r="M10" s="180">
        <v>2060.98999</v>
      </c>
      <c r="N10" s="67">
        <f t="shared" ref="N10:N73" si="1">(M10-M11)/M11</f>
        <v>-1.5986363048084951E-3</v>
      </c>
      <c r="O10" s="13"/>
      <c r="P10" s="65">
        <v>42352</v>
      </c>
      <c r="Q10" s="180">
        <v>45.450001</v>
      </c>
      <c r="R10" s="66">
        <f t="shared" ref="R10:R73" si="2">(Q10-Q11)/Q11</f>
        <v>0.12919257142857143</v>
      </c>
      <c r="S10" s="180">
        <v>2005.5500489999999</v>
      </c>
      <c r="T10" s="66">
        <f t="shared" ref="T10:T73" si="3">(S10-S11)/S11</f>
        <v>-3.3890119694415699E-3</v>
      </c>
      <c r="V10" s="65">
        <v>42278</v>
      </c>
      <c r="W10" s="180">
        <v>49.639999000000003</v>
      </c>
      <c r="X10" s="66">
        <f t="shared" ref="X10:X22" si="4">(W10-W11)/W11</f>
        <v>-9.9720783799776298E-3</v>
      </c>
      <c r="Y10" s="180">
        <v>2079.360107</v>
      </c>
      <c r="Z10" s="66">
        <f t="shared" ref="Z10:Z22" si="5">(Y10-Y11)/Y11</f>
        <v>8.2983117760394132E-2</v>
      </c>
    </row>
    <row r="11" spans="1:28" ht="15" customHeight="1" x14ac:dyDescent="0.3">
      <c r="A11" s="48"/>
      <c r="B11" s="64"/>
      <c r="C11" s="64"/>
      <c r="D11" s="64"/>
      <c r="E11" s="64"/>
      <c r="F11" s="64"/>
      <c r="G11" s="64"/>
      <c r="H11" s="64"/>
      <c r="I11" s="64"/>
      <c r="J11" s="65">
        <v>42361</v>
      </c>
      <c r="K11" s="180">
        <v>45.970001000000003</v>
      </c>
      <c r="L11" s="66">
        <f t="shared" si="0"/>
        <v>1.8161660325064943E-2</v>
      </c>
      <c r="M11" s="180">
        <v>2064.290039</v>
      </c>
      <c r="N11" s="67">
        <f t="shared" si="1"/>
        <v>1.2418068122691342E-2</v>
      </c>
      <c r="O11" s="13"/>
      <c r="P11" s="65">
        <v>42345</v>
      </c>
      <c r="Q11" s="180">
        <v>40.25</v>
      </c>
      <c r="R11" s="66">
        <f t="shared" si="2"/>
        <v>-1.8292682926829267E-2</v>
      </c>
      <c r="S11" s="180">
        <v>2012.369995</v>
      </c>
      <c r="T11" s="66">
        <f t="shared" si="3"/>
        <v>-3.7921464575231739E-2</v>
      </c>
      <c r="V11" s="65">
        <v>42248</v>
      </c>
      <c r="W11" s="180">
        <v>50.139999000000003</v>
      </c>
      <c r="X11" s="66">
        <f t="shared" si="4"/>
        <v>-1.7825661465732771E-2</v>
      </c>
      <c r="Y11" s="180">
        <v>1920.030029</v>
      </c>
      <c r="Z11" s="66">
        <f t="shared" si="5"/>
        <v>-2.6442831573227094E-2</v>
      </c>
    </row>
    <row r="12" spans="1:28" ht="15" customHeight="1" x14ac:dyDescent="0.3">
      <c r="A12" s="48"/>
      <c r="B12" s="64"/>
      <c r="C12" s="64"/>
      <c r="D12" s="64"/>
      <c r="E12" s="64"/>
      <c r="F12" s="64"/>
      <c r="G12" s="64"/>
      <c r="H12" s="64"/>
      <c r="I12" s="64"/>
      <c r="J12" s="65">
        <v>42360</v>
      </c>
      <c r="K12" s="180">
        <v>45.150002000000001</v>
      </c>
      <c r="L12" s="66">
        <f t="shared" si="0"/>
        <v>-5.725567055714512E-3</v>
      </c>
      <c r="M12" s="180">
        <v>2038.969971</v>
      </c>
      <c r="N12" s="67">
        <f t="shared" si="1"/>
        <v>8.8167364066983073E-3</v>
      </c>
      <c r="O12" s="13"/>
      <c r="P12" s="65">
        <v>42338</v>
      </c>
      <c r="Q12" s="180">
        <v>41</v>
      </c>
      <c r="R12" s="66">
        <f t="shared" si="2"/>
        <v>-6.5207499653271717E-2</v>
      </c>
      <c r="S12" s="180">
        <v>2091.6899410000001</v>
      </c>
      <c r="T12" s="66">
        <f t="shared" si="3"/>
        <v>7.5586161451929627E-4</v>
      </c>
      <c r="V12" s="65">
        <v>42219</v>
      </c>
      <c r="W12" s="180">
        <v>51.049999</v>
      </c>
      <c r="X12" s="66">
        <f t="shared" si="4"/>
        <v>-0.13664809510150355</v>
      </c>
      <c r="Y12" s="180">
        <v>1972.1800539999999</v>
      </c>
      <c r="Z12" s="66">
        <f t="shared" si="5"/>
        <v>-6.2580818167202831E-2</v>
      </c>
    </row>
    <row r="13" spans="1:28" ht="15" customHeight="1" x14ac:dyDescent="0.3">
      <c r="A13" s="48"/>
      <c r="B13" s="64"/>
      <c r="C13" s="64"/>
      <c r="D13" s="64"/>
      <c r="E13" s="64"/>
      <c r="F13" s="64"/>
      <c r="G13" s="64"/>
      <c r="H13" s="64"/>
      <c r="I13" s="64"/>
      <c r="J13" s="65">
        <v>42359</v>
      </c>
      <c r="K13" s="180">
        <v>45.41</v>
      </c>
      <c r="L13" s="66">
        <f t="shared" si="0"/>
        <v>-8.8010999163682583E-4</v>
      </c>
      <c r="M13" s="180">
        <v>2021.150024</v>
      </c>
      <c r="N13" s="67">
        <f t="shared" si="1"/>
        <v>7.7784022432042963E-3</v>
      </c>
      <c r="O13" s="13"/>
      <c r="P13" s="65">
        <v>42331</v>
      </c>
      <c r="Q13" s="180">
        <v>43.860000999999997</v>
      </c>
      <c r="R13" s="66">
        <f t="shared" si="2"/>
        <v>5.5849781996875743E-2</v>
      </c>
      <c r="S13" s="180">
        <v>2090.110107</v>
      </c>
      <c r="T13" s="66">
        <f t="shared" si="3"/>
        <v>4.5002801835279752E-4</v>
      </c>
      <c r="V13" s="65">
        <v>42186</v>
      </c>
      <c r="W13" s="180">
        <v>59.130001</v>
      </c>
      <c r="X13" s="66">
        <f t="shared" si="4"/>
        <v>-5.8739239095829357E-2</v>
      </c>
      <c r="Y13" s="180">
        <v>2103.8400879999999</v>
      </c>
      <c r="Z13" s="66">
        <f t="shared" si="5"/>
        <v>1.9742029696721345E-2</v>
      </c>
    </row>
    <row r="14" spans="1:28" ht="15" customHeight="1" x14ac:dyDescent="0.3">
      <c r="A14" s="48"/>
      <c r="B14" s="64"/>
      <c r="C14" s="64"/>
      <c r="D14" s="64"/>
      <c r="E14" s="64"/>
      <c r="F14" s="64"/>
      <c r="G14" s="64"/>
      <c r="H14" s="64"/>
      <c r="I14" s="64"/>
      <c r="J14" s="65">
        <v>42356</v>
      </c>
      <c r="K14" s="180">
        <v>45.450001</v>
      </c>
      <c r="L14" s="66">
        <f t="shared" si="0"/>
        <v>2.7583111010626351E-2</v>
      </c>
      <c r="M14" s="180">
        <v>2005.5500489999999</v>
      </c>
      <c r="N14" s="67">
        <f t="shared" si="1"/>
        <v>-1.7797220091700192E-2</v>
      </c>
      <c r="O14" s="13"/>
      <c r="P14" s="65">
        <v>42324</v>
      </c>
      <c r="Q14" s="180">
        <v>41.540000999999997</v>
      </c>
      <c r="R14" s="66">
        <f t="shared" si="2"/>
        <v>7.1170759957987634E-2</v>
      </c>
      <c r="S14" s="180">
        <v>2089.169922</v>
      </c>
      <c r="T14" s="66">
        <f t="shared" si="3"/>
        <v>3.2688370830608195E-2</v>
      </c>
      <c r="V14" s="65">
        <v>42156</v>
      </c>
      <c r="W14" s="180">
        <v>62.82</v>
      </c>
      <c r="X14" s="66">
        <f t="shared" si="4"/>
        <v>1.0130262262908222E-2</v>
      </c>
      <c r="Y14" s="180">
        <v>2063.110107</v>
      </c>
      <c r="Z14" s="66">
        <f t="shared" si="5"/>
        <v>-2.1011672375900521E-2</v>
      </c>
    </row>
    <row r="15" spans="1:28" ht="15" customHeight="1" x14ac:dyDescent="0.3">
      <c r="A15" s="49"/>
      <c r="B15" s="50"/>
      <c r="C15" s="50"/>
      <c r="D15" s="50"/>
      <c r="E15" s="50"/>
      <c r="F15" s="50"/>
      <c r="G15" s="50"/>
      <c r="H15" s="50"/>
      <c r="I15" s="50"/>
      <c r="J15" s="65">
        <v>42355</v>
      </c>
      <c r="K15" s="180">
        <v>44.23</v>
      </c>
      <c r="L15" s="66">
        <f t="shared" si="0"/>
        <v>5.684402000909505E-3</v>
      </c>
      <c r="M15" s="180">
        <v>2041.8900149999999</v>
      </c>
      <c r="N15" s="67">
        <f t="shared" si="1"/>
        <v>-1.5040520569611564E-2</v>
      </c>
      <c r="O15" s="13"/>
      <c r="P15" s="65">
        <v>42317</v>
      </c>
      <c r="Q15" s="180">
        <v>38.779998999999997</v>
      </c>
      <c r="R15" s="66">
        <f t="shared" si="2"/>
        <v>-0.17891172983273346</v>
      </c>
      <c r="S15" s="180">
        <v>2023.040039</v>
      </c>
      <c r="T15" s="66">
        <f t="shared" si="3"/>
        <v>-3.6280446731012751E-2</v>
      </c>
      <c r="V15" s="65">
        <v>42125</v>
      </c>
      <c r="W15" s="180">
        <v>62.189999</v>
      </c>
      <c r="X15" s="66">
        <f t="shared" si="4"/>
        <v>-1.207310544760754E-2</v>
      </c>
      <c r="Y15" s="180">
        <v>2107.389893</v>
      </c>
      <c r="Z15" s="66">
        <f t="shared" si="5"/>
        <v>1.0491382393316857E-2</v>
      </c>
    </row>
    <row r="16" spans="1:28" ht="15" customHeight="1" x14ac:dyDescent="0.3">
      <c r="A16" s="51"/>
      <c r="B16" s="52"/>
      <c r="C16" s="52"/>
      <c r="D16" s="52"/>
      <c r="E16" s="52"/>
      <c r="F16" s="52"/>
      <c r="G16" s="52"/>
      <c r="H16" s="52"/>
      <c r="I16" s="52"/>
      <c r="J16" s="65">
        <v>42354</v>
      </c>
      <c r="K16" s="180">
        <v>43.98</v>
      </c>
      <c r="L16" s="66">
        <f t="shared" si="0"/>
        <v>6.3603437175498712E-2</v>
      </c>
      <c r="M16" s="180">
        <v>2073.070068</v>
      </c>
      <c r="N16" s="67">
        <f t="shared" si="1"/>
        <v>1.4514969343641774E-2</v>
      </c>
      <c r="O16" s="13"/>
      <c r="P16" s="65">
        <v>42310</v>
      </c>
      <c r="Q16" s="180">
        <v>47.23</v>
      </c>
      <c r="R16" s="66">
        <f t="shared" si="2"/>
        <v>-4.854953764201337E-2</v>
      </c>
      <c r="S16" s="180">
        <v>2099.1999510000001</v>
      </c>
      <c r="T16" s="66">
        <f t="shared" si="3"/>
        <v>9.5413218389690333E-3</v>
      </c>
      <c r="V16" s="65">
        <v>42095</v>
      </c>
      <c r="W16" s="180">
        <v>62.950001</v>
      </c>
      <c r="X16" s="66">
        <f t="shared" si="4"/>
        <v>0.13280548857297103</v>
      </c>
      <c r="Y16" s="180">
        <v>2085.51001</v>
      </c>
      <c r="Z16" s="66">
        <f t="shared" si="5"/>
        <v>8.5208197301247391E-3</v>
      </c>
    </row>
    <row r="17" spans="1:26" ht="15" customHeight="1" x14ac:dyDescent="0.3">
      <c r="A17" s="57"/>
      <c r="B17" s="58"/>
      <c r="C17" s="58"/>
      <c r="D17" s="58"/>
      <c r="E17" s="58"/>
      <c r="F17" s="58"/>
      <c r="G17" s="58"/>
      <c r="H17" s="58"/>
      <c r="I17" s="58"/>
      <c r="J17" s="65">
        <v>42353</v>
      </c>
      <c r="K17" s="180">
        <v>41.349997999999999</v>
      </c>
      <c r="L17" s="66">
        <f t="shared" si="0"/>
        <v>2.0735621858090348E-2</v>
      </c>
      <c r="M17" s="180">
        <v>2043.410034</v>
      </c>
      <c r="N17" s="67">
        <f t="shared" si="1"/>
        <v>1.0618561196917325E-2</v>
      </c>
      <c r="O17" s="13"/>
      <c r="P17" s="65">
        <v>42303</v>
      </c>
      <c r="Q17" s="180">
        <v>49.639999000000003</v>
      </c>
      <c r="R17" s="66">
        <f t="shared" si="2"/>
        <v>7.6789612875905203E-2</v>
      </c>
      <c r="S17" s="180">
        <v>2079.360107</v>
      </c>
      <c r="T17" s="66">
        <f t="shared" si="3"/>
        <v>2.0288678885039216E-3</v>
      </c>
      <c r="V17" s="65">
        <v>42065</v>
      </c>
      <c r="W17" s="180">
        <v>55.57</v>
      </c>
      <c r="X17" s="66">
        <f t="shared" si="4"/>
        <v>-6.2426185253922774E-2</v>
      </c>
      <c r="Y17" s="180">
        <v>2067.889893</v>
      </c>
      <c r="Z17" s="66">
        <f t="shared" si="5"/>
        <v>-1.7396106913756221E-2</v>
      </c>
    </row>
    <row r="18" spans="1:26" ht="15" customHeight="1" x14ac:dyDescent="0.3">
      <c r="A18" s="57"/>
      <c r="B18" s="58"/>
      <c r="C18" s="58"/>
      <c r="D18" s="58"/>
      <c r="E18" s="58"/>
      <c r="F18" s="58"/>
      <c r="G18" s="58"/>
      <c r="H18" s="58"/>
      <c r="I18" s="58"/>
      <c r="J18" s="65">
        <v>42352</v>
      </c>
      <c r="K18" s="180">
        <v>40.509998000000003</v>
      </c>
      <c r="L18" s="66">
        <f t="shared" si="0"/>
        <v>6.4595776397516286E-3</v>
      </c>
      <c r="M18" s="180">
        <v>2021.9399410000001</v>
      </c>
      <c r="N18" s="67">
        <f t="shared" si="1"/>
        <v>4.7555598740678263E-3</v>
      </c>
      <c r="O18" s="13"/>
      <c r="P18" s="65">
        <v>42296</v>
      </c>
      <c r="Q18" s="180">
        <v>46.099997999999999</v>
      </c>
      <c r="R18" s="66">
        <f t="shared" si="2"/>
        <v>-7.7077135594051355E-2</v>
      </c>
      <c r="S18" s="180">
        <v>2075.1499020000001</v>
      </c>
      <c r="T18" s="66">
        <f t="shared" si="3"/>
        <v>2.0677640319591493E-2</v>
      </c>
      <c r="V18" s="65">
        <v>42037</v>
      </c>
      <c r="W18" s="180">
        <v>59.27</v>
      </c>
      <c r="X18" s="66">
        <f t="shared" si="4"/>
        <v>0.74992624003325192</v>
      </c>
      <c r="Y18" s="180">
        <v>2104.5</v>
      </c>
      <c r="Z18" s="66">
        <f t="shared" si="5"/>
        <v>5.4892511014553995E-2</v>
      </c>
    </row>
    <row r="19" spans="1:26" ht="15" customHeight="1" x14ac:dyDescent="0.3">
      <c r="A19" s="51"/>
      <c r="B19" s="52"/>
      <c r="C19" s="52"/>
      <c r="D19" s="52"/>
      <c r="E19" s="52"/>
      <c r="F19" s="52"/>
      <c r="G19" s="52"/>
      <c r="H19" s="52"/>
      <c r="I19" s="52"/>
      <c r="J19" s="65">
        <v>42349</v>
      </c>
      <c r="K19" s="180">
        <v>40.25</v>
      </c>
      <c r="L19" s="66">
        <f t="shared" si="0"/>
        <v>-4.9137772306271102E-2</v>
      </c>
      <c r="M19" s="180">
        <v>2012.369995</v>
      </c>
      <c r="N19" s="67">
        <f t="shared" si="1"/>
        <v>-1.9422767130611768E-2</v>
      </c>
      <c r="O19" s="13"/>
      <c r="P19" s="65">
        <v>42289</v>
      </c>
      <c r="Q19" s="180">
        <v>49.950001</v>
      </c>
      <c r="R19" s="66">
        <f t="shared" si="2"/>
        <v>-5.5944037044036977E-2</v>
      </c>
      <c r="S19" s="180">
        <v>2033.1099850000001</v>
      </c>
      <c r="T19" s="66">
        <f t="shared" si="3"/>
        <v>9.0426623112726586E-3</v>
      </c>
      <c r="V19" s="65">
        <v>42006</v>
      </c>
      <c r="W19" s="180">
        <v>33.869999</v>
      </c>
      <c r="X19" s="66">
        <f t="shared" si="4"/>
        <v>-0.14577560424839325</v>
      </c>
      <c r="Y19" s="180">
        <v>1994.98999</v>
      </c>
      <c r="Z19" s="66">
        <f t="shared" si="5"/>
        <v>-3.1040805790470173E-2</v>
      </c>
    </row>
    <row r="20" spans="1:26" ht="15" customHeight="1" x14ac:dyDescent="0.3">
      <c r="A20" s="57"/>
      <c r="B20" s="58"/>
      <c r="C20" s="58"/>
      <c r="D20" s="58"/>
      <c r="E20" s="58"/>
      <c r="F20" s="58"/>
      <c r="G20" s="58"/>
      <c r="H20" s="58"/>
      <c r="I20" s="58"/>
      <c r="J20" s="65">
        <v>42348</v>
      </c>
      <c r="K20" s="180">
        <v>42.330002</v>
      </c>
      <c r="L20" s="66">
        <f t="shared" si="0"/>
        <v>8.7895194037522592E-2</v>
      </c>
      <c r="M20" s="180">
        <v>2052.2299800000001</v>
      </c>
      <c r="N20" s="67">
        <f t="shared" si="1"/>
        <v>2.2513869815966765E-3</v>
      </c>
      <c r="O20" s="13"/>
      <c r="P20" s="65">
        <v>42282</v>
      </c>
      <c r="Q20" s="180">
        <v>52.91</v>
      </c>
      <c r="R20" s="66">
        <f t="shared" si="2"/>
        <v>-3.7657879162909511E-3</v>
      </c>
      <c r="S20" s="180">
        <v>2014.8900149999999</v>
      </c>
      <c r="T20" s="66">
        <f t="shared" si="3"/>
        <v>3.255679653592973E-2</v>
      </c>
      <c r="V20" s="65">
        <v>41974</v>
      </c>
      <c r="W20" s="180">
        <v>39.650002000000001</v>
      </c>
      <c r="X20" s="66">
        <f t="shared" si="4"/>
        <v>-4.0416214908034841E-2</v>
      </c>
      <c r="Y20" s="180">
        <v>2058.8999020000001</v>
      </c>
      <c r="Z20" s="66">
        <f t="shared" si="5"/>
        <v>-4.1885878779204062E-3</v>
      </c>
    </row>
    <row r="21" spans="1:26" ht="15" customHeight="1" x14ac:dyDescent="0.3">
      <c r="A21" s="57"/>
      <c r="B21" s="58"/>
      <c r="C21" s="58"/>
      <c r="D21" s="58"/>
      <c r="E21" s="58"/>
      <c r="F21" s="58"/>
      <c r="G21" s="58"/>
      <c r="H21" s="58"/>
      <c r="I21" s="58"/>
      <c r="J21" s="65">
        <v>42347</v>
      </c>
      <c r="K21" s="180">
        <v>38.909999999999997</v>
      </c>
      <c r="L21" s="66">
        <f t="shared" si="0"/>
        <v>-2.8221802491962978E-2</v>
      </c>
      <c r="M21" s="180">
        <v>2047.619995</v>
      </c>
      <c r="N21" s="67">
        <f t="shared" si="1"/>
        <v>-7.7389851273601904E-3</v>
      </c>
      <c r="O21" s="13"/>
      <c r="P21" s="65">
        <v>42275</v>
      </c>
      <c r="Q21" s="180">
        <v>53.110000999999997</v>
      </c>
      <c r="R21" s="66">
        <f t="shared" si="2"/>
        <v>5.9868288567785102E-2</v>
      </c>
      <c r="S21" s="180">
        <v>1951.3599850000001</v>
      </c>
      <c r="T21" s="66">
        <f t="shared" si="3"/>
        <v>1.036586999308233E-2</v>
      </c>
      <c r="V21" s="65">
        <v>41946</v>
      </c>
      <c r="W21" s="180">
        <v>41.32</v>
      </c>
      <c r="X21" s="66">
        <f t="shared" si="4"/>
        <v>0.17120184725628831</v>
      </c>
      <c r="Y21" s="180">
        <v>2067.5600589999999</v>
      </c>
      <c r="Z21" s="66">
        <f t="shared" si="5"/>
        <v>2.4533588760364766E-2</v>
      </c>
    </row>
    <row r="22" spans="1:26" ht="15" customHeight="1" x14ac:dyDescent="0.3">
      <c r="A22" s="48"/>
      <c r="B22" s="64"/>
      <c r="C22" s="64"/>
      <c r="D22" s="64"/>
      <c r="E22" s="64"/>
      <c r="F22" s="64"/>
      <c r="G22" s="64"/>
      <c r="H22" s="64"/>
      <c r="I22" s="64"/>
      <c r="J22" s="65">
        <v>42346</v>
      </c>
      <c r="K22" s="180">
        <v>40.040000999999997</v>
      </c>
      <c r="L22" s="66">
        <f t="shared" si="0"/>
        <v>1.6501701358255773E-2</v>
      </c>
      <c r="M22" s="180">
        <v>2063.5900879999999</v>
      </c>
      <c r="N22" s="67">
        <f t="shared" si="1"/>
        <v>-6.4899014278222552E-3</v>
      </c>
      <c r="O22" s="13"/>
      <c r="P22" s="65">
        <v>42268</v>
      </c>
      <c r="Q22" s="180">
        <v>50.110000999999997</v>
      </c>
      <c r="R22" s="66">
        <f t="shared" si="2"/>
        <v>5.1626419658912001E-2</v>
      </c>
      <c r="S22" s="180">
        <v>1931.339966</v>
      </c>
      <c r="T22" s="66">
        <f t="shared" si="3"/>
        <v>-1.3631079505778106E-2</v>
      </c>
      <c r="V22" s="65">
        <v>41913</v>
      </c>
      <c r="W22" s="180">
        <v>35.279998999999997</v>
      </c>
      <c r="X22" s="66">
        <f t="shared" si="4"/>
        <v>0.10215561400534899</v>
      </c>
      <c r="Y22" s="180">
        <v>2018.0500489999999</v>
      </c>
      <c r="Z22" s="66">
        <f t="shared" si="5"/>
        <v>2.3201460786772227E-2</v>
      </c>
    </row>
    <row r="23" spans="1:26" ht="15" customHeight="1" x14ac:dyDescent="0.3">
      <c r="A23" s="15"/>
      <c r="B23" s="23"/>
      <c r="C23" s="23"/>
      <c r="D23" s="23"/>
      <c r="E23" s="23"/>
      <c r="F23" s="23"/>
      <c r="G23" s="23"/>
      <c r="H23" s="23"/>
      <c r="I23" s="23"/>
      <c r="J23" s="65">
        <v>42345</v>
      </c>
      <c r="K23" s="180">
        <v>39.389999000000003</v>
      </c>
      <c r="L23" s="66">
        <f t="shared" si="0"/>
        <v>-3.9268317073170654E-2</v>
      </c>
      <c r="M23" s="180">
        <v>2077.070068</v>
      </c>
      <c r="N23" s="67">
        <f t="shared" si="1"/>
        <v>-6.989502943734861E-3</v>
      </c>
      <c r="O23" s="13"/>
      <c r="P23" s="65">
        <v>42261</v>
      </c>
      <c r="Q23" s="180">
        <v>47.650002000000001</v>
      </c>
      <c r="R23" s="66">
        <f t="shared" si="2"/>
        <v>-1.7120420792079132E-2</v>
      </c>
      <c r="S23" s="180">
        <v>1958.030029</v>
      </c>
      <c r="T23" s="66">
        <f t="shared" si="3"/>
        <v>-1.5400014913132549E-3</v>
      </c>
      <c r="V23" s="65">
        <v>41906</v>
      </c>
      <c r="W23" s="180">
        <v>32.009998000000003</v>
      </c>
      <c r="X23" s="196"/>
      <c r="Y23" s="180">
        <v>1972.290039</v>
      </c>
      <c r="Z23" s="196"/>
    </row>
    <row r="24" spans="1:26" ht="15" customHeight="1" x14ac:dyDescent="0.3">
      <c r="A24" s="15"/>
      <c r="B24" s="23"/>
      <c r="C24" s="23"/>
      <c r="D24" s="23"/>
      <c r="E24" s="23"/>
      <c r="F24" s="23"/>
      <c r="G24" s="23"/>
      <c r="H24" s="23"/>
      <c r="I24" s="23"/>
      <c r="J24" s="65">
        <v>42342</v>
      </c>
      <c r="K24" s="180">
        <v>41</v>
      </c>
      <c r="L24" s="66">
        <f t="shared" si="0"/>
        <v>1.6612892803724622E-2</v>
      </c>
      <c r="M24" s="180">
        <v>2091.6899410000001</v>
      </c>
      <c r="N24" s="67">
        <f t="shared" si="1"/>
        <v>2.0525668952536026E-2</v>
      </c>
      <c r="O24" s="13"/>
      <c r="P24" s="65">
        <v>42255</v>
      </c>
      <c r="Q24" s="180">
        <v>48.48</v>
      </c>
      <c r="R24" s="66">
        <f t="shared" si="2"/>
        <v>4.2356527299786027E-2</v>
      </c>
      <c r="S24" s="180">
        <v>1961.0500489999999</v>
      </c>
      <c r="T24" s="66">
        <f t="shared" si="3"/>
        <v>2.0731659362914233E-2</v>
      </c>
      <c r="V24" s="197"/>
      <c r="W24" s="198"/>
      <c r="X24" s="196"/>
      <c r="Y24" s="199"/>
      <c r="Z24" s="196"/>
    </row>
    <row r="25" spans="1:26" ht="15" customHeight="1" x14ac:dyDescent="0.3">
      <c r="A25" s="15"/>
      <c r="B25" s="23"/>
      <c r="C25" s="23"/>
      <c r="D25" s="23"/>
      <c r="E25" s="23"/>
      <c r="F25" s="23"/>
      <c r="G25" s="23"/>
      <c r="H25" s="23"/>
      <c r="I25" s="23"/>
      <c r="J25" s="65">
        <v>42341</v>
      </c>
      <c r="K25" s="180">
        <v>40.330002</v>
      </c>
      <c r="L25" s="66">
        <f t="shared" si="0"/>
        <v>-4.1587450494893034E-2</v>
      </c>
      <c r="M25" s="180">
        <v>2049.6201169999999</v>
      </c>
      <c r="N25" s="67">
        <f t="shared" si="1"/>
        <v>-1.4373526867514348E-2</v>
      </c>
      <c r="O25" s="13"/>
      <c r="P25" s="65">
        <v>42247</v>
      </c>
      <c r="Q25" s="180">
        <v>46.509998000000003</v>
      </c>
      <c r="R25" s="66">
        <f t="shared" si="2"/>
        <v>-0.11206572905563704</v>
      </c>
      <c r="S25" s="180">
        <v>1921.219971</v>
      </c>
      <c r="T25" s="66">
        <f t="shared" si="3"/>
        <v>-3.401430167385075E-2</v>
      </c>
      <c r="V25" s="197"/>
      <c r="W25" s="198"/>
      <c r="X25" s="196"/>
      <c r="Y25" s="199"/>
      <c r="Z25" s="196"/>
    </row>
    <row r="26" spans="1:26" ht="15" customHeight="1" x14ac:dyDescent="0.3">
      <c r="A26" s="15"/>
      <c r="B26" s="23"/>
      <c r="C26" s="23"/>
      <c r="D26" s="23"/>
      <c r="E26" s="23"/>
      <c r="F26" s="23"/>
      <c r="G26" s="23"/>
      <c r="H26" s="23"/>
      <c r="I26" s="23"/>
      <c r="J26" s="65">
        <v>42340</v>
      </c>
      <c r="K26" s="180">
        <v>42.080002</v>
      </c>
      <c r="L26" s="66">
        <f t="shared" si="0"/>
        <v>-2.4571094681759328E-2</v>
      </c>
      <c r="M26" s="180">
        <v>2079.51001</v>
      </c>
      <c r="N26" s="67">
        <f t="shared" si="1"/>
        <v>-1.099569314929217E-2</v>
      </c>
      <c r="O26" s="13"/>
      <c r="P26" s="65">
        <v>42240</v>
      </c>
      <c r="Q26" s="180">
        <v>52.380001</v>
      </c>
      <c r="R26" s="66">
        <f t="shared" si="2"/>
        <v>4.0253595562721777E-3</v>
      </c>
      <c r="S26" s="180">
        <v>1988.869995</v>
      </c>
      <c r="T26" s="66">
        <f t="shared" si="3"/>
        <v>9.1227718762378878E-3</v>
      </c>
      <c r="V26" s="197"/>
      <c r="W26" s="198"/>
      <c r="X26" s="196"/>
      <c r="Y26" s="199"/>
      <c r="Z26" s="196"/>
    </row>
    <row r="27" spans="1:26" ht="15" customHeight="1" x14ac:dyDescent="0.3">
      <c r="A27" s="15"/>
      <c r="B27" s="23"/>
      <c r="C27" s="23"/>
      <c r="D27" s="23"/>
      <c r="E27" s="23"/>
      <c r="F27" s="23"/>
      <c r="G27" s="23"/>
      <c r="H27" s="23"/>
      <c r="I27" s="23"/>
      <c r="J27" s="65">
        <v>42339</v>
      </c>
      <c r="K27" s="180">
        <v>43.139999000000003</v>
      </c>
      <c r="L27" s="66">
        <f t="shared" si="0"/>
        <v>-3.4650495850067904E-3</v>
      </c>
      <c r="M27" s="180">
        <v>2102.6298830000001</v>
      </c>
      <c r="N27" s="67">
        <f t="shared" si="1"/>
        <v>1.0680573511899315E-2</v>
      </c>
      <c r="O27" s="13"/>
      <c r="P27" s="65">
        <v>42233</v>
      </c>
      <c r="Q27" s="180">
        <v>52.169998</v>
      </c>
      <c r="R27" s="66">
        <f t="shared" si="2"/>
        <v>-0.11124366079653049</v>
      </c>
      <c r="S27" s="180">
        <v>1970.8900149999999</v>
      </c>
      <c r="T27" s="66">
        <f t="shared" si="3"/>
        <v>-5.768477856043569E-2</v>
      </c>
      <c r="V27" s="197"/>
      <c r="W27" s="198"/>
      <c r="X27" s="196"/>
      <c r="Y27" s="199"/>
      <c r="Z27" s="196"/>
    </row>
    <row r="28" spans="1:26" ht="15" customHeight="1" x14ac:dyDescent="0.3">
      <c r="A28" s="15"/>
      <c r="B28" s="23"/>
      <c r="C28" s="23"/>
      <c r="D28" s="23"/>
      <c r="E28" s="23"/>
      <c r="F28" s="23"/>
      <c r="G28" s="23"/>
      <c r="H28" s="23"/>
      <c r="I28" s="23"/>
      <c r="J28" s="65">
        <v>42338</v>
      </c>
      <c r="K28" s="180">
        <v>43.290000999999997</v>
      </c>
      <c r="L28" s="66">
        <f t="shared" si="0"/>
        <v>-1.2995895736527692E-2</v>
      </c>
      <c r="M28" s="180">
        <v>2080.4099120000001</v>
      </c>
      <c r="N28" s="67">
        <f t="shared" si="1"/>
        <v>-4.6409971261862784E-3</v>
      </c>
      <c r="O28" s="13"/>
      <c r="P28" s="65">
        <v>42226</v>
      </c>
      <c r="Q28" s="180">
        <v>58.700001</v>
      </c>
      <c r="R28" s="66">
        <f t="shared" si="2"/>
        <v>-2.6856747347480104E-2</v>
      </c>
      <c r="S28" s="180">
        <v>2091.540039</v>
      </c>
      <c r="T28" s="66">
        <f t="shared" si="3"/>
        <v>6.7241876532464495E-3</v>
      </c>
      <c r="V28" s="197"/>
      <c r="W28" s="198"/>
      <c r="X28" s="196"/>
      <c r="Y28" s="199"/>
      <c r="Z28" s="196"/>
    </row>
    <row r="29" spans="1:26" ht="15" customHeight="1" x14ac:dyDescent="0.3">
      <c r="A29" s="15"/>
      <c r="B29" s="23"/>
      <c r="C29" s="23"/>
      <c r="D29" s="23"/>
      <c r="E29" s="23"/>
      <c r="F29" s="23"/>
      <c r="G29" s="23"/>
      <c r="H29" s="23"/>
      <c r="I29" s="23"/>
      <c r="J29" s="65">
        <v>42335</v>
      </c>
      <c r="K29" s="180">
        <v>43.860000999999997</v>
      </c>
      <c r="L29" s="66">
        <f t="shared" si="0"/>
        <v>-1.2606866844073311E-2</v>
      </c>
      <c r="M29" s="180">
        <v>2090.110107</v>
      </c>
      <c r="N29" s="67">
        <f t="shared" si="1"/>
        <v>5.9361756861211026E-4</v>
      </c>
      <c r="O29" s="13"/>
      <c r="P29" s="65">
        <v>42219</v>
      </c>
      <c r="Q29" s="180">
        <v>60.32</v>
      </c>
      <c r="R29" s="66">
        <f t="shared" si="2"/>
        <v>2.0125130726786226E-2</v>
      </c>
      <c r="S29" s="180">
        <v>2077.570068</v>
      </c>
      <c r="T29" s="66">
        <f t="shared" si="3"/>
        <v>-1.2486699987247288E-2</v>
      </c>
      <c r="V29" s="197"/>
      <c r="W29" s="198"/>
      <c r="X29" s="196"/>
      <c r="Y29" s="199"/>
      <c r="Z29" s="196"/>
    </row>
    <row r="30" spans="1:26" ht="15" customHeight="1" x14ac:dyDescent="0.3">
      <c r="A30" s="15"/>
      <c r="B30" s="23"/>
      <c r="C30" s="23"/>
      <c r="D30" s="23"/>
      <c r="E30" s="23"/>
      <c r="F30" s="23"/>
      <c r="G30" s="23"/>
      <c r="H30" s="23"/>
      <c r="I30" s="23"/>
      <c r="J30" s="65">
        <v>42333</v>
      </c>
      <c r="K30" s="180">
        <v>44.419998</v>
      </c>
      <c r="L30" s="66">
        <f t="shared" si="0"/>
        <v>4.5422356063904233E-2</v>
      </c>
      <c r="M30" s="180">
        <v>2088.8701169999999</v>
      </c>
      <c r="N30" s="67">
        <f t="shared" si="1"/>
        <v>-1.2913256833782199E-4</v>
      </c>
      <c r="O30" s="13"/>
      <c r="P30" s="65">
        <v>42212</v>
      </c>
      <c r="Q30" s="180">
        <v>59.130001</v>
      </c>
      <c r="R30" s="66">
        <f t="shared" si="2"/>
        <v>-6.1577481719647137E-2</v>
      </c>
      <c r="S30" s="180">
        <v>2103.8400879999999</v>
      </c>
      <c r="T30" s="66">
        <f t="shared" si="3"/>
        <v>1.1631854946708146E-2</v>
      </c>
      <c r="V30" s="197"/>
      <c r="W30" s="198"/>
      <c r="X30" s="196"/>
      <c r="Y30" s="199"/>
      <c r="Z30" s="196"/>
    </row>
    <row r="31" spans="1:26" ht="15" customHeight="1" x14ac:dyDescent="0.3">
      <c r="A31" s="15"/>
      <c r="B31" s="23"/>
      <c r="C31" s="23"/>
      <c r="D31" s="23"/>
      <c r="E31" s="23"/>
      <c r="F31" s="23"/>
      <c r="G31" s="23"/>
      <c r="H31" s="23"/>
      <c r="I31" s="23"/>
      <c r="J31" s="65">
        <v>42332</v>
      </c>
      <c r="K31" s="180">
        <v>42.490001999999997</v>
      </c>
      <c r="L31" s="66">
        <f t="shared" si="0"/>
        <v>3.8621412857492064E-2</v>
      </c>
      <c r="M31" s="180">
        <v>2089.139893</v>
      </c>
      <c r="N31" s="67">
        <f t="shared" si="1"/>
        <v>1.2219961240418323E-3</v>
      </c>
      <c r="O31" s="13"/>
      <c r="P31" s="65">
        <v>42205</v>
      </c>
      <c r="Q31" s="180">
        <v>63.009998000000003</v>
      </c>
      <c r="R31" s="66">
        <f t="shared" si="2"/>
        <v>0.10816033928666316</v>
      </c>
      <c r="S31" s="180">
        <v>2079.6499020000001</v>
      </c>
      <c r="T31" s="66">
        <f t="shared" si="3"/>
        <v>-2.209588522940396E-2</v>
      </c>
      <c r="V31" s="197"/>
      <c r="W31" s="198"/>
      <c r="X31" s="196"/>
      <c r="Y31" s="199"/>
      <c r="Z31" s="196"/>
    </row>
    <row r="32" spans="1:26" ht="15" customHeight="1" x14ac:dyDescent="0.3">
      <c r="A32" s="15"/>
      <c r="B32" s="23"/>
      <c r="C32" s="23"/>
      <c r="D32" s="23"/>
      <c r="E32" s="23"/>
      <c r="F32" s="23"/>
      <c r="G32" s="23"/>
      <c r="H32" s="23"/>
      <c r="I32" s="23"/>
      <c r="J32" s="65">
        <v>42331</v>
      </c>
      <c r="K32" s="180">
        <v>40.909999999999997</v>
      </c>
      <c r="L32" s="66">
        <f t="shared" si="0"/>
        <v>-1.5166128667161084E-2</v>
      </c>
      <c r="M32" s="180">
        <v>2086.5900879999999</v>
      </c>
      <c r="N32" s="67">
        <f t="shared" si="1"/>
        <v>-1.2348607802712369E-3</v>
      </c>
      <c r="O32" s="13"/>
      <c r="P32" s="65">
        <v>42198</v>
      </c>
      <c r="Q32" s="180">
        <v>56.860000999999997</v>
      </c>
      <c r="R32" s="66">
        <f t="shared" si="2"/>
        <v>-2.8864184950712003E-2</v>
      </c>
      <c r="S32" s="180">
        <v>2126.639893</v>
      </c>
      <c r="T32" s="66">
        <f t="shared" si="3"/>
        <v>2.4087109428690995E-2</v>
      </c>
      <c r="V32" s="197"/>
      <c r="W32" s="198"/>
      <c r="X32" s="196"/>
      <c r="Y32" s="199"/>
      <c r="Z32" s="196"/>
    </row>
    <row r="33" spans="1:26" ht="15" customHeight="1" x14ac:dyDescent="0.3">
      <c r="A33" s="15"/>
      <c r="B33" s="23"/>
      <c r="C33" s="23"/>
      <c r="D33" s="23"/>
      <c r="E33" s="23"/>
      <c r="F33" s="23"/>
      <c r="G33" s="23"/>
      <c r="H33" s="23"/>
      <c r="I33" s="23"/>
      <c r="J33" s="65">
        <v>42328</v>
      </c>
      <c r="K33" s="180">
        <v>41.540000999999997</v>
      </c>
      <c r="L33" s="66">
        <f t="shared" si="0"/>
        <v>3.4105129903167955E-2</v>
      </c>
      <c r="M33" s="180">
        <v>2089.169922</v>
      </c>
      <c r="N33" s="67">
        <f t="shared" si="1"/>
        <v>3.8101958630921791E-3</v>
      </c>
      <c r="O33" s="13"/>
      <c r="P33" s="65">
        <v>42191</v>
      </c>
      <c r="Q33" s="180">
        <v>58.549999</v>
      </c>
      <c r="R33" s="66">
        <f t="shared" si="2"/>
        <v>-3.0308081644450459E-2</v>
      </c>
      <c r="S33" s="180">
        <v>2076.6201169999999</v>
      </c>
      <c r="T33" s="66">
        <f t="shared" si="3"/>
        <v>-7.6999970033935961E-5</v>
      </c>
      <c r="V33" s="197"/>
      <c r="W33" s="198"/>
      <c r="X33" s="196"/>
      <c r="Y33" s="199"/>
      <c r="Z33" s="196"/>
    </row>
    <row r="34" spans="1:26" x14ac:dyDescent="0.3">
      <c r="A34" s="15"/>
      <c r="B34" s="23"/>
      <c r="C34" s="23"/>
      <c r="D34" s="23"/>
      <c r="E34" s="23"/>
      <c r="F34" s="23"/>
      <c r="G34" s="23"/>
      <c r="H34" s="23"/>
      <c r="I34" s="23"/>
      <c r="J34" s="65">
        <v>42327</v>
      </c>
      <c r="K34" s="180">
        <v>40.169998</v>
      </c>
      <c r="L34" s="66">
        <f t="shared" si="0"/>
        <v>2.6053536344646903E-2</v>
      </c>
      <c r="M34" s="180">
        <v>2081.23999</v>
      </c>
      <c r="N34" s="67">
        <f t="shared" si="1"/>
        <v>-1.1231092218188907E-3</v>
      </c>
      <c r="O34" s="13"/>
      <c r="P34" s="65">
        <v>42184</v>
      </c>
      <c r="Q34" s="180">
        <v>60.380001</v>
      </c>
      <c r="R34" s="66">
        <f t="shared" si="2"/>
        <v>-8.2091792065852778E-2</v>
      </c>
      <c r="S34" s="180">
        <v>2076.780029</v>
      </c>
      <c r="T34" s="66">
        <f t="shared" si="3"/>
        <v>-1.1758305353621989E-2</v>
      </c>
      <c r="V34" s="197"/>
      <c r="W34" s="198"/>
      <c r="X34" s="196"/>
      <c r="Y34" s="199"/>
      <c r="Z34" s="196"/>
    </row>
    <row r="35" spans="1:26" x14ac:dyDescent="0.3">
      <c r="A35" s="15"/>
      <c r="B35" s="23"/>
      <c r="C35" s="23"/>
      <c r="D35" s="23"/>
      <c r="E35" s="23"/>
      <c r="F35" s="23"/>
      <c r="G35" s="23"/>
      <c r="H35" s="23"/>
      <c r="I35" s="23"/>
      <c r="J35" s="65">
        <v>42326</v>
      </c>
      <c r="K35" s="180">
        <v>39.150002000000001</v>
      </c>
      <c r="L35" s="66">
        <f t="shared" si="0"/>
        <v>2.8368846861045453E-2</v>
      </c>
      <c r="M35" s="180">
        <v>2083.580078</v>
      </c>
      <c r="N35" s="67">
        <f t="shared" si="1"/>
        <v>1.6162451938893374E-2</v>
      </c>
      <c r="O35" s="13"/>
      <c r="P35" s="65">
        <v>42177</v>
      </c>
      <c r="Q35" s="180">
        <v>65.779999000000004</v>
      </c>
      <c r="R35" s="66">
        <f t="shared" si="2"/>
        <v>-0.10161160746228333</v>
      </c>
      <c r="S35" s="180">
        <v>2101.48999</v>
      </c>
      <c r="T35" s="66">
        <f t="shared" si="3"/>
        <v>-4.0284551302539589E-3</v>
      </c>
      <c r="V35" s="197"/>
      <c r="W35" s="198"/>
      <c r="X35" s="196"/>
      <c r="Y35" s="199"/>
      <c r="Z35" s="196"/>
    </row>
    <row r="36" spans="1:26" x14ac:dyDescent="0.3">
      <c r="A36" s="15"/>
      <c r="B36" s="23"/>
      <c r="C36" s="23"/>
      <c r="D36" s="23"/>
      <c r="E36" s="23"/>
      <c r="F36" s="23"/>
      <c r="G36" s="23"/>
      <c r="H36" s="23"/>
      <c r="I36" s="23"/>
      <c r="J36" s="65">
        <v>42325</v>
      </c>
      <c r="K36" s="180">
        <v>38.07</v>
      </c>
      <c r="L36" s="66">
        <f t="shared" si="0"/>
        <v>-1.4751527296882248E-2</v>
      </c>
      <c r="M36" s="180">
        <v>2050.4399410000001</v>
      </c>
      <c r="N36" s="67">
        <f t="shared" si="1"/>
        <v>-1.3393792484004772E-3</v>
      </c>
      <c r="O36" s="13"/>
      <c r="P36" s="65">
        <v>42170</v>
      </c>
      <c r="Q36" s="180">
        <v>73.220000999999996</v>
      </c>
      <c r="R36" s="66">
        <f t="shared" si="2"/>
        <v>0.10188117841450016</v>
      </c>
      <c r="S36" s="180">
        <v>2109.98999</v>
      </c>
      <c r="T36" s="66">
        <f t="shared" si="3"/>
        <v>7.5831175003254325E-3</v>
      </c>
      <c r="V36" s="197"/>
      <c r="W36" s="198"/>
      <c r="X36" s="196"/>
      <c r="Y36" s="199"/>
      <c r="Z36" s="196"/>
    </row>
    <row r="37" spans="1:26" x14ac:dyDescent="0.3">
      <c r="A37" s="15"/>
      <c r="B37" s="23"/>
      <c r="C37" s="23"/>
      <c r="D37" s="23"/>
      <c r="E37" s="23"/>
      <c r="F37" s="23"/>
      <c r="G37" s="23"/>
      <c r="H37" s="23"/>
      <c r="I37" s="23"/>
      <c r="J37" s="65">
        <v>42324</v>
      </c>
      <c r="K37" s="180">
        <v>38.639999000000003</v>
      </c>
      <c r="L37" s="66">
        <f t="shared" si="0"/>
        <v>-3.6101083963409456E-3</v>
      </c>
      <c r="M37" s="180">
        <v>2053.1899410000001</v>
      </c>
      <c r="N37" s="67">
        <f t="shared" si="1"/>
        <v>1.4903265095486383E-2</v>
      </c>
      <c r="O37" s="13"/>
      <c r="P37" s="65">
        <v>42163</v>
      </c>
      <c r="Q37" s="180">
        <v>66.449996999999996</v>
      </c>
      <c r="R37" s="66">
        <f t="shared" si="2"/>
        <v>3.170274854174909E-3</v>
      </c>
      <c r="S37" s="180">
        <v>2094.110107</v>
      </c>
      <c r="T37" s="66">
        <f t="shared" si="3"/>
        <v>6.1162586177243062E-4</v>
      </c>
      <c r="V37" s="197"/>
      <c r="W37" s="198"/>
      <c r="X37" s="196"/>
      <c r="Y37" s="199"/>
      <c r="Z37" s="196"/>
    </row>
    <row r="38" spans="1:26" x14ac:dyDescent="0.3">
      <c r="A38" s="15"/>
      <c r="B38" s="23"/>
      <c r="C38" s="23"/>
      <c r="D38" s="23"/>
      <c r="E38" s="23"/>
      <c r="F38" s="23"/>
      <c r="G38" s="23"/>
      <c r="H38" s="23"/>
      <c r="I38" s="23"/>
      <c r="J38" s="65">
        <v>42321</v>
      </c>
      <c r="K38" s="180">
        <v>38.779998999999997</v>
      </c>
      <c r="L38" s="66">
        <f t="shared" si="0"/>
        <v>-3.6761030142127837E-2</v>
      </c>
      <c r="M38" s="180">
        <v>2023.040039</v>
      </c>
      <c r="N38" s="67">
        <f t="shared" si="1"/>
        <v>-1.1207364880723368E-2</v>
      </c>
      <c r="O38" s="13"/>
      <c r="P38" s="65">
        <v>42156</v>
      </c>
      <c r="Q38" s="180">
        <v>66.239998</v>
      </c>
      <c r="R38" s="66">
        <f t="shared" si="2"/>
        <v>6.5122995097652278E-2</v>
      </c>
      <c r="S38" s="180">
        <v>2092.830078</v>
      </c>
      <c r="T38" s="66">
        <f t="shared" si="3"/>
        <v>-6.9089327268592304E-3</v>
      </c>
      <c r="V38" s="197"/>
      <c r="W38" s="198"/>
      <c r="X38" s="196"/>
      <c r="Y38" s="199"/>
      <c r="Z38" s="196"/>
    </row>
    <row r="39" spans="1:26" x14ac:dyDescent="0.3">
      <c r="A39" s="15"/>
      <c r="B39" s="23"/>
      <c r="C39" s="23"/>
      <c r="D39" s="23"/>
      <c r="E39" s="23"/>
      <c r="F39" s="23"/>
      <c r="G39" s="23"/>
      <c r="H39" s="23"/>
      <c r="I39" s="23"/>
      <c r="J39" s="65">
        <v>42320</v>
      </c>
      <c r="K39" s="180">
        <v>40.259998000000003</v>
      </c>
      <c r="L39" s="66">
        <f t="shared" si="0"/>
        <v>2.2404780801832105E-3</v>
      </c>
      <c r="M39" s="180">
        <v>2045.969971</v>
      </c>
      <c r="N39" s="67">
        <f t="shared" si="1"/>
        <v>-1.3990375421686753E-2</v>
      </c>
      <c r="O39" s="13"/>
      <c r="P39" s="65">
        <v>42150</v>
      </c>
      <c r="Q39" s="180">
        <v>62.189999</v>
      </c>
      <c r="R39" s="66">
        <f t="shared" si="2"/>
        <v>-2.1246490065368374E-2</v>
      </c>
      <c r="S39" s="180">
        <v>2107.389893</v>
      </c>
      <c r="T39" s="66">
        <f t="shared" si="3"/>
        <v>-8.7815797681564372E-3</v>
      </c>
      <c r="V39" s="197"/>
      <c r="W39" s="198"/>
      <c r="X39" s="196"/>
      <c r="Y39" s="199"/>
      <c r="Z39" s="196"/>
    </row>
    <row r="40" spans="1:26" x14ac:dyDescent="0.3">
      <c r="A40" s="15"/>
      <c r="B40" s="23"/>
      <c r="C40" s="23"/>
      <c r="D40" s="23"/>
      <c r="E40" s="23"/>
      <c r="F40" s="23"/>
      <c r="G40" s="23"/>
      <c r="H40" s="23"/>
      <c r="I40" s="23"/>
      <c r="J40" s="65">
        <v>42319</v>
      </c>
      <c r="K40" s="180">
        <v>40.169998</v>
      </c>
      <c r="L40" s="66">
        <f t="shared" si="0"/>
        <v>-8.1481975308642061E-3</v>
      </c>
      <c r="M40" s="180">
        <v>2075</v>
      </c>
      <c r="N40" s="67">
        <f t="shared" si="1"/>
        <v>-3.2280859546982687E-3</v>
      </c>
      <c r="O40" s="13"/>
      <c r="P40" s="65">
        <v>42142</v>
      </c>
      <c r="Q40" s="180">
        <v>63.540000999999997</v>
      </c>
      <c r="R40" s="66">
        <f t="shared" si="2"/>
        <v>5.4956018595384355E-2</v>
      </c>
      <c r="S40" s="180">
        <v>2126.0600589999999</v>
      </c>
      <c r="T40" s="66">
        <f t="shared" si="3"/>
        <v>1.568771832204415E-3</v>
      </c>
      <c r="V40" s="197"/>
      <c r="W40" s="198"/>
      <c r="X40" s="196"/>
      <c r="Y40" s="199"/>
      <c r="Z40" s="196"/>
    </row>
    <row r="41" spans="1:26" x14ac:dyDescent="0.3">
      <c r="A41" s="15"/>
      <c r="B41" s="23"/>
      <c r="C41" s="23"/>
      <c r="D41" s="23"/>
      <c r="E41" s="23"/>
      <c r="F41" s="23"/>
      <c r="G41" s="23"/>
      <c r="H41" s="23"/>
      <c r="I41" s="23"/>
      <c r="J41" s="65">
        <v>42318</v>
      </c>
      <c r="K41" s="180">
        <v>40.5</v>
      </c>
      <c r="L41" s="66">
        <f t="shared" si="0"/>
        <v>-9.5578363009789183E-2</v>
      </c>
      <c r="M41" s="180">
        <v>2081.719971</v>
      </c>
      <c r="N41" s="67">
        <f t="shared" si="1"/>
        <v>1.5105951573543511E-3</v>
      </c>
      <c r="O41" s="13"/>
      <c r="P41" s="65">
        <v>42135</v>
      </c>
      <c r="Q41" s="180">
        <v>60.23</v>
      </c>
      <c r="R41" s="66">
        <f t="shared" si="2"/>
        <v>-8.9218165245040101E-2</v>
      </c>
      <c r="S41" s="180">
        <v>2122.7299800000001</v>
      </c>
      <c r="T41" s="66">
        <f t="shared" si="3"/>
        <v>3.1330663451442173E-3</v>
      </c>
      <c r="V41" s="197"/>
      <c r="W41" s="198"/>
      <c r="X41" s="196"/>
      <c r="Y41" s="200"/>
      <c r="Z41" s="196"/>
    </row>
    <row r="42" spans="1:26" x14ac:dyDescent="0.3">
      <c r="A42" s="15"/>
      <c r="B42" s="23"/>
      <c r="C42" s="23"/>
      <c r="D42" s="23"/>
      <c r="E42" s="23"/>
      <c r="F42" s="23"/>
      <c r="G42" s="23"/>
      <c r="H42" s="23"/>
      <c r="I42" s="23"/>
      <c r="J42" s="65">
        <v>42317</v>
      </c>
      <c r="K42" s="180">
        <v>44.779998999999997</v>
      </c>
      <c r="L42" s="66">
        <f t="shared" si="0"/>
        <v>-5.1873830192674157E-2</v>
      </c>
      <c r="M42" s="180">
        <v>2078.580078</v>
      </c>
      <c r="N42" s="67">
        <f t="shared" si="1"/>
        <v>-9.8227293641929472E-3</v>
      </c>
      <c r="O42" s="13"/>
      <c r="P42" s="65">
        <v>42128</v>
      </c>
      <c r="Q42" s="180">
        <v>66.129997000000003</v>
      </c>
      <c r="R42" s="66">
        <f t="shared" si="2"/>
        <v>-1.1805155762258147E-2</v>
      </c>
      <c r="S42" s="180">
        <v>2116.1000979999999</v>
      </c>
      <c r="T42" s="66">
        <f t="shared" si="3"/>
        <v>3.7044518806835336E-3</v>
      </c>
      <c r="V42" s="197"/>
      <c r="W42" s="198"/>
      <c r="X42" s="196"/>
      <c r="Y42" s="201"/>
      <c r="Z42" s="196"/>
    </row>
    <row r="43" spans="1:26" x14ac:dyDescent="0.3">
      <c r="A43" s="15"/>
      <c r="B43" s="23"/>
      <c r="C43" s="23"/>
      <c r="D43" s="23"/>
      <c r="E43" s="23"/>
      <c r="F43" s="23"/>
      <c r="G43" s="23"/>
      <c r="H43" s="23"/>
      <c r="I43" s="23"/>
      <c r="J43" s="65">
        <v>42314</v>
      </c>
      <c r="K43" s="180">
        <v>47.23</v>
      </c>
      <c r="L43" s="66">
        <f t="shared" si="0"/>
        <v>-4.1015228426396003E-2</v>
      </c>
      <c r="M43" s="180">
        <v>2099.1999510000001</v>
      </c>
      <c r="N43" s="67">
        <f t="shared" si="1"/>
        <v>-3.4762159864291725E-4</v>
      </c>
      <c r="O43" s="13"/>
      <c r="P43" s="65">
        <v>42121</v>
      </c>
      <c r="Q43" s="180">
        <v>66.919998000000007</v>
      </c>
      <c r="R43" s="66">
        <f t="shared" si="2"/>
        <v>2.0964211155499284E-3</v>
      </c>
      <c r="S43" s="180">
        <v>2108.290039</v>
      </c>
      <c r="T43" s="66">
        <f t="shared" si="3"/>
        <v>-4.4387527267383429E-3</v>
      </c>
      <c r="V43" s="197"/>
      <c r="W43" s="198"/>
      <c r="X43" s="196"/>
      <c r="Y43" s="201"/>
      <c r="Z43" s="196"/>
    </row>
    <row r="44" spans="1:26" x14ac:dyDescent="0.3">
      <c r="A44" s="15"/>
      <c r="B44" s="23"/>
      <c r="C44" s="23"/>
      <c r="D44" s="23"/>
      <c r="E44" s="23"/>
      <c r="F44" s="23"/>
      <c r="G44" s="23"/>
      <c r="H44" s="23"/>
      <c r="I44" s="23"/>
      <c r="J44" s="65">
        <v>42313</v>
      </c>
      <c r="K44" s="180">
        <v>49.25</v>
      </c>
      <c r="L44" s="66">
        <f t="shared" si="0"/>
        <v>-4.5542598664441797E-2</v>
      </c>
      <c r="M44" s="180">
        <v>2099.929932</v>
      </c>
      <c r="N44" s="67">
        <f t="shared" si="1"/>
        <v>-1.1321484144598778E-3</v>
      </c>
      <c r="O44" s="13"/>
      <c r="P44" s="65">
        <v>42114</v>
      </c>
      <c r="Q44" s="180">
        <v>66.779999000000004</v>
      </c>
      <c r="R44" s="66">
        <f t="shared" si="2"/>
        <v>0.10016471004670993</v>
      </c>
      <c r="S44" s="180">
        <v>2117.6899410000001</v>
      </c>
      <c r="T44" s="66">
        <f t="shared" si="3"/>
        <v>1.7542937272566436E-2</v>
      </c>
      <c r="V44" s="197"/>
      <c r="W44" s="198"/>
      <c r="X44" s="196"/>
      <c r="Y44" s="201"/>
      <c r="Z44" s="196"/>
    </row>
    <row r="45" spans="1:26" x14ac:dyDescent="0.3">
      <c r="A45" s="15"/>
      <c r="B45" s="23"/>
      <c r="C45" s="23"/>
      <c r="D45" s="23"/>
      <c r="E45" s="23"/>
      <c r="F45" s="23"/>
      <c r="G45" s="23"/>
      <c r="H45" s="23"/>
      <c r="I45" s="23"/>
      <c r="J45" s="65">
        <v>42312</v>
      </c>
      <c r="K45" s="180">
        <v>51.599997999999999</v>
      </c>
      <c r="L45" s="66">
        <f t="shared" si="0"/>
        <v>1.7751419768216554E-2</v>
      </c>
      <c r="M45" s="180">
        <v>2102.3100589999999</v>
      </c>
      <c r="N45" s="67">
        <f t="shared" si="1"/>
        <v>-3.5453670089111975E-3</v>
      </c>
      <c r="O45" s="13"/>
      <c r="P45" s="65">
        <v>42107</v>
      </c>
      <c r="Q45" s="180">
        <v>60.700001</v>
      </c>
      <c r="R45" s="66">
        <f t="shared" si="2"/>
        <v>3.2488517902899916E-2</v>
      </c>
      <c r="S45" s="180">
        <v>2081.179932</v>
      </c>
      <c r="T45" s="66">
        <f t="shared" si="3"/>
        <v>-9.9331733699050805E-3</v>
      </c>
      <c r="V45" s="197"/>
      <c r="W45" s="198"/>
      <c r="X45" s="196"/>
      <c r="Y45" s="201"/>
      <c r="Z45" s="196"/>
    </row>
    <row r="46" spans="1:26" x14ac:dyDescent="0.3">
      <c r="A46" s="15"/>
      <c r="B46" s="23"/>
      <c r="C46" s="23"/>
      <c r="D46" s="23"/>
      <c r="E46" s="23"/>
      <c r="F46" s="23"/>
      <c r="G46" s="23"/>
      <c r="H46" s="23"/>
      <c r="I46" s="23"/>
      <c r="J46" s="65">
        <v>42311</v>
      </c>
      <c r="K46" s="180">
        <v>50.700001</v>
      </c>
      <c r="L46" s="66">
        <f t="shared" si="0"/>
        <v>-1.9716032729566923E-4</v>
      </c>
      <c r="M46" s="180">
        <v>2109.790039</v>
      </c>
      <c r="N46" s="67">
        <f t="shared" si="1"/>
        <v>2.7280672352485635E-3</v>
      </c>
      <c r="O46" s="13"/>
      <c r="P46" s="65">
        <v>42100</v>
      </c>
      <c r="Q46" s="180">
        <v>58.790000999999997</v>
      </c>
      <c r="R46" s="66">
        <f t="shared" si="2"/>
        <v>9.2547851838917394E-2</v>
      </c>
      <c r="S46" s="180">
        <v>2102.0600589999999</v>
      </c>
      <c r="T46" s="66">
        <f t="shared" si="3"/>
        <v>1.6981508428938499E-2</v>
      </c>
      <c r="V46" s="197"/>
      <c r="W46" s="198"/>
      <c r="X46" s="196"/>
      <c r="Y46" s="201"/>
      <c r="Z46" s="196"/>
    </row>
    <row r="47" spans="1:26" x14ac:dyDescent="0.3">
      <c r="A47" s="15"/>
      <c r="B47" s="23"/>
      <c r="C47" s="23"/>
      <c r="D47" s="23"/>
      <c r="E47" s="23"/>
      <c r="F47" s="23"/>
      <c r="G47" s="23"/>
      <c r="H47" s="23"/>
      <c r="I47" s="23"/>
      <c r="J47" s="65">
        <v>42310</v>
      </c>
      <c r="K47" s="180">
        <v>50.709999000000003</v>
      </c>
      <c r="L47" s="66">
        <f t="shared" si="0"/>
        <v>2.1555197855664749E-2</v>
      </c>
      <c r="M47" s="180">
        <v>2104.0500489999999</v>
      </c>
      <c r="N47" s="67">
        <f t="shared" si="1"/>
        <v>1.1873817294504811E-2</v>
      </c>
      <c r="O47" s="13"/>
      <c r="P47" s="65">
        <v>42093</v>
      </c>
      <c r="Q47" s="180">
        <v>53.810001</v>
      </c>
      <c r="R47" s="66">
        <f t="shared" si="2"/>
        <v>3.0250832854681275E-2</v>
      </c>
      <c r="S47" s="180">
        <v>2066.959961</v>
      </c>
      <c r="T47" s="66">
        <f t="shared" si="3"/>
        <v>2.8820394476323863E-3</v>
      </c>
      <c r="V47" s="197"/>
      <c r="W47" s="198"/>
      <c r="X47" s="196"/>
      <c r="Y47" s="201"/>
      <c r="Z47" s="196"/>
    </row>
    <row r="48" spans="1:26" x14ac:dyDescent="0.3">
      <c r="A48" s="15"/>
      <c r="B48" s="23"/>
      <c r="C48" s="23"/>
      <c r="D48" s="23"/>
      <c r="E48" s="23"/>
      <c r="F48" s="23"/>
      <c r="G48" s="23"/>
      <c r="H48" s="23"/>
      <c r="I48" s="23"/>
      <c r="J48" s="65">
        <v>42307</v>
      </c>
      <c r="K48" s="180">
        <v>49.639999000000003</v>
      </c>
      <c r="L48" s="66">
        <f t="shared" si="0"/>
        <v>2.8169014667958188E-2</v>
      </c>
      <c r="M48" s="180">
        <v>2079.360107</v>
      </c>
      <c r="N48" s="67">
        <f t="shared" si="1"/>
        <v>-4.8098771534879677E-3</v>
      </c>
      <c r="O48" s="13"/>
      <c r="P48" s="65">
        <v>42086</v>
      </c>
      <c r="Q48" s="180">
        <v>52.23</v>
      </c>
      <c r="R48" s="66">
        <f t="shared" si="2"/>
        <v>7.2704889560585045E-2</v>
      </c>
      <c r="S48" s="180">
        <v>2061.0200199999999</v>
      </c>
      <c r="T48" s="66">
        <f t="shared" si="3"/>
        <v>-2.2332942370557187E-2</v>
      </c>
      <c r="V48" s="197"/>
      <c r="W48" s="198"/>
      <c r="X48" s="196"/>
      <c r="Y48" s="201"/>
      <c r="Z48" s="196"/>
    </row>
    <row r="49" spans="1:26" x14ac:dyDescent="0.3">
      <c r="A49" s="15"/>
      <c r="B49" s="23"/>
      <c r="C49" s="23"/>
      <c r="D49" s="23"/>
      <c r="E49" s="23"/>
      <c r="F49" s="23"/>
      <c r="G49" s="23"/>
      <c r="H49" s="23"/>
      <c r="I49" s="23"/>
      <c r="J49" s="65">
        <v>42306</v>
      </c>
      <c r="K49" s="180">
        <v>48.279998999999997</v>
      </c>
      <c r="L49" s="66">
        <f t="shared" si="0"/>
        <v>-2.9157470339835116E-2</v>
      </c>
      <c r="M49" s="180">
        <v>2089.4099120000001</v>
      </c>
      <c r="N49" s="67">
        <f t="shared" si="1"/>
        <v>-4.497744186006742E-4</v>
      </c>
      <c r="O49" s="13"/>
      <c r="P49" s="65">
        <v>42079</v>
      </c>
      <c r="Q49" s="180">
        <v>48.689999</v>
      </c>
      <c r="R49" s="66">
        <f t="shared" si="2"/>
        <v>-2.6978456695074735E-2</v>
      </c>
      <c r="S49" s="180">
        <v>2108.1000979999999</v>
      </c>
      <c r="T49" s="66">
        <f t="shared" si="3"/>
        <v>2.6638842218080411E-2</v>
      </c>
      <c r="V49" s="197"/>
      <c r="W49" s="198"/>
      <c r="X49" s="196"/>
      <c r="Y49" s="201"/>
      <c r="Z49" s="196"/>
    </row>
    <row r="50" spans="1:26" x14ac:dyDescent="0.3">
      <c r="A50" s="15"/>
      <c r="B50" s="23"/>
      <c r="C50" s="23"/>
      <c r="D50" s="23"/>
      <c r="E50" s="23"/>
      <c r="F50" s="23"/>
      <c r="G50" s="23"/>
      <c r="H50" s="23"/>
      <c r="I50" s="23"/>
      <c r="J50" s="65">
        <v>42305</v>
      </c>
      <c r="K50" s="180">
        <v>49.73</v>
      </c>
      <c r="L50" s="66">
        <f t="shared" si="0"/>
        <v>5.3601672593184831E-2</v>
      </c>
      <c r="M50" s="180">
        <v>2090.3500979999999</v>
      </c>
      <c r="N50" s="67">
        <f t="shared" si="1"/>
        <v>1.1840033238402537E-2</v>
      </c>
      <c r="O50" s="13"/>
      <c r="P50" s="65">
        <v>42072</v>
      </c>
      <c r="Q50" s="180">
        <v>50.040000999999997</v>
      </c>
      <c r="R50" s="66">
        <f t="shared" si="2"/>
        <v>-0.16293071533841946</v>
      </c>
      <c r="S50" s="180">
        <v>2053.3999020000001</v>
      </c>
      <c r="T50" s="66">
        <f t="shared" si="3"/>
        <v>-8.6228227811919449E-3</v>
      </c>
      <c r="V50" s="197"/>
      <c r="W50" s="198"/>
      <c r="X50" s="196"/>
      <c r="Y50" s="201"/>
      <c r="Z50" s="196"/>
    </row>
    <row r="51" spans="1:26" x14ac:dyDescent="0.3">
      <c r="A51" s="15"/>
      <c r="B51" s="23"/>
      <c r="C51" s="23"/>
      <c r="D51" s="23"/>
      <c r="E51" s="23"/>
      <c r="F51" s="23"/>
      <c r="G51" s="23"/>
      <c r="H51" s="23"/>
      <c r="I51" s="23"/>
      <c r="J51" s="65">
        <v>42304</v>
      </c>
      <c r="K51" s="180">
        <v>47.200001</v>
      </c>
      <c r="L51" s="66">
        <f t="shared" si="0"/>
        <v>-8.8197817895796192E-3</v>
      </c>
      <c r="M51" s="180">
        <v>2065.889893</v>
      </c>
      <c r="N51" s="67">
        <f t="shared" si="1"/>
        <v>-2.5541185091011104E-3</v>
      </c>
      <c r="O51" s="13"/>
      <c r="P51" s="65">
        <v>42065</v>
      </c>
      <c r="Q51" s="180">
        <v>59.779998999999997</v>
      </c>
      <c r="R51" s="66">
        <f t="shared" si="2"/>
        <v>8.6046735279229521E-3</v>
      </c>
      <c r="S51" s="180">
        <v>2071.26001</v>
      </c>
      <c r="T51" s="66">
        <f t="shared" si="3"/>
        <v>-1.5794720836303178E-2</v>
      </c>
      <c r="V51" s="197"/>
      <c r="W51" s="198"/>
      <c r="X51" s="196"/>
      <c r="Y51" s="201"/>
      <c r="Z51" s="196"/>
    </row>
    <row r="52" spans="1:26" x14ac:dyDescent="0.3">
      <c r="A52" s="15"/>
      <c r="B52" s="23"/>
      <c r="C52" s="23"/>
      <c r="D52" s="23"/>
      <c r="E52" s="23"/>
      <c r="F52" s="23"/>
      <c r="G52" s="23"/>
      <c r="H52" s="23"/>
      <c r="I52" s="23"/>
      <c r="J52" s="65">
        <v>42303</v>
      </c>
      <c r="K52" s="180">
        <v>47.619999</v>
      </c>
      <c r="L52" s="66">
        <f t="shared" si="0"/>
        <v>3.297182355626134E-2</v>
      </c>
      <c r="M52" s="180">
        <v>2071.179932</v>
      </c>
      <c r="N52" s="67">
        <f t="shared" si="1"/>
        <v>-1.9131003481598617E-3</v>
      </c>
      <c r="O52" s="13"/>
      <c r="P52" s="65">
        <v>42058</v>
      </c>
      <c r="Q52" s="180">
        <v>59.27</v>
      </c>
      <c r="R52" s="66">
        <f t="shared" si="2"/>
        <v>-0.15749819921814348</v>
      </c>
      <c r="S52" s="180">
        <v>2104.5</v>
      </c>
      <c r="T52" s="66">
        <f t="shared" si="3"/>
        <v>-2.7484475502658461E-3</v>
      </c>
      <c r="V52" s="197"/>
      <c r="W52" s="198"/>
      <c r="X52" s="196"/>
      <c r="Y52" s="201"/>
      <c r="Z52" s="196"/>
    </row>
    <row r="53" spans="1:26" x14ac:dyDescent="0.3">
      <c r="A53" s="15"/>
      <c r="B53" s="23"/>
      <c r="C53" s="23"/>
      <c r="D53" s="23"/>
      <c r="E53" s="23"/>
      <c r="F53" s="23"/>
      <c r="G53" s="23"/>
      <c r="H53" s="23"/>
      <c r="I53" s="23"/>
      <c r="J53" s="65">
        <v>42300</v>
      </c>
      <c r="K53" s="180">
        <v>46.099997999999999</v>
      </c>
      <c r="L53" s="66">
        <f t="shared" si="0"/>
        <v>-2.6193536121673088E-2</v>
      </c>
      <c r="M53" s="180">
        <v>2075.1499020000001</v>
      </c>
      <c r="N53" s="67">
        <f t="shared" si="1"/>
        <v>1.1030344256396657E-2</v>
      </c>
      <c r="O53" s="13"/>
      <c r="P53" s="65">
        <v>42052</v>
      </c>
      <c r="Q53" s="180">
        <v>70.349997999999999</v>
      </c>
      <c r="R53" s="66">
        <f t="shared" si="2"/>
        <v>0.33948968012185826</v>
      </c>
      <c r="S53" s="180">
        <v>2110.3000489999999</v>
      </c>
      <c r="T53" s="66">
        <f t="shared" si="3"/>
        <v>6.3472210470589367E-3</v>
      </c>
      <c r="V53" s="197"/>
      <c r="W53" s="198"/>
      <c r="X53" s="196"/>
      <c r="Y53" s="201"/>
      <c r="Z53" s="196"/>
    </row>
    <row r="54" spans="1:26" x14ac:dyDescent="0.3">
      <c r="A54" s="15"/>
      <c r="B54" s="23"/>
      <c r="C54" s="23"/>
      <c r="D54" s="23"/>
      <c r="E54" s="23"/>
      <c r="F54" s="23"/>
      <c r="G54" s="23"/>
      <c r="H54" s="23"/>
      <c r="I54" s="23"/>
      <c r="J54" s="65">
        <v>42299</v>
      </c>
      <c r="K54" s="180">
        <v>47.34</v>
      </c>
      <c r="L54" s="66">
        <f t="shared" si="0"/>
        <v>2.0038784744667245E-2</v>
      </c>
      <c r="M54" s="180">
        <v>2052.51001</v>
      </c>
      <c r="N54" s="67">
        <f t="shared" si="1"/>
        <v>1.6627571884764589E-2</v>
      </c>
      <c r="O54" s="13"/>
      <c r="P54" s="65">
        <v>42044</v>
      </c>
      <c r="Q54" s="180">
        <v>52.52</v>
      </c>
      <c r="R54" s="66">
        <f t="shared" si="2"/>
        <v>0.41677906663069875</v>
      </c>
      <c r="S54" s="180">
        <v>2096.98999</v>
      </c>
      <c r="T54" s="66">
        <f t="shared" si="3"/>
        <v>2.0199769194292963E-2</v>
      </c>
      <c r="V54" s="197"/>
      <c r="W54" s="198"/>
      <c r="X54" s="196"/>
      <c r="Y54" s="201"/>
      <c r="Z54" s="196"/>
    </row>
    <row r="55" spans="1:26" x14ac:dyDescent="0.3">
      <c r="A55" s="15"/>
      <c r="B55" s="23"/>
      <c r="C55" s="23"/>
      <c r="D55" s="23"/>
      <c r="E55" s="23"/>
      <c r="F55" s="23"/>
      <c r="G55" s="23"/>
      <c r="H55" s="23"/>
      <c r="I55" s="23"/>
      <c r="J55" s="65">
        <v>42298</v>
      </c>
      <c r="K55" s="180">
        <v>46.41</v>
      </c>
      <c r="L55" s="66">
        <f t="shared" si="0"/>
        <v>-6.2802907915993661E-2</v>
      </c>
      <c r="M55" s="180">
        <v>2018.9399410000001</v>
      </c>
      <c r="N55" s="67">
        <f t="shared" si="1"/>
        <v>-5.8254154254255936E-3</v>
      </c>
      <c r="O55" s="13"/>
      <c r="P55" s="65">
        <v>42037</v>
      </c>
      <c r="Q55" s="180">
        <v>37.07</v>
      </c>
      <c r="R55" s="66">
        <f t="shared" si="2"/>
        <v>9.4478922187154493E-2</v>
      </c>
      <c r="S55" s="180">
        <v>2055.469971</v>
      </c>
      <c r="T55" s="66">
        <f t="shared" si="3"/>
        <v>3.0315932061393425E-2</v>
      </c>
      <c r="V55" s="197"/>
      <c r="W55" s="198"/>
      <c r="X55" s="196"/>
      <c r="Y55" s="201"/>
      <c r="Z55" s="196"/>
    </row>
    <row r="56" spans="1:26" x14ac:dyDescent="0.3">
      <c r="A56" s="15"/>
      <c r="B56" s="23"/>
      <c r="C56" s="23"/>
      <c r="D56" s="23"/>
      <c r="E56" s="23"/>
      <c r="F56" s="23"/>
      <c r="G56" s="23"/>
      <c r="H56" s="23"/>
      <c r="I56" s="23"/>
      <c r="J56" s="65">
        <v>42297</v>
      </c>
      <c r="K56" s="180">
        <v>49.52</v>
      </c>
      <c r="L56" s="66">
        <f t="shared" si="0"/>
        <v>-1.8628597277617866E-2</v>
      </c>
      <c r="M56" s="180">
        <v>2030.7700199999999</v>
      </c>
      <c r="N56" s="67">
        <f t="shared" si="1"/>
        <v>-1.4210900306260651E-3</v>
      </c>
      <c r="O56" s="13"/>
      <c r="P56" s="65">
        <v>42030</v>
      </c>
      <c r="Q56" s="180">
        <v>33.869999</v>
      </c>
      <c r="R56" s="66">
        <f t="shared" si="2"/>
        <v>-8.4347197385931397E-2</v>
      </c>
      <c r="S56" s="180">
        <v>1994.98999</v>
      </c>
      <c r="T56" s="66">
        <f t="shared" si="3"/>
        <v>-2.7697398464084016E-2</v>
      </c>
      <c r="V56" s="197"/>
      <c r="W56" s="198"/>
      <c r="X56" s="66"/>
      <c r="Y56" s="201"/>
      <c r="Z56" s="67"/>
    </row>
    <row r="57" spans="1:26" x14ac:dyDescent="0.3">
      <c r="A57" s="15"/>
      <c r="B57" s="23"/>
      <c r="C57" s="23"/>
      <c r="D57" s="23"/>
      <c r="E57" s="23"/>
      <c r="F57" s="23"/>
      <c r="G57" s="23"/>
      <c r="H57" s="23"/>
      <c r="I57" s="23"/>
      <c r="J57" s="65">
        <v>42296</v>
      </c>
      <c r="K57" s="180">
        <v>50.459999000000003</v>
      </c>
      <c r="L57" s="66">
        <f t="shared" si="0"/>
        <v>1.0210169965762425E-2</v>
      </c>
      <c r="M57" s="180">
        <v>2033.660034</v>
      </c>
      <c r="N57" s="67">
        <f t="shared" si="1"/>
        <v>2.7054561930152761E-4</v>
      </c>
      <c r="O57" s="13"/>
      <c r="P57" s="65">
        <v>42024</v>
      </c>
      <c r="Q57" s="180">
        <v>36.990001999999997</v>
      </c>
      <c r="R57" s="66">
        <f t="shared" si="2"/>
        <v>9.2769435592389947E-3</v>
      </c>
      <c r="S57" s="180">
        <v>2051.820068</v>
      </c>
      <c r="T57" s="66">
        <f t="shared" si="3"/>
        <v>1.6044222248989437E-2</v>
      </c>
      <c r="V57" s="69"/>
      <c r="W57" s="70"/>
      <c r="X57" s="53"/>
      <c r="Y57" s="71"/>
      <c r="Z57" s="53"/>
    </row>
    <row r="58" spans="1:26" x14ac:dyDescent="0.3">
      <c r="A58" s="15"/>
      <c r="B58" s="23"/>
      <c r="C58" s="23"/>
      <c r="D58" s="23"/>
      <c r="E58" s="23"/>
      <c r="F58" s="23"/>
      <c r="G58" s="23"/>
      <c r="H58" s="23"/>
      <c r="I58" s="23"/>
      <c r="J58" s="65">
        <v>42293</v>
      </c>
      <c r="K58" s="180">
        <v>49.950001</v>
      </c>
      <c r="L58" s="66">
        <f t="shared" si="0"/>
        <v>-1.3994202319072932E-3</v>
      </c>
      <c r="M58" s="180">
        <v>2033.1099850000001</v>
      </c>
      <c r="N58" s="67">
        <f t="shared" si="1"/>
        <v>4.5704742761639213E-3</v>
      </c>
      <c r="O58" s="13"/>
      <c r="P58" s="65">
        <v>42016</v>
      </c>
      <c r="Q58" s="180">
        <v>36.650002000000001</v>
      </c>
      <c r="R58" s="66">
        <f t="shared" si="2"/>
        <v>-1.1063113570881963E-2</v>
      </c>
      <c r="S58" s="180">
        <v>2019.420044</v>
      </c>
      <c r="T58" s="66">
        <f t="shared" si="3"/>
        <v>-1.2416808538401243E-2</v>
      </c>
      <c r="V58" s="69"/>
      <c r="W58" s="70"/>
      <c r="X58" s="53"/>
      <c r="Y58" s="71"/>
      <c r="Z58" s="53"/>
    </row>
    <row r="59" spans="1:26" x14ac:dyDescent="0.3">
      <c r="A59" s="15"/>
      <c r="B59" s="23"/>
      <c r="C59" s="23"/>
      <c r="D59" s="23"/>
      <c r="E59" s="23"/>
      <c r="F59" s="23"/>
      <c r="G59" s="23"/>
      <c r="H59" s="23"/>
      <c r="I59" s="23"/>
      <c r="J59" s="65">
        <v>42292</v>
      </c>
      <c r="K59" s="180">
        <v>50.02</v>
      </c>
      <c r="L59" s="66">
        <f t="shared" si="0"/>
        <v>4.2300435828279533E-2</v>
      </c>
      <c r="M59" s="180">
        <v>2023.8599850000001</v>
      </c>
      <c r="N59" s="67">
        <f t="shared" si="1"/>
        <v>1.4852773562122789E-2</v>
      </c>
      <c r="O59" s="13"/>
      <c r="P59" s="65">
        <v>42009</v>
      </c>
      <c r="Q59" s="180">
        <v>37.060001</v>
      </c>
      <c r="R59" s="66">
        <f t="shared" si="2"/>
        <v>-4.6810698384498507E-2</v>
      </c>
      <c r="S59" s="180">
        <v>2044.8100589999999</v>
      </c>
      <c r="T59" s="66">
        <f t="shared" si="3"/>
        <v>-6.5056322606044728E-3</v>
      </c>
      <c r="V59" s="69"/>
      <c r="W59" s="70"/>
      <c r="X59" s="53"/>
      <c r="Y59" s="71"/>
      <c r="Z59" s="53"/>
    </row>
    <row r="60" spans="1:26" x14ac:dyDescent="0.3">
      <c r="A60" s="15"/>
      <c r="B60" s="23"/>
      <c r="C60" s="23"/>
      <c r="D60" s="23"/>
      <c r="E60" s="23"/>
      <c r="F60" s="23"/>
      <c r="G60" s="23"/>
      <c r="H60" s="23"/>
      <c r="I60" s="23"/>
      <c r="J60" s="65">
        <v>42291</v>
      </c>
      <c r="K60" s="180">
        <v>47.990001999999997</v>
      </c>
      <c r="L60" s="66">
        <f t="shared" si="0"/>
        <v>-3.8854356098538011E-2</v>
      </c>
      <c r="M60" s="180">
        <v>1994.23999</v>
      </c>
      <c r="N60" s="67">
        <f t="shared" si="1"/>
        <v>-4.7162741133909072E-3</v>
      </c>
      <c r="O60" s="13"/>
      <c r="P60" s="65">
        <v>42002</v>
      </c>
      <c r="Q60" s="180">
        <v>38.880001</v>
      </c>
      <c r="R60" s="66">
        <f t="shared" si="2"/>
        <v>-7.052356822741726E-2</v>
      </c>
      <c r="S60" s="180">
        <v>2058.1999510000001</v>
      </c>
      <c r="T60" s="66">
        <f t="shared" si="3"/>
        <v>-1.4635440334403055E-2</v>
      </c>
      <c r="V60" s="69"/>
      <c r="W60" s="70"/>
      <c r="X60" s="53"/>
      <c r="Y60" s="71"/>
      <c r="Z60" s="53"/>
    </row>
    <row r="61" spans="1:26" x14ac:dyDescent="0.3">
      <c r="A61" s="15"/>
      <c r="B61" s="23"/>
      <c r="C61" s="23"/>
      <c r="D61" s="23"/>
      <c r="E61" s="23"/>
      <c r="F61" s="23"/>
      <c r="G61" s="23"/>
      <c r="H61" s="23"/>
      <c r="I61" s="23"/>
      <c r="J61" s="65">
        <v>42290</v>
      </c>
      <c r="K61" s="180">
        <v>49.93</v>
      </c>
      <c r="L61" s="66">
        <f t="shared" si="0"/>
        <v>-1.8092390092129398E-2</v>
      </c>
      <c r="M61" s="180">
        <v>2003.6899410000001</v>
      </c>
      <c r="N61" s="67">
        <f t="shared" si="1"/>
        <v>-6.8254241800042997E-3</v>
      </c>
      <c r="O61" s="13"/>
      <c r="P61" s="65">
        <v>41995</v>
      </c>
      <c r="Q61" s="180">
        <v>41.830002</v>
      </c>
      <c r="R61" s="66">
        <f t="shared" si="2"/>
        <v>-2.8605243656609201E-3</v>
      </c>
      <c r="S61" s="180">
        <v>2088.7700199999999</v>
      </c>
      <c r="T61" s="66">
        <f t="shared" si="3"/>
        <v>8.7509327301046654E-3</v>
      </c>
      <c r="V61" s="69"/>
      <c r="W61" s="70"/>
      <c r="X61" s="53"/>
      <c r="Y61" s="71"/>
      <c r="Z61" s="53"/>
    </row>
    <row r="62" spans="1:26" x14ac:dyDescent="0.3">
      <c r="A62" s="15"/>
      <c r="B62" s="23"/>
      <c r="C62" s="23"/>
      <c r="D62" s="23"/>
      <c r="E62" s="23"/>
      <c r="F62" s="23"/>
      <c r="G62" s="23"/>
      <c r="H62" s="23"/>
      <c r="I62" s="23"/>
      <c r="J62" s="65">
        <v>42289</v>
      </c>
      <c r="K62" s="180">
        <v>50.849997999999999</v>
      </c>
      <c r="L62" s="66">
        <f t="shared" si="0"/>
        <v>-3.8934076734076686E-2</v>
      </c>
      <c r="M62" s="180">
        <v>2017.459961</v>
      </c>
      <c r="N62" s="67">
        <f t="shared" si="1"/>
        <v>1.275477063694751E-3</v>
      </c>
      <c r="O62" s="13"/>
      <c r="P62" s="65">
        <v>41988</v>
      </c>
      <c r="Q62" s="180">
        <v>41.950001</v>
      </c>
      <c r="R62" s="66">
        <f t="shared" si="2"/>
        <v>0.10452872564507645</v>
      </c>
      <c r="S62" s="180">
        <v>2070.6499020000001</v>
      </c>
      <c r="T62" s="66">
        <f t="shared" si="3"/>
        <v>3.4120223690046053E-2</v>
      </c>
      <c r="V62" s="69"/>
      <c r="W62" s="70"/>
      <c r="X62" s="53"/>
      <c r="Y62" s="71"/>
      <c r="Z62" s="53"/>
    </row>
    <row r="63" spans="1:26" x14ac:dyDescent="0.3">
      <c r="A63" s="15"/>
      <c r="B63" s="23"/>
      <c r="C63" s="23"/>
      <c r="D63" s="23"/>
      <c r="E63" s="23"/>
      <c r="F63" s="23"/>
      <c r="G63" s="23"/>
      <c r="H63" s="23"/>
      <c r="I63" s="23"/>
      <c r="J63" s="65">
        <v>42286</v>
      </c>
      <c r="K63" s="180">
        <v>52.91</v>
      </c>
      <c r="L63" s="66">
        <f t="shared" si="0"/>
        <v>-8.6190558107374776E-3</v>
      </c>
      <c r="M63" s="180">
        <v>2014.8900149999999</v>
      </c>
      <c r="N63" s="67">
        <f t="shared" si="1"/>
        <v>7.2511135765534833E-4</v>
      </c>
      <c r="O63" s="13"/>
      <c r="P63" s="65">
        <v>41981</v>
      </c>
      <c r="Q63" s="180">
        <v>37.979999999999997</v>
      </c>
      <c r="R63" s="66">
        <f t="shared" si="2"/>
        <v>-7.5912363791355963E-2</v>
      </c>
      <c r="S63" s="180">
        <v>2002.329956</v>
      </c>
      <c r="T63" s="66">
        <f t="shared" si="3"/>
        <v>-3.5193800084960897E-2</v>
      </c>
      <c r="V63" s="69"/>
      <c r="W63" s="70"/>
      <c r="X63" s="53"/>
      <c r="Y63" s="71"/>
      <c r="Z63" s="53"/>
    </row>
    <row r="64" spans="1:26" x14ac:dyDescent="0.3">
      <c r="J64" s="65">
        <v>42285</v>
      </c>
      <c r="K64" s="180">
        <v>53.369999</v>
      </c>
      <c r="L64" s="66">
        <f t="shared" si="0"/>
        <v>9.6480891099491855E-3</v>
      </c>
      <c r="M64" s="180">
        <v>2013.4300539999999</v>
      </c>
      <c r="N64" s="67">
        <f t="shared" si="1"/>
        <v>8.8184356322988707E-3</v>
      </c>
      <c r="P64" s="65">
        <v>41974</v>
      </c>
      <c r="Q64" s="180">
        <v>41.099997999999999</v>
      </c>
      <c r="R64" s="66">
        <f t="shared" si="2"/>
        <v>-5.324346563407573E-3</v>
      </c>
      <c r="S64" s="180">
        <v>2075.3701169999999</v>
      </c>
      <c r="T64" s="66">
        <f t="shared" si="3"/>
        <v>3.7774273912881901E-3</v>
      </c>
      <c r="V64" s="69"/>
      <c r="W64" s="70"/>
      <c r="X64" s="53"/>
      <c r="Y64" s="71"/>
      <c r="Z64" s="53"/>
    </row>
    <row r="65" spans="10:26" x14ac:dyDescent="0.3">
      <c r="J65" s="65">
        <v>42284</v>
      </c>
      <c r="K65" s="180">
        <v>52.860000999999997</v>
      </c>
      <c r="L65" s="66">
        <f t="shared" si="0"/>
        <v>1.2643677918703423E-2</v>
      </c>
      <c r="M65" s="180">
        <v>1995.829956</v>
      </c>
      <c r="N65" s="67">
        <f t="shared" si="1"/>
        <v>8.0356335844035103E-3</v>
      </c>
      <c r="P65" s="65">
        <v>41967</v>
      </c>
      <c r="Q65" s="180">
        <v>41.32</v>
      </c>
      <c r="R65" s="66">
        <f t="shared" si="2"/>
        <v>-3.4804974660009924E-2</v>
      </c>
      <c r="S65" s="180">
        <v>2067.5600589999999</v>
      </c>
      <c r="T65" s="66">
        <f t="shared" si="3"/>
        <v>1.9675594863096243E-3</v>
      </c>
      <c r="V65" s="69"/>
      <c r="W65" s="70"/>
      <c r="X65" s="53"/>
      <c r="Y65" s="71"/>
      <c r="Z65" s="53"/>
    </row>
    <row r="66" spans="10:26" x14ac:dyDescent="0.3">
      <c r="J66" s="65">
        <v>42283</v>
      </c>
      <c r="K66" s="180">
        <v>52.200001</v>
      </c>
      <c r="L66" s="66">
        <f t="shared" si="0"/>
        <v>-2.5755896761631328E-2</v>
      </c>
      <c r="M66" s="180">
        <v>1979.920044</v>
      </c>
      <c r="N66" s="67">
        <f t="shared" si="1"/>
        <v>-3.588236241753558E-3</v>
      </c>
      <c r="P66" s="65">
        <v>41960</v>
      </c>
      <c r="Q66" s="180">
        <v>42.810001</v>
      </c>
      <c r="R66" s="66">
        <f t="shared" si="2"/>
        <v>-3.515884685956383E-2</v>
      </c>
      <c r="S66" s="180">
        <v>2063.5</v>
      </c>
      <c r="T66" s="66">
        <f t="shared" si="3"/>
        <v>1.1608894229334065E-2</v>
      </c>
      <c r="V66" s="69"/>
      <c r="W66" s="70"/>
      <c r="X66" s="53"/>
      <c r="Y66" s="71"/>
      <c r="Z66" s="53"/>
    </row>
    <row r="67" spans="10:26" x14ac:dyDescent="0.3">
      <c r="J67" s="65">
        <v>42282</v>
      </c>
      <c r="K67" s="180">
        <v>53.580002</v>
      </c>
      <c r="L67" s="66">
        <f t="shared" si="0"/>
        <v>8.8495761843424454E-3</v>
      </c>
      <c r="M67" s="180">
        <v>1987.0500489999999</v>
      </c>
      <c r="N67" s="67">
        <f t="shared" si="1"/>
        <v>1.8289841072045912E-2</v>
      </c>
      <c r="P67" s="65">
        <v>41953</v>
      </c>
      <c r="Q67" s="180">
        <v>44.369999</v>
      </c>
      <c r="R67" s="66">
        <f t="shared" si="2"/>
        <v>0.35646592346273065</v>
      </c>
      <c r="S67" s="180">
        <v>2039.8199460000001</v>
      </c>
      <c r="T67" s="66">
        <f t="shared" si="3"/>
        <v>3.8879000299876518E-3</v>
      </c>
      <c r="V67" s="69"/>
      <c r="W67" s="70"/>
      <c r="X67" s="53"/>
      <c r="Y67" s="71"/>
      <c r="Z67" s="53"/>
    </row>
    <row r="68" spans="10:26" x14ac:dyDescent="0.3">
      <c r="J68" s="65">
        <v>42279</v>
      </c>
      <c r="K68" s="180">
        <v>53.110000999999997</v>
      </c>
      <c r="L68" s="66">
        <f t="shared" si="0"/>
        <v>3.8521744984781753E-2</v>
      </c>
      <c r="M68" s="180">
        <v>1951.3599850000001</v>
      </c>
      <c r="N68" s="67">
        <f t="shared" si="1"/>
        <v>1.4315289254205485E-2</v>
      </c>
      <c r="P68" s="65">
        <v>41946</v>
      </c>
      <c r="Q68" s="180">
        <v>32.709999000000003</v>
      </c>
      <c r="R68" s="66">
        <f t="shared" si="2"/>
        <v>-7.2845807053452394E-2</v>
      </c>
      <c r="S68" s="180">
        <v>2031.920044</v>
      </c>
      <c r="T68" s="66">
        <f t="shared" si="3"/>
        <v>6.8729687882978854E-3</v>
      </c>
      <c r="V68" s="69"/>
      <c r="W68" s="70"/>
      <c r="X68" s="53"/>
      <c r="Y68" s="71"/>
      <c r="Z68" s="53"/>
    </row>
    <row r="69" spans="10:26" x14ac:dyDescent="0.3">
      <c r="J69" s="65">
        <v>42278</v>
      </c>
      <c r="K69" s="180">
        <v>51.139999000000003</v>
      </c>
      <c r="L69" s="66">
        <f t="shared" si="0"/>
        <v>1.994415675995526E-2</v>
      </c>
      <c r="M69" s="180">
        <v>1923.8199460000001</v>
      </c>
      <c r="N69" s="67">
        <f t="shared" si="1"/>
        <v>1.9738842324116897E-3</v>
      </c>
      <c r="P69" s="65">
        <v>41939</v>
      </c>
      <c r="Q69" s="180">
        <v>35.279998999999997</v>
      </c>
      <c r="R69" s="66">
        <f t="shared" si="2"/>
        <v>0.16666663359788356</v>
      </c>
      <c r="S69" s="180">
        <v>2018.0500489999999</v>
      </c>
      <c r="T69" s="66">
        <f t="shared" si="3"/>
        <v>2.7217061253576133E-2</v>
      </c>
      <c r="V69" s="69"/>
      <c r="W69" s="70"/>
      <c r="X69" s="53"/>
      <c r="Y69" s="71"/>
      <c r="Z69" s="53"/>
    </row>
    <row r="70" spans="10:26" x14ac:dyDescent="0.3">
      <c r="J70" s="65">
        <v>42277</v>
      </c>
      <c r="K70" s="180">
        <v>50.139999000000003</v>
      </c>
      <c r="L70" s="66">
        <f t="shared" si="0"/>
        <v>3.7021738863360527E-2</v>
      </c>
      <c r="M70" s="180">
        <v>1920.030029</v>
      </c>
      <c r="N70" s="67">
        <f t="shared" si="1"/>
        <v>1.9075555652102023E-2</v>
      </c>
      <c r="P70" s="65">
        <v>41932</v>
      </c>
      <c r="Q70" s="180">
        <v>30.24</v>
      </c>
      <c r="R70" s="66">
        <f t="shared" si="2"/>
        <v>-1.6507427649144594E-3</v>
      </c>
      <c r="S70" s="180">
        <v>1964.579956</v>
      </c>
      <c r="T70" s="66">
        <f t="shared" si="3"/>
        <v>4.1245280580226029E-2</v>
      </c>
      <c r="V70" s="69"/>
      <c r="W70" s="70"/>
      <c r="X70" s="53"/>
      <c r="Y70" s="71"/>
      <c r="Z70" s="53"/>
    </row>
    <row r="71" spans="10:26" x14ac:dyDescent="0.3">
      <c r="J71" s="65">
        <v>42276</v>
      </c>
      <c r="K71" s="180">
        <v>48.349997999999999</v>
      </c>
      <c r="L71" s="66">
        <f t="shared" si="0"/>
        <v>-4.9351218062303963E-2</v>
      </c>
      <c r="M71" s="180">
        <v>1884.089966</v>
      </c>
      <c r="N71" s="67">
        <f t="shared" si="1"/>
        <v>1.2328530985949457E-3</v>
      </c>
      <c r="P71" s="65">
        <v>41925</v>
      </c>
      <c r="Q71" s="180">
        <v>30.290001</v>
      </c>
      <c r="R71" s="66">
        <f t="shared" si="2"/>
        <v>1.5080462466487947E-2</v>
      </c>
      <c r="S71" s="180">
        <v>1886.76001</v>
      </c>
      <c r="T71" s="66">
        <f t="shared" si="3"/>
        <v>-1.0161948528794087E-2</v>
      </c>
      <c r="V71" s="69"/>
      <c r="W71" s="70"/>
      <c r="X71" s="53"/>
      <c r="Y71" s="71"/>
      <c r="Z71" s="53"/>
    </row>
    <row r="72" spans="10:26" x14ac:dyDescent="0.3">
      <c r="J72" s="65">
        <v>42275</v>
      </c>
      <c r="K72" s="180">
        <v>50.860000999999997</v>
      </c>
      <c r="L72" s="66">
        <f t="shared" si="0"/>
        <v>1.4967072141946276E-2</v>
      </c>
      <c r="M72" s="180">
        <v>1881.7700199999999</v>
      </c>
      <c r="N72" s="67">
        <f t="shared" si="1"/>
        <v>-2.5666090316902847E-2</v>
      </c>
      <c r="P72" s="65">
        <v>41918</v>
      </c>
      <c r="Q72" s="180">
        <v>29.84</v>
      </c>
      <c r="R72" s="66">
        <f t="shared" si="2"/>
        <v>-1.7774819544924991E-2</v>
      </c>
      <c r="S72" s="180">
        <v>1906.130005</v>
      </c>
      <c r="T72" s="66">
        <f t="shared" si="3"/>
        <v>-3.1388799352949269E-2</v>
      </c>
      <c r="V72" s="69"/>
      <c r="W72" s="70"/>
      <c r="X72" s="53"/>
      <c r="Y72" s="71"/>
      <c r="Z72" s="53"/>
    </row>
    <row r="73" spans="10:26" x14ac:dyDescent="0.3">
      <c r="J73" s="65">
        <v>42272</v>
      </c>
      <c r="K73" s="180">
        <v>50.110000999999997</v>
      </c>
      <c r="L73" s="66">
        <f t="shared" si="0"/>
        <v>-4.9146109124362319E-2</v>
      </c>
      <c r="M73" s="180">
        <v>1931.339966</v>
      </c>
      <c r="N73" s="67">
        <f t="shared" si="1"/>
        <v>-4.6579307159460578E-4</v>
      </c>
      <c r="P73" s="65">
        <v>41911</v>
      </c>
      <c r="Q73" s="180">
        <v>30.379999000000002</v>
      </c>
      <c r="R73" s="66">
        <f t="shared" si="2"/>
        <v>1.9463087901445963E-2</v>
      </c>
      <c r="S73" s="180">
        <v>1967.900024</v>
      </c>
      <c r="T73" s="66">
        <f t="shared" si="3"/>
        <v>-7.5396284040401551E-3</v>
      </c>
      <c r="V73" s="69"/>
      <c r="W73" s="70"/>
      <c r="X73" s="53"/>
      <c r="Y73" s="71"/>
      <c r="Z73" s="53"/>
    </row>
    <row r="74" spans="10:26" x14ac:dyDescent="0.3">
      <c r="J74" s="65">
        <v>42271</v>
      </c>
      <c r="K74" s="180">
        <v>52.700001</v>
      </c>
      <c r="L74" s="66">
        <f t="shared" ref="L74:L137" si="6">(K74-K75)/K75</f>
        <v>3.6184156777152657E-3</v>
      </c>
      <c r="M74" s="180">
        <v>1932.23999</v>
      </c>
      <c r="N74" s="67">
        <f t="shared" ref="N74:N137" si="7">(M74-M75)/M75</f>
        <v>-3.3629845707411365E-3</v>
      </c>
      <c r="P74" s="65">
        <v>41906</v>
      </c>
      <c r="Q74" s="180">
        <v>29.799999</v>
      </c>
      <c r="R74" s="196"/>
      <c r="S74" s="180">
        <v>1982.849976</v>
      </c>
      <c r="T74" s="196"/>
      <c r="V74" s="69"/>
      <c r="W74" s="60"/>
      <c r="X74" s="53"/>
      <c r="Y74" s="71"/>
      <c r="Z74" s="53"/>
    </row>
    <row r="75" spans="10:26" x14ac:dyDescent="0.3">
      <c r="J75" s="65">
        <v>42270</v>
      </c>
      <c r="K75" s="180">
        <v>52.509998000000003</v>
      </c>
      <c r="L75" s="66">
        <f t="shared" si="6"/>
        <v>4.9150830152863804E-2</v>
      </c>
      <c r="M75" s="180">
        <v>1938.76001</v>
      </c>
      <c r="N75" s="67">
        <f t="shared" si="7"/>
        <v>-2.0486426492924916E-3</v>
      </c>
      <c r="P75" s="197"/>
      <c r="Q75" s="198"/>
      <c r="R75" s="196"/>
      <c r="S75" s="198"/>
      <c r="T75" s="196"/>
      <c r="V75" s="69"/>
      <c r="W75" s="71"/>
      <c r="X75" s="53"/>
      <c r="Y75" s="71"/>
      <c r="Z75" s="53"/>
    </row>
    <row r="76" spans="10:26" x14ac:dyDescent="0.3">
      <c r="J76" s="65">
        <v>42269</v>
      </c>
      <c r="K76" s="180">
        <v>50.049999</v>
      </c>
      <c r="L76" s="66">
        <f t="shared" si="6"/>
        <v>1.1928831620073349E-2</v>
      </c>
      <c r="M76" s="180">
        <v>1942.73999</v>
      </c>
      <c r="N76" s="67">
        <f t="shared" si="7"/>
        <v>-1.2318429542511786E-2</v>
      </c>
      <c r="P76" s="197"/>
      <c r="Q76" s="198"/>
      <c r="R76" s="196"/>
      <c r="S76" s="198"/>
      <c r="T76" s="196"/>
      <c r="V76" s="69"/>
      <c r="W76" s="71"/>
      <c r="X76" s="53"/>
      <c r="Y76" s="71"/>
      <c r="Z76" s="53"/>
    </row>
    <row r="77" spans="10:26" x14ac:dyDescent="0.3">
      <c r="J77" s="65">
        <v>42268</v>
      </c>
      <c r="K77" s="180">
        <v>49.459999000000003</v>
      </c>
      <c r="L77" s="66">
        <f t="shared" si="6"/>
        <v>3.7985244995372772E-2</v>
      </c>
      <c r="M77" s="180">
        <v>1966.969971</v>
      </c>
      <c r="N77" s="67">
        <f t="shared" si="7"/>
        <v>4.5657839091291959E-3</v>
      </c>
      <c r="P77" s="197"/>
      <c r="Q77" s="198"/>
      <c r="R77" s="196"/>
      <c r="S77" s="198"/>
      <c r="T77" s="196"/>
      <c r="V77" s="69"/>
      <c r="W77" s="71"/>
      <c r="X77" s="53"/>
      <c r="Y77" s="71"/>
      <c r="Z77" s="53"/>
    </row>
    <row r="78" spans="10:26" x14ac:dyDescent="0.3">
      <c r="J78" s="65">
        <v>42265</v>
      </c>
      <c r="K78" s="180">
        <v>47.650002000000001</v>
      </c>
      <c r="L78" s="66">
        <f t="shared" si="6"/>
        <v>6.9738377007607854E-3</v>
      </c>
      <c r="M78" s="180">
        <v>1958.030029</v>
      </c>
      <c r="N78" s="67">
        <f t="shared" si="7"/>
        <v>-1.6164165808483653E-2</v>
      </c>
      <c r="P78" s="197"/>
      <c r="Q78" s="198"/>
      <c r="R78" s="196"/>
      <c r="S78" s="198"/>
      <c r="T78" s="196"/>
      <c r="V78" s="69"/>
      <c r="W78" s="71"/>
      <c r="X78" s="53"/>
      <c r="Y78" s="71"/>
      <c r="Z78" s="53"/>
    </row>
    <row r="79" spans="10:26" x14ac:dyDescent="0.3">
      <c r="J79" s="65">
        <v>42264</v>
      </c>
      <c r="K79" s="180">
        <v>47.32</v>
      </c>
      <c r="L79" s="66">
        <f t="shared" si="6"/>
        <v>2.3356357121264906E-2</v>
      </c>
      <c r="M79" s="180">
        <v>1990.1999510000001</v>
      </c>
      <c r="N79" s="67">
        <f t="shared" si="7"/>
        <v>-2.5610596092323188E-3</v>
      </c>
      <c r="P79" s="197"/>
      <c r="Q79" s="198"/>
      <c r="R79" s="196"/>
      <c r="S79" s="198"/>
      <c r="T79" s="196"/>
      <c r="V79" s="69"/>
      <c r="W79" s="71"/>
      <c r="X79" s="53"/>
      <c r="Y79" s="71"/>
      <c r="Z79" s="53"/>
    </row>
    <row r="80" spans="10:26" x14ac:dyDescent="0.3">
      <c r="J80" s="65">
        <v>42263</v>
      </c>
      <c r="K80" s="180">
        <v>46.240001999999997</v>
      </c>
      <c r="L80" s="66">
        <f t="shared" si="6"/>
        <v>5.6546759460635075E-3</v>
      </c>
      <c r="M80" s="180">
        <v>1995.3100589999999</v>
      </c>
      <c r="N80" s="67">
        <f t="shared" si="7"/>
        <v>8.7054144634389728E-3</v>
      </c>
      <c r="P80" s="197"/>
      <c r="Q80" s="198"/>
      <c r="R80" s="196"/>
      <c r="S80" s="198"/>
      <c r="T80" s="196"/>
      <c r="V80" s="69"/>
      <c r="W80" s="71"/>
      <c r="X80" s="53"/>
      <c r="Y80" s="71"/>
      <c r="Z80" s="53"/>
    </row>
    <row r="81" spans="10:26" x14ac:dyDescent="0.3">
      <c r="J81" s="65">
        <v>42262</v>
      </c>
      <c r="K81" s="180">
        <v>45.98</v>
      </c>
      <c r="L81" s="66">
        <f t="shared" si="6"/>
        <v>-9.9052327714305808E-3</v>
      </c>
      <c r="M81" s="180">
        <v>1978.089966</v>
      </c>
      <c r="N81" s="67">
        <f t="shared" si="7"/>
        <v>1.2831311668480234E-2</v>
      </c>
      <c r="P81" s="197"/>
      <c r="Q81" s="198"/>
      <c r="R81" s="196"/>
      <c r="S81" s="198"/>
      <c r="T81" s="196"/>
      <c r="V81" s="69"/>
      <c r="W81" s="71"/>
      <c r="X81" s="53"/>
      <c r="Y81" s="71"/>
      <c r="Z81" s="53"/>
    </row>
    <row r="82" spans="10:26" x14ac:dyDescent="0.3">
      <c r="J82" s="65">
        <v>42261</v>
      </c>
      <c r="K82" s="180">
        <v>46.439999</v>
      </c>
      <c r="L82" s="66">
        <f t="shared" si="6"/>
        <v>-4.2079228547854716E-2</v>
      </c>
      <c r="M82" s="180">
        <v>1953.030029</v>
      </c>
      <c r="N82" s="67">
        <f t="shared" si="7"/>
        <v>-4.0896559494183167E-3</v>
      </c>
      <c r="P82" s="197"/>
      <c r="Q82" s="198"/>
      <c r="R82" s="196"/>
      <c r="S82" s="198"/>
      <c r="T82" s="196"/>
      <c r="V82" s="69"/>
      <c r="W82" s="71"/>
      <c r="X82" s="53"/>
      <c r="Y82" s="71"/>
      <c r="Z82" s="53"/>
    </row>
    <row r="83" spans="10:26" x14ac:dyDescent="0.3">
      <c r="J83" s="65">
        <v>42258</v>
      </c>
      <c r="K83" s="180">
        <v>48.48</v>
      </c>
      <c r="L83" s="66">
        <f t="shared" si="6"/>
        <v>2.2784766971106801E-2</v>
      </c>
      <c r="M83" s="180">
        <v>1961.0500489999999</v>
      </c>
      <c r="N83" s="67">
        <f t="shared" si="7"/>
        <v>4.4870433311676424E-3</v>
      </c>
      <c r="P83" s="197"/>
      <c r="Q83" s="198"/>
      <c r="R83" s="196"/>
      <c r="S83" s="198"/>
      <c r="T83" s="196"/>
      <c r="V83" s="69"/>
      <c r="W83" s="71"/>
      <c r="X83" s="53"/>
      <c r="Y83" s="71"/>
      <c r="Z83" s="53"/>
    </row>
    <row r="84" spans="10:26" x14ac:dyDescent="0.3">
      <c r="J84" s="65">
        <v>42257</v>
      </c>
      <c r="K84" s="180">
        <v>47.400002000000001</v>
      </c>
      <c r="L84" s="66">
        <f t="shared" si="6"/>
        <v>-1.7616538860103614E-2</v>
      </c>
      <c r="M84" s="180">
        <v>1952.290039</v>
      </c>
      <c r="N84" s="67">
        <f t="shared" si="7"/>
        <v>5.2779550339641578E-3</v>
      </c>
      <c r="P84" s="197"/>
      <c r="Q84" s="198"/>
      <c r="R84" s="196"/>
      <c r="S84" s="198"/>
      <c r="T84" s="196"/>
      <c r="V84" s="69"/>
      <c r="W84" s="71"/>
      <c r="X84" s="53"/>
      <c r="Y84" s="71"/>
      <c r="Z84" s="53"/>
    </row>
    <row r="85" spans="10:26" x14ac:dyDescent="0.3">
      <c r="J85" s="65">
        <v>42256</v>
      </c>
      <c r="K85" s="180">
        <v>48.25</v>
      </c>
      <c r="L85" s="66">
        <f t="shared" si="6"/>
        <v>-6.2135461104704159E-4</v>
      </c>
      <c r="M85" s="180">
        <v>1942.040039</v>
      </c>
      <c r="N85" s="67">
        <f t="shared" si="7"/>
        <v>-1.3897560450837034E-2</v>
      </c>
      <c r="P85" s="197"/>
      <c r="Q85" s="198"/>
      <c r="R85" s="196"/>
      <c r="S85" s="198"/>
      <c r="T85" s="196"/>
      <c r="V85" s="69"/>
      <c r="W85" s="71"/>
      <c r="X85" s="53"/>
      <c r="Y85" s="71"/>
      <c r="Z85" s="53"/>
    </row>
    <row r="86" spans="10:26" x14ac:dyDescent="0.3">
      <c r="J86" s="65">
        <v>42255</v>
      </c>
      <c r="K86" s="180">
        <v>48.279998999999997</v>
      </c>
      <c r="L86" s="66">
        <f t="shared" si="6"/>
        <v>3.8056355108851934E-2</v>
      </c>
      <c r="M86" s="180">
        <v>1969.410034</v>
      </c>
      <c r="N86" s="67">
        <f t="shared" si="7"/>
        <v>2.5083053334552293E-2</v>
      </c>
      <c r="P86" s="197"/>
      <c r="Q86" s="198"/>
      <c r="R86" s="196"/>
      <c r="S86" s="198"/>
      <c r="T86" s="196"/>
      <c r="V86" s="69"/>
      <c r="W86" s="71"/>
      <c r="X86" s="53"/>
      <c r="Y86" s="71"/>
      <c r="Z86" s="53"/>
    </row>
    <row r="87" spans="10:26" x14ac:dyDescent="0.3">
      <c r="J87" s="65">
        <v>42251</v>
      </c>
      <c r="K87" s="180">
        <v>46.509998000000003</v>
      </c>
      <c r="L87" s="66">
        <f t="shared" si="6"/>
        <v>-4.2807203128215683E-2</v>
      </c>
      <c r="M87" s="180">
        <v>1921.219971</v>
      </c>
      <c r="N87" s="67">
        <f t="shared" si="7"/>
        <v>-1.5329595630917478E-2</v>
      </c>
      <c r="P87" s="197"/>
      <c r="Q87" s="198"/>
      <c r="R87" s="196"/>
      <c r="S87" s="198"/>
      <c r="T87" s="196"/>
      <c r="V87" s="69"/>
      <c r="W87" s="71"/>
      <c r="X87" s="53"/>
      <c r="Y87" s="71"/>
      <c r="Z87" s="53"/>
    </row>
    <row r="88" spans="10:26" x14ac:dyDescent="0.3">
      <c r="J88" s="65">
        <v>42250</v>
      </c>
      <c r="K88" s="180">
        <v>48.59</v>
      </c>
      <c r="L88" s="66">
        <f t="shared" si="6"/>
        <v>-4.7068089936532921E-2</v>
      </c>
      <c r="M88" s="180">
        <v>1951.130005</v>
      </c>
      <c r="N88" s="67">
        <f t="shared" si="7"/>
        <v>1.1647937858398438E-3</v>
      </c>
      <c r="P88" s="197"/>
      <c r="Q88" s="198"/>
      <c r="R88" s="196"/>
      <c r="S88" s="198"/>
      <c r="T88" s="196"/>
      <c r="V88" s="69"/>
      <c r="W88" s="71"/>
      <c r="X88" s="53"/>
      <c r="Y88" s="71"/>
      <c r="Z88" s="53"/>
    </row>
    <row r="89" spans="10:26" x14ac:dyDescent="0.3">
      <c r="J89" s="65">
        <v>42249</v>
      </c>
      <c r="K89" s="180">
        <v>50.990001999999997</v>
      </c>
      <c r="L89" s="66">
        <f t="shared" si="6"/>
        <v>1.4524552905871461E-2</v>
      </c>
      <c r="M89" s="180">
        <v>1948.8599850000001</v>
      </c>
      <c r="N89" s="67">
        <f t="shared" si="7"/>
        <v>1.8292974600429224E-2</v>
      </c>
      <c r="P89" s="197"/>
      <c r="Q89" s="198"/>
      <c r="R89" s="196"/>
      <c r="S89" s="198"/>
      <c r="T89" s="196"/>
      <c r="V89" s="69"/>
      <c r="W89" s="71"/>
      <c r="X89" s="53"/>
      <c r="Y89" s="71"/>
      <c r="Z89" s="53"/>
    </row>
    <row r="90" spans="10:26" x14ac:dyDescent="0.3">
      <c r="J90" s="65">
        <v>42248</v>
      </c>
      <c r="K90" s="180">
        <v>50.259998000000003</v>
      </c>
      <c r="L90" s="66">
        <f t="shared" si="6"/>
        <v>-1.5475044377571813E-2</v>
      </c>
      <c r="M90" s="180">
        <v>1913.849976</v>
      </c>
      <c r="N90" s="67">
        <f t="shared" si="7"/>
        <v>-2.9576446573270111E-2</v>
      </c>
      <c r="P90" s="197"/>
      <c r="Q90" s="198"/>
      <c r="R90" s="196"/>
      <c r="S90" s="198"/>
      <c r="T90" s="196"/>
      <c r="V90" s="69"/>
      <c r="W90" s="71"/>
      <c r="X90" s="53"/>
      <c r="Y90" s="71"/>
      <c r="Z90" s="53"/>
    </row>
    <row r="91" spans="10:26" x14ac:dyDescent="0.3">
      <c r="J91" s="65">
        <v>42247</v>
      </c>
      <c r="K91" s="180">
        <v>51.049999</v>
      </c>
      <c r="L91" s="66">
        <f t="shared" si="6"/>
        <v>-2.5391408449954026E-2</v>
      </c>
      <c r="M91" s="180">
        <v>1972.1800539999999</v>
      </c>
      <c r="N91" s="67">
        <f t="shared" si="7"/>
        <v>-8.3916701654499493E-3</v>
      </c>
      <c r="P91" s="197"/>
      <c r="Q91" s="198"/>
      <c r="R91" s="196"/>
      <c r="S91" s="198"/>
      <c r="T91" s="196"/>
      <c r="V91" s="69"/>
      <c r="W91" s="71"/>
      <c r="X91" s="53"/>
      <c r="Y91" s="71"/>
      <c r="Z91" s="53"/>
    </row>
    <row r="92" spans="10:26" x14ac:dyDescent="0.3">
      <c r="J92" s="65">
        <v>42244</v>
      </c>
      <c r="K92" s="180">
        <v>52.380001</v>
      </c>
      <c r="L92" s="66">
        <f t="shared" si="6"/>
        <v>3.3543823993685877E-2</v>
      </c>
      <c r="M92" s="180">
        <v>1988.869995</v>
      </c>
      <c r="N92" s="67">
        <f t="shared" si="7"/>
        <v>6.0873639319752057E-4</v>
      </c>
      <c r="P92" s="197"/>
      <c r="Q92" s="198"/>
      <c r="R92" s="196"/>
      <c r="S92" s="198"/>
      <c r="T92" s="196"/>
      <c r="V92" s="69"/>
      <c r="W92" s="71"/>
      <c r="X92" s="53"/>
      <c r="Y92" s="71"/>
      <c r="Z92" s="53"/>
    </row>
    <row r="93" spans="10:26" x14ac:dyDescent="0.3">
      <c r="J93" s="65">
        <v>42243</v>
      </c>
      <c r="K93" s="180">
        <v>50.68</v>
      </c>
      <c r="L93" s="66">
        <f t="shared" si="6"/>
        <v>1.0769864594532533E-2</v>
      </c>
      <c r="M93" s="180">
        <v>1987.660034</v>
      </c>
      <c r="N93" s="67">
        <f t="shared" si="7"/>
        <v>2.4297748404812421E-2</v>
      </c>
      <c r="P93" s="197"/>
      <c r="Q93" s="198"/>
      <c r="R93" s="196"/>
      <c r="S93" s="198"/>
      <c r="T93" s="196"/>
      <c r="V93" s="69"/>
      <c r="W93" s="71"/>
      <c r="X93" s="53"/>
      <c r="Y93" s="71"/>
      <c r="Z93" s="53"/>
    </row>
    <row r="94" spans="10:26" x14ac:dyDescent="0.3">
      <c r="J94" s="65">
        <v>42242</v>
      </c>
      <c r="K94" s="180">
        <v>50.139999000000003</v>
      </c>
      <c r="L94" s="66">
        <f t="shared" si="6"/>
        <v>7.3431814888285471E-2</v>
      </c>
      <c r="M94" s="180">
        <v>1940.51001</v>
      </c>
      <c r="N94" s="67">
        <f t="shared" si="7"/>
        <v>3.9033859095586231E-2</v>
      </c>
      <c r="P94" s="197"/>
      <c r="Q94" s="198"/>
      <c r="R94" s="196"/>
      <c r="S94" s="198"/>
      <c r="T94" s="196"/>
      <c r="V94" s="69"/>
      <c r="W94" s="71"/>
      <c r="X94" s="53"/>
      <c r="Y94" s="71"/>
      <c r="Z94" s="53"/>
    </row>
    <row r="95" spans="10:26" x14ac:dyDescent="0.3">
      <c r="J95" s="65">
        <v>42241</v>
      </c>
      <c r="K95" s="180">
        <v>46.709999000000003</v>
      </c>
      <c r="L95" s="66">
        <f t="shared" si="6"/>
        <v>-3.7899073901113703E-2</v>
      </c>
      <c r="M95" s="180">
        <v>1867.6099850000001</v>
      </c>
      <c r="N95" s="67">
        <f t="shared" si="7"/>
        <v>-1.3521995197235268E-2</v>
      </c>
      <c r="P95" s="197"/>
      <c r="Q95" s="198"/>
      <c r="R95" s="196"/>
      <c r="S95" s="198"/>
      <c r="T95" s="196"/>
      <c r="V95" s="69"/>
      <c r="W95" s="71"/>
      <c r="X95" s="53"/>
      <c r="Y95" s="71"/>
      <c r="Z95" s="53"/>
    </row>
    <row r="96" spans="10:26" x14ac:dyDescent="0.3">
      <c r="J96" s="65">
        <v>42240</v>
      </c>
      <c r="K96" s="180">
        <v>48.549999</v>
      </c>
      <c r="L96" s="66">
        <f t="shared" si="6"/>
        <v>-6.9388520965632389E-2</v>
      </c>
      <c r="M96" s="180">
        <v>1893.209961</v>
      </c>
      <c r="N96" s="67">
        <f t="shared" si="7"/>
        <v>-3.9413693006101071E-2</v>
      </c>
      <c r="P96" s="197"/>
      <c r="Q96" s="198"/>
      <c r="R96" s="196"/>
      <c r="S96" s="198"/>
      <c r="T96" s="196"/>
      <c r="V96" s="69"/>
      <c r="W96" s="71"/>
      <c r="X96" s="53"/>
      <c r="Y96" s="71"/>
      <c r="Z96" s="53"/>
    </row>
    <row r="97" spans="10:26" x14ac:dyDescent="0.3">
      <c r="J97" s="65">
        <v>42237</v>
      </c>
      <c r="K97" s="180">
        <v>52.169998</v>
      </c>
      <c r="L97" s="66">
        <f t="shared" si="6"/>
        <v>-5.4720077092228259E-2</v>
      </c>
      <c r="M97" s="180">
        <v>1970.8900149999999</v>
      </c>
      <c r="N97" s="67">
        <f t="shared" si="7"/>
        <v>-3.1850965323014069E-2</v>
      </c>
      <c r="P97" s="197"/>
      <c r="Q97" s="198"/>
      <c r="R97" s="196"/>
      <c r="S97" s="198"/>
      <c r="T97" s="196"/>
      <c r="V97" s="69"/>
      <c r="W97" s="71"/>
      <c r="X97" s="53"/>
      <c r="Y97" s="71"/>
      <c r="Z97" s="53"/>
    </row>
    <row r="98" spans="10:26" x14ac:dyDescent="0.3">
      <c r="J98" s="65">
        <v>42236</v>
      </c>
      <c r="K98" s="180">
        <v>55.189999</v>
      </c>
      <c r="L98" s="66">
        <f t="shared" si="6"/>
        <v>-0.10449459509176383</v>
      </c>
      <c r="M98" s="180">
        <v>2035.7299800000001</v>
      </c>
      <c r="N98" s="67">
        <f t="shared" si="7"/>
        <v>-2.1100170100298469E-2</v>
      </c>
      <c r="P98" s="197"/>
      <c r="Q98" s="198"/>
      <c r="R98" s="196"/>
      <c r="S98" s="198"/>
      <c r="T98" s="196"/>
      <c r="V98" s="69"/>
      <c r="W98" s="71"/>
      <c r="X98" s="53"/>
      <c r="Y98" s="71"/>
      <c r="Z98" s="53"/>
    </row>
    <row r="99" spans="10:26" x14ac:dyDescent="0.3">
      <c r="J99" s="65">
        <v>42235</v>
      </c>
      <c r="K99" s="180">
        <v>61.630001</v>
      </c>
      <c r="L99" s="66">
        <f t="shared" si="6"/>
        <v>3.5798336134453781E-2</v>
      </c>
      <c r="M99" s="180">
        <v>2079.610107</v>
      </c>
      <c r="N99" s="67">
        <f t="shared" si="7"/>
        <v>-8.2548765064382225E-3</v>
      </c>
      <c r="P99" s="197"/>
      <c r="Q99" s="198"/>
      <c r="R99" s="196"/>
      <c r="S99" s="198"/>
      <c r="T99" s="196"/>
      <c r="V99" s="69"/>
      <c r="W99" s="71"/>
      <c r="X99" s="53"/>
      <c r="Y99" s="71"/>
      <c r="Z99" s="53"/>
    </row>
    <row r="100" spans="10:26" x14ac:dyDescent="0.3">
      <c r="J100" s="65">
        <v>42234</v>
      </c>
      <c r="K100" s="180">
        <v>59.5</v>
      </c>
      <c r="L100" s="66">
        <f t="shared" si="6"/>
        <v>-7.1750375438010966E-3</v>
      </c>
      <c r="M100" s="180">
        <v>2096.919922</v>
      </c>
      <c r="N100" s="67">
        <f t="shared" si="7"/>
        <v>-2.6255299342222908E-3</v>
      </c>
      <c r="P100" s="197"/>
      <c r="Q100" s="198"/>
      <c r="R100" s="196"/>
      <c r="S100" s="198"/>
      <c r="T100" s="196"/>
      <c r="V100" s="69"/>
      <c r="W100" s="71"/>
      <c r="X100" s="53"/>
      <c r="Y100" s="71"/>
      <c r="Z100" s="53"/>
    </row>
    <row r="101" spans="10:26" x14ac:dyDescent="0.3">
      <c r="J101" s="65">
        <v>42233</v>
      </c>
      <c r="K101" s="180">
        <v>59.93</v>
      </c>
      <c r="L101" s="66">
        <f t="shared" si="6"/>
        <v>2.0953986014412493E-2</v>
      </c>
      <c r="M101" s="180">
        <v>2102.4399410000001</v>
      </c>
      <c r="N101" s="67">
        <f t="shared" si="7"/>
        <v>5.211424020938913E-3</v>
      </c>
      <c r="P101" s="197"/>
      <c r="Q101" s="198"/>
      <c r="R101" s="196"/>
      <c r="S101" s="198"/>
      <c r="T101" s="196"/>
      <c r="V101" s="69"/>
      <c r="W101" s="71"/>
      <c r="X101" s="53"/>
      <c r="Y101" s="71"/>
      <c r="Z101" s="53"/>
    </row>
    <row r="102" spans="10:26" x14ac:dyDescent="0.3">
      <c r="J102" s="65">
        <v>42230</v>
      </c>
      <c r="K102" s="180">
        <v>58.700001</v>
      </c>
      <c r="L102" s="66">
        <f t="shared" si="6"/>
        <v>1.1023079382998987E-2</v>
      </c>
      <c r="M102" s="180">
        <v>2091.540039</v>
      </c>
      <c r="N102" s="67">
        <f t="shared" si="7"/>
        <v>3.9119638755010268E-3</v>
      </c>
      <c r="P102" s="197"/>
      <c r="Q102" s="198"/>
      <c r="R102" s="196"/>
      <c r="S102" s="198"/>
      <c r="T102" s="196"/>
      <c r="V102" s="69"/>
      <c r="W102" s="71"/>
      <c r="X102" s="53"/>
      <c r="Y102" s="71"/>
      <c r="Z102" s="53"/>
    </row>
    <row r="103" spans="10:26" x14ac:dyDescent="0.3">
      <c r="J103" s="65">
        <v>42229</v>
      </c>
      <c r="K103" s="180">
        <v>58.060001</v>
      </c>
      <c r="L103" s="66">
        <f t="shared" si="6"/>
        <v>2.2441049542551361E-3</v>
      </c>
      <c r="M103" s="180">
        <v>2083.389893</v>
      </c>
      <c r="N103" s="67">
        <f t="shared" si="7"/>
        <v>-1.275211973593408E-3</v>
      </c>
      <c r="P103" s="197"/>
      <c r="Q103" s="198"/>
      <c r="R103" s="196"/>
      <c r="S103" s="198"/>
      <c r="T103" s="196"/>
      <c r="V103" s="69"/>
      <c r="W103" s="71"/>
      <c r="X103" s="53"/>
      <c r="Y103" s="71"/>
      <c r="Z103" s="53"/>
    </row>
    <row r="104" spans="10:26" x14ac:dyDescent="0.3">
      <c r="J104" s="65">
        <v>42228</v>
      </c>
      <c r="K104" s="180">
        <v>57.93</v>
      </c>
      <c r="L104" s="66">
        <f t="shared" si="6"/>
        <v>-1.6885855186862201E-2</v>
      </c>
      <c r="M104" s="180">
        <v>2086.0500489999999</v>
      </c>
      <c r="N104" s="67">
        <f t="shared" si="7"/>
        <v>9.5005490957415957E-4</v>
      </c>
      <c r="P104" s="197"/>
      <c r="Q104" s="198"/>
      <c r="R104" s="196"/>
      <c r="S104" s="198"/>
      <c r="T104" s="196"/>
      <c r="V104" s="69"/>
      <c r="W104" s="71"/>
      <c r="X104" s="53"/>
      <c r="Y104" s="71"/>
      <c r="Z104" s="53"/>
    </row>
    <row r="105" spans="10:26" x14ac:dyDescent="0.3">
      <c r="J105" s="65">
        <v>42227</v>
      </c>
      <c r="K105" s="180">
        <v>58.924999</v>
      </c>
      <c r="L105" s="66">
        <f t="shared" si="6"/>
        <v>-6.6756415374666117E-2</v>
      </c>
      <c r="M105" s="180">
        <v>2084.070068</v>
      </c>
      <c r="N105" s="67">
        <f t="shared" si="7"/>
        <v>-9.5571028381046339E-3</v>
      </c>
      <c r="P105" s="197"/>
      <c r="Q105" s="198"/>
      <c r="R105" s="196"/>
      <c r="S105" s="198"/>
      <c r="T105" s="196"/>
      <c r="V105" s="69"/>
      <c r="W105" s="71"/>
      <c r="X105" s="53"/>
      <c r="Y105" s="71"/>
      <c r="Z105" s="53"/>
    </row>
    <row r="106" spans="10:26" x14ac:dyDescent="0.3">
      <c r="J106" s="65">
        <v>42226</v>
      </c>
      <c r="K106" s="180">
        <v>63.139999000000003</v>
      </c>
      <c r="L106" s="66">
        <f t="shared" si="6"/>
        <v>4.6750646551724187E-2</v>
      </c>
      <c r="M106" s="180">
        <v>2104.179932</v>
      </c>
      <c r="N106" s="67">
        <f t="shared" si="7"/>
        <v>1.2808166814617401E-2</v>
      </c>
      <c r="P106" s="197"/>
      <c r="Q106" s="198"/>
      <c r="R106" s="196"/>
      <c r="S106" s="198"/>
      <c r="T106" s="196"/>
      <c r="V106" s="69"/>
      <c r="W106" s="71"/>
      <c r="X106" s="53"/>
      <c r="Y106" s="71"/>
      <c r="Z106" s="53"/>
    </row>
    <row r="107" spans="10:26" x14ac:dyDescent="0.3">
      <c r="J107" s="65">
        <v>42223</v>
      </c>
      <c r="K107" s="180">
        <v>60.32</v>
      </c>
      <c r="L107" s="66">
        <f t="shared" si="6"/>
        <v>2.8649403626354038E-2</v>
      </c>
      <c r="M107" s="180">
        <v>2077.570068</v>
      </c>
      <c r="N107" s="67">
        <f t="shared" si="7"/>
        <v>-2.8748828113334063E-3</v>
      </c>
      <c r="P107" s="197"/>
      <c r="Q107" s="198"/>
      <c r="R107" s="196"/>
      <c r="S107" s="198"/>
      <c r="T107" s="196"/>
      <c r="V107" s="69"/>
      <c r="W107" s="71"/>
      <c r="X107" s="53"/>
      <c r="Y107" s="71"/>
      <c r="Z107" s="53"/>
    </row>
    <row r="108" spans="10:26" x14ac:dyDescent="0.3">
      <c r="J108" s="65">
        <v>42222</v>
      </c>
      <c r="K108" s="180">
        <v>58.639999000000003</v>
      </c>
      <c r="L108" s="66">
        <f t="shared" si="6"/>
        <v>-2.1198481054915598E-2</v>
      </c>
      <c r="M108" s="180">
        <v>2083.5600589999999</v>
      </c>
      <c r="N108" s="67">
        <f t="shared" si="7"/>
        <v>-7.7529851406475357E-3</v>
      </c>
      <c r="P108" s="197"/>
      <c r="Q108" s="198"/>
      <c r="R108" s="196"/>
      <c r="S108" s="198"/>
      <c r="T108" s="196"/>
      <c r="V108" s="69"/>
      <c r="W108" s="71"/>
      <c r="X108" s="53"/>
      <c r="Y108" s="71"/>
      <c r="Z108" s="53"/>
    </row>
    <row r="109" spans="10:26" x14ac:dyDescent="0.3">
      <c r="J109" s="65">
        <v>42221</v>
      </c>
      <c r="K109" s="180">
        <v>59.91</v>
      </c>
      <c r="L109" s="66">
        <f t="shared" si="6"/>
        <v>4.0646169880145848E-2</v>
      </c>
      <c r="M109" s="180">
        <v>2099.8400879999999</v>
      </c>
      <c r="N109" s="67">
        <f t="shared" si="7"/>
        <v>3.1146789732108618E-3</v>
      </c>
      <c r="P109" s="197"/>
      <c r="Q109" s="198"/>
      <c r="R109" s="196"/>
      <c r="S109" s="198"/>
      <c r="T109" s="196"/>
      <c r="V109" s="69"/>
      <c r="W109" s="71"/>
      <c r="X109" s="53"/>
      <c r="Y109" s="71"/>
      <c r="Z109" s="53"/>
    </row>
    <row r="110" spans="10:26" x14ac:dyDescent="0.3">
      <c r="J110" s="65">
        <v>42220</v>
      </c>
      <c r="K110" s="180">
        <v>57.57</v>
      </c>
      <c r="L110" s="66">
        <f t="shared" si="6"/>
        <v>1.3021255920420343E-2</v>
      </c>
      <c r="M110" s="180">
        <v>2093.320068</v>
      </c>
      <c r="N110" s="67">
        <f t="shared" si="7"/>
        <v>-2.2497049209078447E-3</v>
      </c>
      <c r="P110" s="197"/>
      <c r="Q110" s="198"/>
      <c r="R110" s="196"/>
      <c r="S110" s="198"/>
      <c r="T110" s="196"/>
      <c r="V110" s="69"/>
      <c r="W110" s="71"/>
      <c r="X110" s="53"/>
      <c r="Y110" s="71"/>
      <c r="Z110" s="53"/>
    </row>
    <row r="111" spans="10:26" x14ac:dyDescent="0.3">
      <c r="J111" s="65">
        <v>42219</v>
      </c>
      <c r="K111" s="180">
        <v>56.830002</v>
      </c>
      <c r="L111" s="66">
        <f t="shared" si="6"/>
        <v>-3.8897327263701549E-2</v>
      </c>
      <c r="M111" s="180">
        <v>2098.040039</v>
      </c>
      <c r="N111" s="67">
        <f t="shared" si="7"/>
        <v>-2.7568868152492132E-3</v>
      </c>
      <c r="P111" s="197"/>
      <c r="Q111" s="198"/>
      <c r="R111" s="196"/>
      <c r="S111" s="198"/>
      <c r="T111" s="196"/>
      <c r="V111" s="69"/>
      <c r="W111" s="71"/>
      <c r="X111" s="53"/>
      <c r="Y111" s="71"/>
      <c r="Z111" s="53"/>
    </row>
    <row r="112" spans="10:26" x14ac:dyDescent="0.3">
      <c r="J112" s="65">
        <v>42216</v>
      </c>
      <c r="K112" s="180">
        <v>59.130001</v>
      </c>
      <c r="L112" s="66">
        <f t="shared" si="6"/>
        <v>9.388852530254262E-3</v>
      </c>
      <c r="M112" s="180">
        <v>2103.8400879999999</v>
      </c>
      <c r="N112" s="67">
        <f t="shared" si="7"/>
        <v>-2.2715200228432598E-3</v>
      </c>
      <c r="P112" s="197"/>
      <c r="Q112" s="198"/>
      <c r="R112" s="196"/>
      <c r="S112" s="198"/>
      <c r="T112" s="196"/>
      <c r="V112" s="69"/>
      <c r="W112" s="71"/>
      <c r="X112" s="53"/>
      <c r="Y112" s="71"/>
      <c r="Z112" s="53"/>
    </row>
    <row r="113" spans="10:26" x14ac:dyDescent="0.3">
      <c r="J113" s="65">
        <v>42215</v>
      </c>
      <c r="K113" s="180">
        <v>58.580002</v>
      </c>
      <c r="L113" s="66">
        <f t="shared" si="6"/>
        <v>-5.9392160190055894E-3</v>
      </c>
      <c r="M113" s="180">
        <v>2108.6298830000001</v>
      </c>
      <c r="N113" s="67">
        <f t="shared" si="7"/>
        <v>2.836756572989134E-5</v>
      </c>
      <c r="P113" s="197"/>
      <c r="Q113" s="198"/>
      <c r="R113" s="196"/>
      <c r="S113" s="198"/>
      <c r="T113" s="196"/>
      <c r="V113" s="69"/>
      <c r="W113" s="71"/>
      <c r="X113" s="53"/>
      <c r="Y113" s="71"/>
      <c r="Z113" s="53"/>
    </row>
    <row r="114" spans="10:26" x14ac:dyDescent="0.3">
      <c r="J114" s="65">
        <v>42214</v>
      </c>
      <c r="K114" s="180">
        <v>58.93</v>
      </c>
      <c r="L114" s="66">
        <f t="shared" si="6"/>
        <v>-1.5042653684016267E-2</v>
      </c>
      <c r="M114" s="180">
        <v>2108.570068</v>
      </c>
      <c r="N114" s="67">
        <f t="shared" si="7"/>
        <v>7.3187951749671522E-3</v>
      </c>
      <c r="P114" s="197"/>
      <c r="Q114" s="198"/>
      <c r="R114" s="196"/>
      <c r="S114" s="198"/>
      <c r="T114" s="196"/>
      <c r="V114" s="69"/>
      <c r="W114" s="71"/>
      <c r="X114" s="53"/>
      <c r="Y114" s="71"/>
      <c r="Z114" s="53"/>
    </row>
    <row r="115" spans="10:26" x14ac:dyDescent="0.3">
      <c r="J115" s="65">
        <v>42213</v>
      </c>
      <c r="K115" s="180">
        <v>59.830002</v>
      </c>
      <c r="L115" s="66">
        <f t="shared" si="6"/>
        <v>0</v>
      </c>
      <c r="M115" s="180">
        <v>2093.25</v>
      </c>
      <c r="N115" s="67">
        <f t="shared" si="7"/>
        <v>1.2386154420169127E-2</v>
      </c>
      <c r="P115" s="197"/>
      <c r="Q115" s="198"/>
      <c r="R115" s="196"/>
      <c r="S115" s="198"/>
      <c r="T115" s="196"/>
      <c r="V115" s="69"/>
      <c r="W115" s="71"/>
      <c r="X115" s="53"/>
      <c r="Y115" s="71"/>
      <c r="Z115" s="53"/>
    </row>
    <row r="116" spans="10:26" x14ac:dyDescent="0.3">
      <c r="J116" s="65">
        <v>42212</v>
      </c>
      <c r="K116" s="180">
        <v>59.830002</v>
      </c>
      <c r="L116" s="66">
        <f t="shared" si="6"/>
        <v>-5.0468117773944422E-2</v>
      </c>
      <c r="M116" s="180">
        <v>2067.639893</v>
      </c>
      <c r="N116" s="67">
        <f t="shared" si="7"/>
        <v>-5.7750148178547034E-3</v>
      </c>
      <c r="P116" s="197"/>
      <c r="Q116" s="198"/>
      <c r="R116" s="196"/>
      <c r="S116" s="198"/>
      <c r="T116" s="196"/>
      <c r="V116" s="69"/>
      <c r="W116" s="71"/>
      <c r="X116" s="53"/>
      <c r="Y116" s="71"/>
      <c r="Z116" s="53"/>
    </row>
    <row r="117" spans="10:26" x14ac:dyDescent="0.3">
      <c r="J117" s="65">
        <v>42209</v>
      </c>
      <c r="K117" s="180">
        <v>63.009998000000003</v>
      </c>
      <c r="L117" s="66">
        <f t="shared" si="6"/>
        <v>2.0900793569332565E-2</v>
      </c>
      <c r="M117" s="180">
        <v>2079.6499020000001</v>
      </c>
      <c r="N117" s="67">
        <f t="shared" si="7"/>
        <v>-1.070332804458585E-2</v>
      </c>
      <c r="P117" s="197"/>
      <c r="Q117" s="198"/>
      <c r="R117" s="196"/>
      <c r="S117" s="198"/>
      <c r="T117" s="196"/>
      <c r="V117" s="69"/>
      <c r="W117" s="71"/>
      <c r="X117" s="53"/>
      <c r="Y117" s="71"/>
      <c r="Z117" s="53"/>
    </row>
    <row r="118" spans="10:26" x14ac:dyDescent="0.3">
      <c r="J118" s="65">
        <v>42208</v>
      </c>
      <c r="K118" s="180">
        <v>61.720001000000003</v>
      </c>
      <c r="L118" s="66">
        <f t="shared" si="6"/>
        <v>7.3391321739130488E-2</v>
      </c>
      <c r="M118" s="180">
        <v>2102.1499020000001</v>
      </c>
      <c r="N118" s="67">
        <f t="shared" si="7"/>
        <v>-5.6760402791911392E-3</v>
      </c>
      <c r="P118" s="197"/>
      <c r="Q118" s="198"/>
      <c r="R118" s="196"/>
      <c r="S118" s="198"/>
      <c r="T118" s="196"/>
      <c r="V118" s="69"/>
      <c r="W118" s="71"/>
      <c r="X118" s="53"/>
      <c r="Y118" s="71"/>
      <c r="Z118" s="53"/>
    </row>
    <row r="119" spans="10:26" x14ac:dyDescent="0.3">
      <c r="J119" s="65">
        <v>42207</v>
      </c>
      <c r="K119" s="180">
        <v>57.5</v>
      </c>
      <c r="L119" s="66">
        <f t="shared" si="6"/>
        <v>1.1967617036254834E-2</v>
      </c>
      <c r="M119" s="180">
        <v>2114.1499020000001</v>
      </c>
      <c r="N119" s="67">
        <f t="shared" si="7"/>
        <v>-2.3877100868345295E-3</v>
      </c>
      <c r="P119" s="197"/>
      <c r="Q119" s="198"/>
      <c r="R119" s="196"/>
      <c r="S119" s="198"/>
      <c r="T119" s="196"/>
      <c r="V119" s="69"/>
      <c r="W119" s="71"/>
      <c r="X119" s="53"/>
      <c r="Y119" s="71"/>
      <c r="Z119" s="53"/>
    </row>
    <row r="120" spans="10:26" x14ac:dyDescent="0.3">
      <c r="J120" s="65">
        <v>42206</v>
      </c>
      <c r="K120" s="180">
        <v>56.82</v>
      </c>
      <c r="L120" s="66">
        <f t="shared" si="6"/>
        <v>3.3466715169152485E-2</v>
      </c>
      <c r="M120" s="180">
        <v>2119.209961</v>
      </c>
      <c r="N120" s="67">
        <f t="shared" si="7"/>
        <v>-4.2616891933443934E-3</v>
      </c>
      <c r="P120" s="197"/>
      <c r="Q120" s="198"/>
      <c r="R120" s="196"/>
      <c r="S120" s="198"/>
      <c r="T120" s="196"/>
      <c r="V120" s="69"/>
      <c r="W120" s="71"/>
      <c r="X120" s="53"/>
      <c r="Y120" s="71"/>
      <c r="Z120" s="53"/>
    </row>
    <row r="121" spans="10:26" x14ac:dyDescent="0.3">
      <c r="J121" s="65">
        <v>42205</v>
      </c>
      <c r="K121" s="180">
        <v>54.98</v>
      </c>
      <c r="L121" s="66">
        <f t="shared" si="6"/>
        <v>-3.3063682148018254E-2</v>
      </c>
      <c r="M121" s="180">
        <v>2128.280029</v>
      </c>
      <c r="N121" s="67">
        <f t="shared" si="7"/>
        <v>7.7123353389476929E-4</v>
      </c>
      <c r="P121" s="197"/>
      <c r="Q121" s="198"/>
      <c r="R121" s="196"/>
      <c r="S121" s="198"/>
      <c r="T121" s="196"/>
      <c r="V121" s="69"/>
      <c r="W121" s="71"/>
      <c r="X121" s="53"/>
      <c r="Y121" s="71"/>
      <c r="Z121" s="53"/>
    </row>
    <row r="122" spans="10:26" x14ac:dyDescent="0.3">
      <c r="J122" s="65">
        <v>42202</v>
      </c>
      <c r="K122" s="180">
        <v>56.860000999999997</v>
      </c>
      <c r="L122" s="66">
        <f t="shared" si="6"/>
        <v>-5.2729830422401983E-4</v>
      </c>
      <c r="M122" s="180">
        <v>2126.639893</v>
      </c>
      <c r="N122" s="67">
        <f t="shared" si="7"/>
        <v>1.1061832220925132E-3</v>
      </c>
      <c r="P122" s="197"/>
      <c r="Q122" s="198"/>
      <c r="R122" s="196"/>
      <c r="S122" s="198"/>
      <c r="T122" s="196"/>
      <c r="V122" s="69"/>
      <c r="W122" s="71"/>
      <c r="X122" s="53"/>
      <c r="Y122" s="71"/>
      <c r="Z122" s="53"/>
    </row>
    <row r="123" spans="10:26" x14ac:dyDescent="0.3">
      <c r="J123" s="65">
        <v>42201</v>
      </c>
      <c r="K123" s="180">
        <v>56.889999000000003</v>
      </c>
      <c r="L123" s="66">
        <f t="shared" si="6"/>
        <v>-7.328598720492025E-3</v>
      </c>
      <c r="M123" s="180">
        <v>2124.290039</v>
      </c>
      <c r="N123" s="67">
        <f t="shared" si="7"/>
        <v>8.0146805473277783E-3</v>
      </c>
      <c r="P123" s="197"/>
      <c r="Q123" s="198"/>
      <c r="R123" s="196"/>
      <c r="S123" s="198"/>
      <c r="T123" s="196"/>
      <c r="V123" s="69"/>
      <c r="W123" s="71"/>
      <c r="X123" s="53"/>
      <c r="Y123" s="71"/>
      <c r="Z123" s="53"/>
    </row>
    <row r="124" spans="10:26" x14ac:dyDescent="0.3">
      <c r="J124" s="65">
        <v>42200</v>
      </c>
      <c r="K124" s="180">
        <v>57.310001</v>
      </c>
      <c r="L124" s="66">
        <f t="shared" si="6"/>
        <v>-3.2252616814376675E-2</v>
      </c>
      <c r="M124" s="180">
        <v>2107.3999020000001</v>
      </c>
      <c r="N124" s="67">
        <f t="shared" si="7"/>
        <v>-7.3498614761576409E-4</v>
      </c>
      <c r="P124" s="197"/>
      <c r="Q124" s="198"/>
      <c r="R124" s="196"/>
      <c r="S124" s="198"/>
      <c r="T124" s="196"/>
      <c r="V124" s="69"/>
      <c r="W124" s="71"/>
      <c r="X124" s="53"/>
      <c r="Y124" s="71"/>
      <c r="Z124" s="53"/>
    </row>
    <row r="125" spans="10:26" x14ac:dyDescent="0.3">
      <c r="J125" s="65">
        <v>42199</v>
      </c>
      <c r="K125" s="180">
        <v>59.220001000000003</v>
      </c>
      <c r="L125" s="66">
        <f t="shared" si="6"/>
        <v>2.7768171255955827E-2</v>
      </c>
      <c r="M125" s="180">
        <v>2108.9499510000001</v>
      </c>
      <c r="N125" s="67">
        <f t="shared" si="7"/>
        <v>4.4531589653222462E-3</v>
      </c>
      <c r="P125" s="197"/>
      <c r="Q125" s="198"/>
      <c r="R125" s="196"/>
      <c r="S125" s="198"/>
      <c r="T125" s="196"/>
      <c r="V125" s="69"/>
      <c r="W125" s="71"/>
      <c r="X125" s="53"/>
      <c r="Y125" s="71"/>
      <c r="Z125" s="53"/>
    </row>
    <row r="126" spans="10:26" x14ac:dyDescent="0.3">
      <c r="J126" s="65">
        <v>42198</v>
      </c>
      <c r="K126" s="180">
        <v>57.619999</v>
      </c>
      <c r="L126" s="66">
        <f t="shared" si="6"/>
        <v>-1.5883860220048847E-2</v>
      </c>
      <c r="M126" s="180">
        <v>2099.6000979999999</v>
      </c>
      <c r="N126" s="67">
        <f t="shared" si="7"/>
        <v>1.1066049496427928E-2</v>
      </c>
      <c r="P126" s="197"/>
      <c r="Q126" s="198"/>
      <c r="R126" s="196"/>
      <c r="S126" s="198"/>
      <c r="T126" s="196"/>
      <c r="V126" s="69"/>
      <c r="W126" s="71"/>
      <c r="X126" s="53"/>
      <c r="Y126" s="71"/>
      <c r="Z126" s="53"/>
    </row>
    <row r="127" spans="10:26" x14ac:dyDescent="0.3">
      <c r="J127" s="65">
        <v>42195</v>
      </c>
      <c r="K127" s="180">
        <v>58.549999</v>
      </c>
      <c r="L127" s="66">
        <f t="shared" si="6"/>
        <v>-1.2647555019351686E-2</v>
      </c>
      <c r="M127" s="180">
        <v>2076.6201169999999</v>
      </c>
      <c r="N127" s="67">
        <f t="shared" si="7"/>
        <v>1.2338484808258832E-2</v>
      </c>
      <c r="P127" s="197"/>
      <c r="Q127" s="198"/>
      <c r="R127" s="196"/>
      <c r="S127" s="198"/>
      <c r="T127" s="196"/>
      <c r="V127" s="69"/>
      <c r="W127" s="71"/>
      <c r="X127" s="53"/>
      <c r="Y127" s="71"/>
      <c r="Z127" s="53"/>
    </row>
    <row r="128" spans="10:26" x14ac:dyDescent="0.3">
      <c r="J128" s="65">
        <v>42194</v>
      </c>
      <c r="K128" s="180">
        <v>59.299999</v>
      </c>
      <c r="L128" s="66">
        <f t="shared" si="6"/>
        <v>4.071602316602322E-2</v>
      </c>
      <c r="M128" s="180">
        <v>2051.3100589999999</v>
      </c>
      <c r="N128" s="67">
        <f t="shared" si="7"/>
        <v>2.262202629546896E-3</v>
      </c>
      <c r="P128" s="197"/>
      <c r="Q128" s="198"/>
      <c r="R128" s="196"/>
      <c r="S128" s="198"/>
      <c r="T128" s="196"/>
      <c r="V128" s="69"/>
      <c r="W128" s="71"/>
      <c r="X128" s="53"/>
      <c r="Y128" s="71"/>
      <c r="Z128" s="53"/>
    </row>
    <row r="129" spans="10:26" x14ac:dyDescent="0.3">
      <c r="J129" s="65">
        <v>42193</v>
      </c>
      <c r="K129" s="180">
        <v>56.98</v>
      </c>
      <c r="L129" s="66">
        <f t="shared" si="6"/>
        <v>2.9924132548421736E-3</v>
      </c>
      <c r="M129" s="180">
        <v>2046.6800539999999</v>
      </c>
      <c r="N129" s="67">
        <f t="shared" si="7"/>
        <v>-1.6652748966799316E-2</v>
      </c>
      <c r="P129" s="197"/>
      <c r="Q129" s="198"/>
      <c r="R129" s="196"/>
      <c r="S129" s="198"/>
      <c r="T129" s="196"/>
      <c r="V129" s="69"/>
      <c r="W129" s="71"/>
      <c r="X129" s="53"/>
      <c r="Y129" s="71"/>
      <c r="Z129" s="53"/>
    </row>
    <row r="130" spans="10:26" x14ac:dyDescent="0.3">
      <c r="J130" s="65">
        <v>42192</v>
      </c>
      <c r="K130" s="180">
        <v>56.810001</v>
      </c>
      <c r="L130" s="66">
        <f t="shared" si="6"/>
        <v>-2.1023574375729298E-2</v>
      </c>
      <c r="M130" s="180">
        <v>2081.3400879999999</v>
      </c>
      <c r="N130" s="67">
        <f t="shared" si="7"/>
        <v>6.0809750474633151E-3</v>
      </c>
      <c r="P130" s="197"/>
      <c r="Q130" s="198"/>
      <c r="R130" s="196"/>
      <c r="S130" s="198"/>
      <c r="T130" s="196"/>
      <c r="V130" s="69"/>
      <c r="W130" s="71"/>
      <c r="X130" s="53"/>
      <c r="Y130" s="71"/>
      <c r="Z130" s="53"/>
    </row>
    <row r="131" spans="10:26" x14ac:dyDescent="0.3">
      <c r="J131" s="65">
        <v>42191</v>
      </c>
      <c r="K131" s="180">
        <v>58.029998999999997</v>
      </c>
      <c r="L131" s="66">
        <f t="shared" si="6"/>
        <v>-3.8920204721427605E-2</v>
      </c>
      <c r="M131" s="180">
        <v>2068.76001</v>
      </c>
      <c r="N131" s="67">
        <f t="shared" si="7"/>
        <v>-3.8617566078299609E-3</v>
      </c>
      <c r="P131" s="197"/>
      <c r="Q131" s="198"/>
      <c r="R131" s="196"/>
      <c r="S131" s="198"/>
      <c r="T131" s="196"/>
      <c r="V131" s="69"/>
      <c r="W131" s="71"/>
      <c r="X131" s="53"/>
      <c r="Y131" s="71"/>
      <c r="Z131" s="53"/>
    </row>
    <row r="132" spans="10:26" x14ac:dyDescent="0.3">
      <c r="J132" s="65">
        <v>42187</v>
      </c>
      <c r="K132" s="180">
        <v>60.380001</v>
      </c>
      <c r="L132" s="66">
        <f t="shared" si="6"/>
        <v>-3.0351678175686573E-2</v>
      </c>
      <c r="M132" s="180">
        <v>2076.780029</v>
      </c>
      <c r="N132" s="67">
        <f t="shared" si="7"/>
        <v>-3.0802294385623452E-4</v>
      </c>
      <c r="P132" s="197"/>
      <c r="Q132" s="198"/>
      <c r="R132" s="196"/>
      <c r="S132" s="198"/>
      <c r="T132" s="196"/>
      <c r="V132" s="69"/>
      <c r="W132" s="71"/>
      <c r="X132" s="53"/>
      <c r="Y132" s="71"/>
      <c r="Z132" s="53"/>
    </row>
    <row r="133" spans="10:26" x14ac:dyDescent="0.3">
      <c r="J133" s="65">
        <v>42186</v>
      </c>
      <c r="K133" s="180">
        <v>62.27</v>
      </c>
      <c r="L133" s="66">
        <f t="shared" si="6"/>
        <v>-8.7551735116204576E-3</v>
      </c>
      <c r="M133" s="180">
        <v>2077.419922</v>
      </c>
      <c r="N133" s="67">
        <f t="shared" si="7"/>
        <v>6.9360403748921539E-3</v>
      </c>
      <c r="P133" s="197"/>
      <c r="Q133" s="198"/>
      <c r="R133" s="196"/>
      <c r="S133" s="198"/>
      <c r="T133" s="196"/>
      <c r="V133" s="69"/>
      <c r="W133" s="71"/>
      <c r="X133" s="53"/>
      <c r="Y133" s="71"/>
      <c r="Z133" s="53"/>
    </row>
    <row r="134" spans="10:26" x14ac:dyDescent="0.3">
      <c r="J134" s="65">
        <v>42185</v>
      </c>
      <c r="K134" s="180">
        <v>62.82</v>
      </c>
      <c r="L134" s="66">
        <f t="shared" si="6"/>
        <v>1.469875625908583E-2</v>
      </c>
      <c r="M134" s="180">
        <v>2063.110107</v>
      </c>
      <c r="N134" s="67">
        <f t="shared" si="7"/>
        <v>2.6584894755439801E-3</v>
      </c>
      <c r="P134" s="197"/>
      <c r="Q134" s="198"/>
      <c r="R134" s="196"/>
      <c r="S134" s="198"/>
      <c r="T134" s="196"/>
      <c r="V134" s="69"/>
      <c r="W134" s="71"/>
      <c r="X134" s="53"/>
      <c r="Y134" s="71"/>
      <c r="Z134" s="53"/>
    </row>
    <row r="135" spans="10:26" x14ac:dyDescent="0.3">
      <c r="J135" s="65">
        <v>42184</v>
      </c>
      <c r="K135" s="180">
        <v>61.91</v>
      </c>
      <c r="L135" s="66">
        <f t="shared" si="6"/>
        <v>-5.8832457568143273E-2</v>
      </c>
      <c r="M135" s="180">
        <v>2057.639893</v>
      </c>
      <c r="N135" s="67">
        <f t="shared" si="7"/>
        <v>-2.0866193609611249E-2</v>
      </c>
      <c r="P135" s="197"/>
      <c r="Q135" s="198"/>
      <c r="R135" s="196"/>
      <c r="S135" s="198"/>
      <c r="T135" s="196"/>
      <c r="V135" s="69"/>
      <c r="W135" s="71"/>
      <c r="X135" s="53"/>
      <c r="Y135" s="71"/>
      <c r="Z135" s="53"/>
    </row>
    <row r="136" spans="10:26" x14ac:dyDescent="0.3">
      <c r="J136" s="65">
        <v>42181</v>
      </c>
      <c r="K136" s="180">
        <v>65.779999000000004</v>
      </c>
      <c r="L136" s="66">
        <f t="shared" si="6"/>
        <v>-5.6917577060931847E-2</v>
      </c>
      <c r="M136" s="180">
        <v>2101.48999</v>
      </c>
      <c r="N136" s="67">
        <f t="shared" si="7"/>
        <v>-3.9007994871601183E-4</v>
      </c>
      <c r="P136" s="197"/>
      <c r="Q136" s="198"/>
      <c r="R136" s="196"/>
      <c r="S136" s="198"/>
      <c r="T136" s="196"/>
      <c r="V136" s="69"/>
      <c r="W136" s="71"/>
      <c r="X136" s="53"/>
      <c r="Y136" s="71"/>
      <c r="Z136" s="53"/>
    </row>
    <row r="137" spans="10:26" x14ac:dyDescent="0.3">
      <c r="J137" s="65">
        <v>42180</v>
      </c>
      <c r="K137" s="180">
        <v>69.75</v>
      </c>
      <c r="L137" s="66">
        <f t="shared" si="6"/>
        <v>-2.0031335241541938E-3</v>
      </c>
      <c r="M137" s="180">
        <v>2102.3100589999999</v>
      </c>
      <c r="N137" s="67">
        <f t="shared" si="7"/>
        <v>-2.9735740489150383E-3</v>
      </c>
      <c r="P137" s="197"/>
      <c r="Q137" s="198"/>
      <c r="R137" s="196"/>
      <c r="S137" s="198"/>
      <c r="T137" s="196"/>
      <c r="V137" s="69"/>
      <c r="W137" s="71"/>
      <c r="X137" s="53"/>
      <c r="Y137" s="71"/>
      <c r="Z137" s="53"/>
    </row>
    <row r="138" spans="10:26" x14ac:dyDescent="0.3">
      <c r="J138" s="65">
        <v>42179</v>
      </c>
      <c r="K138" s="180">
        <v>69.889999000000003</v>
      </c>
      <c r="L138" s="66">
        <f t="shared" ref="L138:L201" si="8">(K138-K139)/K139</f>
        <v>-2.7414444372189668E-2</v>
      </c>
      <c r="M138" s="180">
        <v>2108.580078</v>
      </c>
      <c r="N138" s="67">
        <f t="shared" ref="N138:N201" si="9">(M138-M139)/M139</f>
        <v>-7.3532969401711923E-3</v>
      </c>
      <c r="P138" s="197"/>
      <c r="Q138" s="198"/>
      <c r="R138" s="196"/>
      <c r="S138" s="198"/>
      <c r="T138" s="196"/>
      <c r="V138" s="69"/>
      <c r="W138" s="71"/>
      <c r="X138" s="53"/>
      <c r="Y138" s="71"/>
      <c r="Z138" s="53"/>
    </row>
    <row r="139" spans="10:26" x14ac:dyDescent="0.3">
      <c r="J139" s="65">
        <v>42178</v>
      </c>
      <c r="K139" s="180">
        <v>71.860000999999997</v>
      </c>
      <c r="L139" s="66">
        <f t="shared" si="8"/>
        <v>-2.0980939482808238E-2</v>
      </c>
      <c r="M139" s="180">
        <v>2124.1999510000001</v>
      </c>
      <c r="N139" s="67">
        <f t="shared" si="9"/>
        <v>6.3586826091578631E-4</v>
      </c>
      <c r="P139" s="197"/>
      <c r="Q139" s="198"/>
      <c r="R139" s="196"/>
      <c r="S139" s="198"/>
      <c r="T139" s="196"/>
      <c r="V139" s="69"/>
      <c r="W139" s="71"/>
      <c r="X139" s="53"/>
      <c r="Y139" s="71"/>
      <c r="Z139" s="53"/>
    </row>
    <row r="140" spans="10:26" x14ac:dyDescent="0.3">
      <c r="J140" s="65">
        <v>42177</v>
      </c>
      <c r="K140" s="180">
        <v>73.400002000000001</v>
      </c>
      <c r="L140" s="66">
        <f t="shared" si="8"/>
        <v>2.4583583384546019E-3</v>
      </c>
      <c r="M140" s="180">
        <v>2122.8500979999999</v>
      </c>
      <c r="N140" s="67">
        <f t="shared" si="9"/>
        <v>6.0948668292022815E-3</v>
      </c>
      <c r="P140" s="197"/>
      <c r="Q140" s="198"/>
      <c r="R140" s="196"/>
      <c r="S140" s="198"/>
      <c r="T140" s="196"/>
      <c r="V140" s="69"/>
      <c r="W140" s="71"/>
      <c r="X140" s="53"/>
      <c r="Y140" s="71"/>
      <c r="Z140" s="53"/>
    </row>
    <row r="141" spans="10:26" x14ac:dyDescent="0.3">
      <c r="J141" s="65">
        <v>42174</v>
      </c>
      <c r="K141" s="180">
        <v>73.220000999999996</v>
      </c>
      <c r="L141" s="66">
        <f t="shared" si="8"/>
        <v>9.5133325453374499E-3</v>
      </c>
      <c r="M141" s="180">
        <v>2109.98999</v>
      </c>
      <c r="N141" s="67">
        <f t="shared" si="9"/>
        <v>-5.3035017504077884E-3</v>
      </c>
      <c r="P141" s="197"/>
      <c r="Q141" s="198"/>
      <c r="R141" s="196"/>
      <c r="S141" s="198"/>
      <c r="T141" s="196"/>
      <c r="V141" s="69"/>
      <c r="W141" s="71"/>
      <c r="X141" s="53"/>
      <c r="Y141" s="71"/>
      <c r="Z141" s="53"/>
    </row>
    <row r="142" spans="10:26" x14ac:dyDescent="0.3">
      <c r="J142" s="65">
        <v>42173</v>
      </c>
      <c r="K142" s="180">
        <v>72.529999000000004</v>
      </c>
      <c r="L142" s="66">
        <f t="shared" si="8"/>
        <v>-1.8405738508671509E-2</v>
      </c>
      <c r="M142" s="180">
        <v>2121.23999</v>
      </c>
      <c r="N142" s="67">
        <f t="shared" si="9"/>
        <v>9.9027106626515746E-3</v>
      </c>
      <c r="P142" s="197"/>
      <c r="Q142" s="198"/>
      <c r="R142" s="196"/>
      <c r="S142" s="198"/>
      <c r="T142" s="196"/>
      <c r="V142" s="69"/>
      <c r="W142" s="71"/>
      <c r="X142" s="53"/>
      <c r="Y142" s="71"/>
      <c r="Z142" s="53"/>
    </row>
    <row r="143" spans="10:26" x14ac:dyDescent="0.3">
      <c r="J143" s="65">
        <v>42172</v>
      </c>
      <c r="K143" s="180">
        <v>73.889999000000003</v>
      </c>
      <c r="L143" s="66">
        <f t="shared" si="8"/>
        <v>3.8072478224220233E-2</v>
      </c>
      <c r="M143" s="180">
        <v>2100.4399410000001</v>
      </c>
      <c r="N143" s="67">
        <f t="shared" si="9"/>
        <v>1.9796411387709269E-3</v>
      </c>
      <c r="P143" s="197"/>
      <c r="Q143" s="198"/>
      <c r="R143" s="196"/>
      <c r="S143" s="198"/>
      <c r="T143" s="196"/>
      <c r="V143" s="69"/>
      <c r="W143" s="71"/>
      <c r="X143" s="53"/>
      <c r="Y143" s="71"/>
      <c r="Z143" s="53"/>
    </row>
    <row r="144" spans="10:26" x14ac:dyDescent="0.3">
      <c r="J144" s="65">
        <v>42171</v>
      </c>
      <c r="K144" s="180">
        <v>71.180000000000007</v>
      </c>
      <c r="L144" s="66">
        <f t="shared" si="8"/>
        <v>4.9413806313320955E-3</v>
      </c>
      <c r="M144" s="180">
        <v>2096.290039</v>
      </c>
      <c r="N144" s="67">
        <f t="shared" si="9"/>
        <v>5.6898564053051463E-3</v>
      </c>
      <c r="P144" s="197"/>
      <c r="Q144" s="198"/>
      <c r="R144" s="196"/>
      <c r="S144" s="198"/>
      <c r="T144" s="196"/>
      <c r="V144" s="69"/>
      <c r="W144" s="71"/>
      <c r="X144" s="53"/>
      <c r="Y144" s="71"/>
      <c r="Z144" s="53"/>
    </row>
    <row r="145" spans="10:26" x14ac:dyDescent="0.3">
      <c r="J145" s="65">
        <v>42170</v>
      </c>
      <c r="K145" s="180">
        <v>70.830001999999993</v>
      </c>
      <c r="L145" s="66">
        <f t="shared" si="8"/>
        <v>6.5914299439321228E-2</v>
      </c>
      <c r="M145" s="180">
        <v>2084.429932</v>
      </c>
      <c r="N145" s="67">
        <f t="shared" si="9"/>
        <v>-4.6225721215145078E-3</v>
      </c>
      <c r="P145" s="197"/>
      <c r="Q145" s="198"/>
      <c r="R145" s="196"/>
      <c r="S145" s="198"/>
      <c r="T145" s="196"/>
      <c r="V145" s="69"/>
      <c r="W145" s="71"/>
      <c r="X145" s="53"/>
      <c r="Y145" s="71"/>
      <c r="Z145" s="53"/>
    </row>
    <row r="146" spans="10:26" x14ac:dyDescent="0.3">
      <c r="J146" s="65">
        <v>42167</v>
      </c>
      <c r="K146" s="180">
        <v>66.449996999999996</v>
      </c>
      <c r="L146" s="66">
        <f t="shared" si="8"/>
        <v>6.0485110118097665E-2</v>
      </c>
      <c r="M146" s="180">
        <v>2094.110107</v>
      </c>
      <c r="N146" s="67">
        <f t="shared" si="9"/>
        <v>-6.9942998831643219E-3</v>
      </c>
      <c r="P146" s="197"/>
      <c r="Q146" s="198"/>
      <c r="R146" s="196"/>
      <c r="S146" s="198"/>
      <c r="T146" s="196"/>
      <c r="V146" s="69"/>
      <c r="W146" s="71"/>
      <c r="X146" s="53"/>
      <c r="Y146" s="71"/>
      <c r="Z146" s="53"/>
    </row>
    <row r="147" spans="10:26" x14ac:dyDescent="0.3">
      <c r="J147" s="65">
        <v>42166</v>
      </c>
      <c r="K147" s="180">
        <v>62.66</v>
      </c>
      <c r="L147" s="66">
        <f t="shared" si="8"/>
        <v>-1.120402416291664E-2</v>
      </c>
      <c r="M147" s="180">
        <v>2108.860107</v>
      </c>
      <c r="N147" s="67">
        <f t="shared" si="9"/>
        <v>1.7386262992554644E-3</v>
      </c>
      <c r="P147" s="197"/>
      <c r="Q147" s="198"/>
      <c r="R147" s="196"/>
      <c r="S147" s="198"/>
      <c r="T147" s="196"/>
      <c r="V147" s="69"/>
      <c r="W147" s="71"/>
      <c r="X147" s="53"/>
      <c r="Y147" s="71"/>
      <c r="Z147" s="53"/>
    </row>
    <row r="148" spans="10:26" x14ac:dyDescent="0.3">
      <c r="J148" s="65">
        <v>42165</v>
      </c>
      <c r="K148" s="180">
        <v>63.369999</v>
      </c>
      <c r="L148" s="66">
        <f t="shared" si="8"/>
        <v>-3.0149940627483347E-2</v>
      </c>
      <c r="M148" s="180">
        <v>2105.1999510000001</v>
      </c>
      <c r="N148" s="67">
        <f t="shared" si="9"/>
        <v>1.2042424911740781E-2</v>
      </c>
      <c r="P148" s="197"/>
      <c r="Q148" s="198"/>
      <c r="R148" s="196"/>
      <c r="S148" s="198"/>
      <c r="T148" s="196"/>
      <c r="V148" s="69"/>
      <c r="W148" s="71"/>
      <c r="X148" s="53"/>
      <c r="Y148" s="71"/>
      <c r="Z148" s="53"/>
    </row>
    <row r="149" spans="10:26" x14ac:dyDescent="0.3">
      <c r="J149" s="65">
        <v>42164</v>
      </c>
      <c r="K149" s="180">
        <v>65.339995999999999</v>
      </c>
      <c r="L149" s="66">
        <f t="shared" si="8"/>
        <v>-4.8215672302529593E-2</v>
      </c>
      <c r="M149" s="180">
        <v>2080.1499020000001</v>
      </c>
      <c r="N149" s="67">
        <f t="shared" si="9"/>
        <v>4.1835298173784259E-4</v>
      </c>
      <c r="P149" s="197"/>
      <c r="Q149" s="198"/>
      <c r="R149" s="196"/>
      <c r="S149" s="198"/>
      <c r="T149" s="196"/>
      <c r="V149" s="69"/>
      <c r="W149" s="71"/>
      <c r="X149" s="53"/>
      <c r="Y149" s="71"/>
      <c r="Z149" s="53"/>
    </row>
    <row r="150" spans="10:26" x14ac:dyDescent="0.3">
      <c r="J150" s="65">
        <v>42163</v>
      </c>
      <c r="K150" s="180">
        <v>68.650002000000001</v>
      </c>
      <c r="L150" s="66">
        <f t="shared" si="8"/>
        <v>3.6382911726537202E-2</v>
      </c>
      <c r="M150" s="180">
        <v>2079.280029</v>
      </c>
      <c r="N150" s="67">
        <f t="shared" si="9"/>
        <v>-6.4745098717947352E-3</v>
      </c>
      <c r="P150" s="197"/>
      <c r="Q150" s="198"/>
      <c r="R150" s="196"/>
      <c r="S150" s="198"/>
      <c r="T150" s="196"/>
      <c r="V150" s="69"/>
      <c r="W150" s="71"/>
      <c r="X150" s="53"/>
      <c r="Y150" s="71"/>
      <c r="Z150" s="53"/>
    </row>
    <row r="151" spans="10:26" x14ac:dyDescent="0.3">
      <c r="J151" s="65">
        <v>42160</v>
      </c>
      <c r="K151" s="180">
        <v>66.239998</v>
      </c>
      <c r="L151" s="66">
        <f t="shared" si="8"/>
        <v>7.4104104884193445E-2</v>
      </c>
      <c r="M151" s="180">
        <v>2092.830078</v>
      </c>
      <c r="N151" s="67">
        <f t="shared" si="9"/>
        <v>-1.4361830452781976E-3</v>
      </c>
      <c r="P151" s="197"/>
      <c r="Q151" s="198"/>
      <c r="R151" s="196"/>
      <c r="S151" s="198"/>
      <c r="T151" s="196"/>
      <c r="V151" s="69"/>
      <c r="W151" s="71"/>
      <c r="X151" s="53"/>
      <c r="Y151" s="71"/>
      <c r="Z151" s="53"/>
    </row>
    <row r="152" spans="10:26" x14ac:dyDescent="0.3">
      <c r="J152" s="65">
        <v>42159</v>
      </c>
      <c r="K152" s="180">
        <v>61.669998</v>
      </c>
      <c r="L152" s="66">
        <f t="shared" si="8"/>
        <v>-9.7944927712666947E-3</v>
      </c>
      <c r="M152" s="180">
        <v>2095.8400879999999</v>
      </c>
      <c r="N152" s="67">
        <f t="shared" si="9"/>
        <v>-8.623167356627116E-3</v>
      </c>
      <c r="P152" s="197"/>
      <c r="Q152" s="198"/>
      <c r="R152" s="196"/>
      <c r="S152" s="198"/>
      <c r="T152" s="196"/>
      <c r="V152" s="69"/>
      <c r="W152" s="71"/>
      <c r="X152" s="53"/>
      <c r="Y152" s="71"/>
      <c r="Z152" s="53"/>
    </row>
    <row r="153" spans="10:26" x14ac:dyDescent="0.3">
      <c r="J153" s="65">
        <v>42158</v>
      </c>
      <c r="K153" s="180">
        <v>62.279998999999997</v>
      </c>
      <c r="L153" s="66">
        <f t="shared" si="8"/>
        <v>2.7370471303003142E-3</v>
      </c>
      <c r="M153" s="180">
        <v>2114.070068</v>
      </c>
      <c r="N153" s="67">
        <f t="shared" si="9"/>
        <v>2.1188707775648308E-3</v>
      </c>
      <c r="P153" s="197"/>
      <c r="Q153" s="198"/>
      <c r="R153" s="196"/>
      <c r="S153" s="198"/>
      <c r="T153" s="196"/>
      <c r="V153" s="69"/>
      <c r="W153" s="71"/>
      <c r="X153" s="53"/>
      <c r="Y153" s="71"/>
      <c r="Z153" s="53"/>
    </row>
    <row r="154" spans="10:26" x14ac:dyDescent="0.3">
      <c r="J154" s="65">
        <v>42157</v>
      </c>
      <c r="K154" s="180">
        <v>62.110000999999997</v>
      </c>
      <c r="L154" s="66">
        <f t="shared" si="8"/>
        <v>2.2891962732345696E-2</v>
      </c>
      <c r="M154" s="180">
        <v>2109.6000979999999</v>
      </c>
      <c r="N154" s="67">
        <f t="shared" si="9"/>
        <v>-1.0085958054164574E-3</v>
      </c>
      <c r="P154" s="197"/>
      <c r="Q154" s="198"/>
      <c r="R154" s="196"/>
      <c r="S154" s="198"/>
      <c r="T154" s="196"/>
      <c r="V154" s="69"/>
      <c r="W154" s="71"/>
      <c r="X154" s="53"/>
      <c r="Y154" s="71"/>
      <c r="Z154" s="53"/>
    </row>
    <row r="155" spans="10:26" x14ac:dyDescent="0.3">
      <c r="J155" s="65">
        <v>42156</v>
      </c>
      <c r="K155" s="180">
        <v>60.720001000000003</v>
      </c>
      <c r="L155" s="66">
        <f t="shared" si="8"/>
        <v>-2.3637208934510465E-2</v>
      </c>
      <c r="M155" s="180">
        <v>2111.7299800000001</v>
      </c>
      <c r="N155" s="67">
        <f t="shared" si="9"/>
        <v>2.0594608593389697E-3</v>
      </c>
      <c r="P155" s="197"/>
      <c r="Q155" s="198"/>
      <c r="R155" s="196"/>
      <c r="S155" s="198"/>
      <c r="T155" s="196"/>
      <c r="V155" s="69"/>
      <c r="W155" s="71"/>
      <c r="X155" s="53"/>
      <c r="Y155" s="71"/>
      <c r="Z155" s="53"/>
    </row>
    <row r="156" spans="10:26" x14ac:dyDescent="0.3">
      <c r="J156" s="65">
        <v>42153</v>
      </c>
      <c r="K156" s="180">
        <v>62.189999</v>
      </c>
      <c r="L156" s="66">
        <f t="shared" si="8"/>
        <v>-3.2212930836821321E-2</v>
      </c>
      <c r="M156" s="180">
        <v>2107.389893</v>
      </c>
      <c r="N156" s="67">
        <f t="shared" si="9"/>
        <v>-6.3184689448647254E-3</v>
      </c>
      <c r="P156" s="197"/>
      <c r="Q156" s="198"/>
      <c r="R156" s="196"/>
      <c r="S156" s="198"/>
      <c r="T156" s="196"/>
      <c r="V156" s="69"/>
      <c r="W156" s="71"/>
      <c r="X156" s="53"/>
      <c r="Y156" s="71"/>
      <c r="Z156" s="53"/>
    </row>
    <row r="157" spans="10:26" x14ac:dyDescent="0.3">
      <c r="J157" s="65">
        <v>42152</v>
      </c>
      <c r="K157" s="180">
        <v>64.260002</v>
      </c>
      <c r="L157" s="66">
        <f t="shared" si="8"/>
        <v>-1.5551580000857209E-4</v>
      </c>
      <c r="M157" s="180">
        <v>2120.790039</v>
      </c>
      <c r="N157" s="67">
        <f t="shared" si="9"/>
        <v>-1.2667607066397159E-3</v>
      </c>
      <c r="P157" s="197"/>
      <c r="Q157" s="198"/>
      <c r="R157" s="196"/>
      <c r="S157" s="198"/>
      <c r="T157" s="196"/>
      <c r="V157" s="69"/>
      <c r="W157" s="71"/>
      <c r="X157" s="53"/>
      <c r="Y157" s="71"/>
      <c r="Z157" s="53"/>
    </row>
    <row r="158" spans="10:26" x14ac:dyDescent="0.3">
      <c r="J158" s="65">
        <v>42151</v>
      </c>
      <c r="K158" s="180">
        <v>64.269997000000004</v>
      </c>
      <c r="L158" s="66">
        <f t="shared" si="8"/>
        <v>2.8319952000000058E-2</v>
      </c>
      <c r="M158" s="180">
        <v>2123.4799800000001</v>
      </c>
      <c r="N158" s="67">
        <f t="shared" si="9"/>
        <v>9.1626411220271011E-3</v>
      </c>
      <c r="P158" s="197"/>
      <c r="Q158" s="198"/>
      <c r="R158" s="196"/>
      <c r="S158" s="198"/>
      <c r="T158" s="196"/>
      <c r="V158" s="69"/>
      <c r="W158" s="71"/>
      <c r="X158" s="53"/>
      <c r="Y158" s="71"/>
      <c r="Z158" s="53"/>
    </row>
    <row r="159" spans="10:26" x14ac:dyDescent="0.3">
      <c r="J159" s="65">
        <v>42150</v>
      </c>
      <c r="K159" s="180">
        <v>62.5</v>
      </c>
      <c r="L159" s="66">
        <f t="shared" si="8"/>
        <v>-1.6367657910486919E-2</v>
      </c>
      <c r="M159" s="180">
        <v>2104.1999510000001</v>
      </c>
      <c r="N159" s="67">
        <f t="shared" si="9"/>
        <v>-1.0281980467796303E-2</v>
      </c>
      <c r="P159" s="197"/>
      <c r="Q159" s="198"/>
      <c r="R159" s="196"/>
      <c r="S159" s="198"/>
      <c r="T159" s="196"/>
      <c r="V159" s="69"/>
      <c r="W159" s="71"/>
      <c r="X159" s="53"/>
      <c r="Y159" s="71"/>
      <c r="Z159" s="53"/>
    </row>
    <row r="160" spans="10:26" x14ac:dyDescent="0.3">
      <c r="J160" s="65">
        <v>42146</v>
      </c>
      <c r="K160" s="180">
        <v>63.540000999999997</v>
      </c>
      <c r="L160" s="66">
        <f t="shared" si="8"/>
        <v>-1.9898210091062418E-2</v>
      </c>
      <c r="M160" s="180">
        <v>2126.0600589999999</v>
      </c>
      <c r="N160" s="67">
        <f t="shared" si="9"/>
        <v>-2.2338859444231973E-3</v>
      </c>
      <c r="P160" s="197"/>
      <c r="Q160" s="198"/>
      <c r="R160" s="196"/>
      <c r="S160" s="198"/>
      <c r="T160" s="196"/>
      <c r="V160" s="69"/>
      <c r="W160" s="71"/>
      <c r="X160" s="53"/>
      <c r="Y160" s="71"/>
      <c r="Z160" s="53"/>
    </row>
    <row r="161" spans="10:26" x14ac:dyDescent="0.3">
      <c r="J161" s="65">
        <v>42145</v>
      </c>
      <c r="K161" s="180">
        <v>64.830001999999993</v>
      </c>
      <c r="L161" s="66">
        <f t="shared" si="8"/>
        <v>2.5791154655203138E-2</v>
      </c>
      <c r="M161" s="180">
        <v>2130.820068</v>
      </c>
      <c r="N161" s="67">
        <f t="shared" si="9"/>
        <v>2.3378741542857849E-3</v>
      </c>
      <c r="P161" s="197"/>
      <c r="Q161" s="198"/>
      <c r="R161" s="196"/>
      <c r="S161" s="198"/>
      <c r="T161" s="196"/>
      <c r="V161" s="69"/>
      <c r="W161" s="71"/>
      <c r="X161" s="53"/>
      <c r="Y161" s="71"/>
      <c r="Z161" s="53"/>
    </row>
    <row r="162" spans="10:26" x14ac:dyDescent="0.3">
      <c r="J162" s="65">
        <v>42144</v>
      </c>
      <c r="K162" s="180">
        <v>63.200001</v>
      </c>
      <c r="L162" s="66">
        <f t="shared" si="8"/>
        <v>6.3332805573153468E-4</v>
      </c>
      <c r="M162" s="180">
        <v>2125.8500979999999</v>
      </c>
      <c r="N162" s="67">
        <f t="shared" si="9"/>
        <v>-9.3051603155318719E-4</v>
      </c>
      <c r="P162" s="197"/>
      <c r="Q162" s="198"/>
      <c r="R162" s="196"/>
      <c r="S162" s="198"/>
      <c r="T162" s="196"/>
      <c r="V162" s="69"/>
      <c r="W162" s="71"/>
      <c r="X162" s="53"/>
      <c r="Y162" s="71"/>
      <c r="Z162" s="53"/>
    </row>
    <row r="163" spans="10:26" x14ac:dyDescent="0.3">
      <c r="J163" s="65">
        <v>42143</v>
      </c>
      <c r="K163" s="180">
        <v>63.16</v>
      </c>
      <c r="L163" s="66">
        <f t="shared" si="8"/>
        <v>-9.4908255379506955E-4</v>
      </c>
      <c r="M163" s="180">
        <v>2127.830078</v>
      </c>
      <c r="N163" s="67">
        <f t="shared" si="9"/>
        <v>-6.4337452166327697E-4</v>
      </c>
      <c r="P163" s="197"/>
      <c r="Q163" s="198"/>
      <c r="R163" s="196"/>
      <c r="S163" s="198"/>
      <c r="T163" s="196"/>
      <c r="V163" s="69"/>
      <c r="W163" s="71"/>
      <c r="X163" s="53"/>
      <c r="Y163" s="71"/>
      <c r="Z163" s="53"/>
    </row>
    <row r="164" spans="10:26" x14ac:dyDescent="0.3">
      <c r="J164" s="65">
        <v>42142</v>
      </c>
      <c r="K164" s="180">
        <v>63.220001000000003</v>
      </c>
      <c r="L164" s="66">
        <f t="shared" si="8"/>
        <v>4.9643051635397756E-2</v>
      </c>
      <c r="M164" s="180">
        <v>2129.1999510000001</v>
      </c>
      <c r="N164" s="67">
        <f t="shared" si="9"/>
        <v>3.0479481898116815E-3</v>
      </c>
      <c r="P164" s="197"/>
      <c r="Q164" s="198"/>
      <c r="R164" s="196"/>
      <c r="S164" s="198"/>
      <c r="T164" s="196"/>
      <c r="V164" s="69"/>
      <c r="W164" s="71"/>
      <c r="X164" s="53"/>
      <c r="Y164" s="71"/>
      <c r="Z164" s="53"/>
    </row>
    <row r="165" spans="10:26" x14ac:dyDescent="0.3">
      <c r="J165" s="65">
        <v>42139</v>
      </c>
      <c r="K165" s="180">
        <v>60.23</v>
      </c>
      <c r="L165" s="66">
        <f t="shared" si="8"/>
        <v>-2.0650406504065091E-2</v>
      </c>
      <c r="M165" s="180">
        <v>2122.7299800000001</v>
      </c>
      <c r="N165" s="67">
        <f t="shared" si="9"/>
        <v>7.6841352349990783E-4</v>
      </c>
      <c r="P165" s="197"/>
      <c r="Q165" s="198"/>
      <c r="R165" s="196"/>
      <c r="S165" s="198"/>
      <c r="T165" s="196"/>
      <c r="V165" s="69"/>
      <c r="W165" s="71"/>
      <c r="X165" s="53"/>
      <c r="Y165" s="71"/>
      <c r="Z165" s="53"/>
    </row>
    <row r="166" spans="10:26" x14ac:dyDescent="0.3">
      <c r="J166" s="65">
        <v>42138</v>
      </c>
      <c r="K166" s="180">
        <v>61.5</v>
      </c>
      <c r="L166" s="66">
        <f t="shared" si="8"/>
        <v>3.2626591070580658E-3</v>
      </c>
      <c r="M166" s="180">
        <v>2121.1000979999999</v>
      </c>
      <c r="N166" s="67">
        <f t="shared" si="9"/>
        <v>1.0779287015166006E-2</v>
      </c>
      <c r="P166" s="197"/>
      <c r="Q166" s="198"/>
      <c r="R166" s="196"/>
      <c r="S166" s="198"/>
      <c r="T166" s="196"/>
      <c r="V166" s="69"/>
      <c r="W166" s="71"/>
      <c r="X166" s="53"/>
      <c r="Y166" s="71"/>
      <c r="Z166" s="53"/>
    </row>
    <row r="167" spans="10:26" x14ac:dyDescent="0.3">
      <c r="J167" s="65">
        <v>42137</v>
      </c>
      <c r="K167" s="180">
        <v>61.299999</v>
      </c>
      <c r="L167" s="66">
        <f t="shared" si="8"/>
        <v>8.7213921342767248E-3</v>
      </c>
      <c r="M167" s="180">
        <v>2098.4799800000001</v>
      </c>
      <c r="N167" s="67">
        <f t="shared" si="9"/>
        <v>-3.0495491649841012E-4</v>
      </c>
      <c r="P167" s="197"/>
      <c r="Q167" s="198"/>
      <c r="R167" s="196"/>
      <c r="S167" s="198"/>
      <c r="T167" s="196"/>
      <c r="V167" s="69"/>
      <c r="W167" s="71"/>
      <c r="X167" s="53"/>
      <c r="Y167" s="71"/>
      <c r="Z167" s="53"/>
    </row>
    <row r="168" spans="10:26" x14ac:dyDescent="0.3">
      <c r="J168" s="65">
        <v>42136</v>
      </c>
      <c r="K168" s="180">
        <v>60.77</v>
      </c>
      <c r="L168" s="66">
        <f t="shared" si="8"/>
        <v>-5.5192786069651591E-2</v>
      </c>
      <c r="M168" s="180">
        <v>2099.1201169999999</v>
      </c>
      <c r="N168" s="67">
        <f t="shared" si="9"/>
        <v>-2.9496377147184903E-3</v>
      </c>
      <c r="P168" s="197"/>
      <c r="Q168" s="198"/>
      <c r="R168" s="196"/>
      <c r="S168" s="198"/>
      <c r="T168" s="196"/>
      <c r="V168" s="69"/>
      <c r="W168" s="71"/>
      <c r="X168" s="53"/>
      <c r="Y168" s="71"/>
      <c r="Z168" s="53"/>
    </row>
    <row r="169" spans="10:26" x14ac:dyDescent="0.3">
      <c r="J169" s="65">
        <v>42135</v>
      </c>
      <c r="K169" s="180">
        <v>64.319999999999993</v>
      </c>
      <c r="L169" s="66">
        <f t="shared" si="8"/>
        <v>-2.7370287042354013E-2</v>
      </c>
      <c r="M169" s="180">
        <v>2105.330078</v>
      </c>
      <c r="N169" s="67">
        <f t="shared" si="9"/>
        <v>-5.0895607491247951E-3</v>
      </c>
      <c r="P169" s="197"/>
      <c r="Q169" s="198"/>
      <c r="R169" s="196"/>
      <c r="S169" s="198"/>
      <c r="T169" s="196"/>
      <c r="V169" s="69"/>
      <c r="W169" s="71"/>
      <c r="X169" s="53"/>
      <c r="Y169" s="71"/>
      <c r="Z169" s="53"/>
    </row>
    <row r="170" spans="10:26" x14ac:dyDescent="0.3">
      <c r="J170" s="65">
        <v>42132</v>
      </c>
      <c r="K170" s="180">
        <v>66.129997000000003</v>
      </c>
      <c r="L170" s="66">
        <f t="shared" si="8"/>
        <v>7.5809271582735122E-2</v>
      </c>
      <c r="M170" s="180">
        <v>2116.1000979999999</v>
      </c>
      <c r="N170" s="67">
        <f t="shared" si="9"/>
        <v>1.3457901340996115E-2</v>
      </c>
      <c r="P170" s="197"/>
      <c r="Q170" s="198"/>
      <c r="R170" s="196"/>
      <c r="S170" s="198"/>
      <c r="T170" s="196"/>
      <c r="V170" s="69"/>
      <c r="W170" s="71"/>
      <c r="X170" s="53"/>
      <c r="Y170" s="71"/>
      <c r="Z170" s="53"/>
    </row>
    <row r="171" spans="10:26" x14ac:dyDescent="0.3">
      <c r="J171" s="65">
        <v>42131</v>
      </c>
      <c r="K171" s="180">
        <v>61.470001000000003</v>
      </c>
      <c r="L171" s="66">
        <f t="shared" si="8"/>
        <v>-1.9304387364390496E-2</v>
      </c>
      <c r="M171" s="180">
        <v>2088</v>
      </c>
      <c r="N171" s="67">
        <f t="shared" si="9"/>
        <v>3.7738136047081325E-3</v>
      </c>
      <c r="P171" s="197"/>
      <c r="Q171" s="198"/>
      <c r="R171" s="196"/>
      <c r="S171" s="198"/>
      <c r="T171" s="196"/>
      <c r="V171" s="69"/>
      <c r="W171" s="71"/>
      <c r="X171" s="53"/>
      <c r="Y171" s="71"/>
      <c r="Z171" s="53"/>
    </row>
    <row r="172" spans="10:26" x14ac:dyDescent="0.3">
      <c r="J172" s="65">
        <v>42130</v>
      </c>
      <c r="K172" s="180">
        <v>62.68</v>
      </c>
      <c r="L172" s="66">
        <f t="shared" si="8"/>
        <v>-6.4986527183389393E-3</v>
      </c>
      <c r="M172" s="180">
        <v>2080.1499020000001</v>
      </c>
      <c r="N172" s="67">
        <f t="shared" si="9"/>
        <v>-4.4557250073096327E-3</v>
      </c>
      <c r="P172" s="197"/>
      <c r="Q172" s="198"/>
      <c r="R172" s="196"/>
      <c r="S172" s="198"/>
      <c r="T172" s="196"/>
      <c r="V172" s="69"/>
      <c r="W172" s="71"/>
      <c r="X172" s="53"/>
      <c r="Y172" s="71"/>
      <c r="Z172" s="53"/>
    </row>
    <row r="173" spans="10:26" x14ac:dyDescent="0.3">
      <c r="J173" s="65">
        <v>42129</v>
      </c>
      <c r="K173" s="180">
        <v>63.09</v>
      </c>
      <c r="L173" s="66">
        <f t="shared" si="8"/>
        <v>-5.5680259113314E-2</v>
      </c>
      <c r="M173" s="180">
        <v>2089.459961</v>
      </c>
      <c r="N173" s="67">
        <f t="shared" si="9"/>
        <v>-1.1837383538524111E-2</v>
      </c>
      <c r="P173" s="197"/>
      <c r="Q173" s="198"/>
      <c r="R173" s="196"/>
      <c r="S173" s="198"/>
      <c r="T173" s="196"/>
      <c r="V173" s="69"/>
      <c r="W173" s="71"/>
      <c r="X173" s="53"/>
      <c r="Y173" s="71"/>
      <c r="Z173" s="53"/>
    </row>
    <row r="174" spans="10:26" x14ac:dyDescent="0.3">
      <c r="J174" s="65">
        <v>42128</v>
      </c>
      <c r="K174" s="180">
        <v>66.809997999999993</v>
      </c>
      <c r="L174" s="66">
        <f t="shared" si="8"/>
        <v>-1.6437537849300838E-3</v>
      </c>
      <c r="M174" s="180">
        <v>2114.48999</v>
      </c>
      <c r="N174" s="67">
        <f t="shared" si="9"/>
        <v>2.9407486092097672E-3</v>
      </c>
      <c r="P174" s="197"/>
      <c r="Q174" s="198"/>
      <c r="R174" s="196"/>
      <c r="S174" s="198"/>
      <c r="T174" s="196"/>
      <c r="V174" s="69"/>
      <c r="W174" s="71"/>
      <c r="X174" s="53"/>
      <c r="Y174" s="71"/>
      <c r="Z174" s="53"/>
    </row>
    <row r="175" spans="10:26" x14ac:dyDescent="0.3">
      <c r="J175" s="65">
        <v>42125</v>
      </c>
      <c r="K175" s="180">
        <v>66.919998000000007</v>
      </c>
      <c r="L175" s="66">
        <f t="shared" si="8"/>
        <v>6.3065876678858296E-2</v>
      </c>
      <c r="M175" s="180">
        <v>2108.290039</v>
      </c>
      <c r="N175" s="67">
        <f t="shared" si="9"/>
        <v>1.0923001515586115E-2</v>
      </c>
      <c r="P175" s="197"/>
      <c r="Q175" s="198"/>
      <c r="R175" s="196"/>
      <c r="S175" s="198"/>
      <c r="T175" s="196"/>
      <c r="V175" s="69"/>
      <c r="W175" s="71"/>
      <c r="X175" s="53"/>
      <c r="Y175" s="71"/>
      <c r="Z175" s="53"/>
    </row>
    <row r="176" spans="10:26" x14ac:dyDescent="0.3">
      <c r="J176" s="65">
        <v>42124</v>
      </c>
      <c r="K176" s="180">
        <v>62.950001</v>
      </c>
      <c r="L176" s="66">
        <f t="shared" si="8"/>
        <v>-5.338344360902255E-2</v>
      </c>
      <c r="M176" s="180">
        <v>2085.51001</v>
      </c>
      <c r="N176" s="67">
        <f t="shared" si="9"/>
        <v>-1.0128906665100539E-2</v>
      </c>
      <c r="P176" s="197"/>
      <c r="Q176" s="198"/>
      <c r="R176" s="196"/>
      <c r="S176" s="198"/>
      <c r="T176" s="196"/>
      <c r="V176" s="69"/>
      <c r="W176" s="71"/>
      <c r="X176" s="53"/>
      <c r="Y176" s="71"/>
      <c r="Z176" s="53"/>
    </row>
    <row r="177" spans="10:26" x14ac:dyDescent="0.3">
      <c r="J177" s="65">
        <v>42123</v>
      </c>
      <c r="K177" s="180">
        <v>66.5</v>
      </c>
      <c r="L177" s="66">
        <f t="shared" si="8"/>
        <v>2.417988603111032E-2</v>
      </c>
      <c r="M177" s="180">
        <v>2106.8500979999999</v>
      </c>
      <c r="N177" s="67">
        <f t="shared" si="9"/>
        <v>-3.7403355286636411E-3</v>
      </c>
      <c r="P177" s="197"/>
      <c r="Q177" s="198"/>
      <c r="R177" s="196"/>
      <c r="S177" s="198"/>
      <c r="T177" s="196"/>
      <c r="V177" s="69"/>
      <c r="W177" s="71"/>
      <c r="X177" s="53"/>
      <c r="Y177" s="71"/>
      <c r="Z177" s="53"/>
    </row>
    <row r="178" spans="10:26" x14ac:dyDescent="0.3">
      <c r="J178" s="65">
        <v>42122</v>
      </c>
      <c r="K178" s="180">
        <v>64.930000000000007</v>
      </c>
      <c r="L178" s="66">
        <f t="shared" si="8"/>
        <v>-2.5367801319372354E-2</v>
      </c>
      <c r="M178" s="180">
        <v>2114.76001</v>
      </c>
      <c r="N178" s="67">
        <f t="shared" si="9"/>
        <v>2.7692317470553647E-3</v>
      </c>
      <c r="P178" s="197"/>
      <c r="Q178" s="198"/>
      <c r="R178" s="196"/>
      <c r="S178" s="198"/>
      <c r="T178" s="196"/>
      <c r="V178" s="69"/>
      <c r="W178" s="71"/>
      <c r="X178" s="53"/>
      <c r="Y178" s="71"/>
      <c r="Z178" s="53"/>
    </row>
    <row r="179" spans="10:26" x14ac:dyDescent="0.3">
      <c r="J179" s="65">
        <v>42121</v>
      </c>
      <c r="K179" s="180">
        <v>66.620002999999997</v>
      </c>
      <c r="L179" s="66">
        <f t="shared" si="8"/>
        <v>-2.3958670619328203E-3</v>
      </c>
      <c r="M179" s="180">
        <v>2108.919922</v>
      </c>
      <c r="N179" s="67">
        <f t="shared" si="9"/>
        <v>-4.141313999847746E-3</v>
      </c>
      <c r="P179" s="197"/>
      <c r="Q179" s="198"/>
      <c r="R179" s="196"/>
      <c r="S179" s="198"/>
      <c r="T179" s="196"/>
      <c r="V179" s="69"/>
      <c r="W179" s="71"/>
      <c r="X179" s="53"/>
      <c r="Y179" s="71"/>
      <c r="Z179" s="53"/>
    </row>
    <row r="180" spans="10:26" x14ac:dyDescent="0.3">
      <c r="J180" s="65">
        <v>42118</v>
      </c>
      <c r="K180" s="180">
        <v>66.779999000000004</v>
      </c>
      <c r="L180" s="66">
        <f t="shared" si="8"/>
        <v>2.4016210266458063E-3</v>
      </c>
      <c r="M180" s="180">
        <v>2117.6899410000001</v>
      </c>
      <c r="N180" s="67">
        <f t="shared" si="9"/>
        <v>2.2528002125912815E-3</v>
      </c>
      <c r="P180" s="197"/>
      <c r="Q180" s="198"/>
      <c r="R180" s="196"/>
      <c r="S180" s="198"/>
      <c r="T180" s="196"/>
      <c r="V180" s="69"/>
      <c r="W180" s="71"/>
      <c r="X180" s="53"/>
      <c r="Y180" s="71"/>
      <c r="Z180" s="53"/>
    </row>
    <row r="181" spans="10:26" x14ac:dyDescent="0.3">
      <c r="J181" s="65">
        <v>42117</v>
      </c>
      <c r="K181" s="180">
        <v>66.620002999999997</v>
      </c>
      <c r="L181" s="66">
        <f t="shared" si="8"/>
        <v>1.6633664224533152E-2</v>
      </c>
      <c r="M181" s="180">
        <v>2112.929932</v>
      </c>
      <c r="N181" s="67">
        <f t="shared" si="9"/>
        <v>2.3577160344365701E-3</v>
      </c>
      <c r="P181" s="197"/>
      <c r="Q181" s="198"/>
      <c r="R181" s="196"/>
      <c r="S181" s="198"/>
      <c r="T181" s="196"/>
      <c r="V181" s="69"/>
      <c r="W181" s="71"/>
      <c r="X181" s="53"/>
      <c r="Y181" s="71"/>
      <c r="Z181" s="53"/>
    </row>
    <row r="182" spans="10:26" x14ac:dyDescent="0.3">
      <c r="J182" s="65">
        <v>42116</v>
      </c>
      <c r="K182" s="180">
        <v>65.529999000000004</v>
      </c>
      <c r="L182" s="66">
        <f t="shared" si="8"/>
        <v>-1.265638032289969E-2</v>
      </c>
      <c r="M182" s="180">
        <v>2107.959961</v>
      </c>
      <c r="N182" s="67">
        <f t="shared" si="9"/>
        <v>5.0874804159597893E-3</v>
      </c>
      <c r="P182" s="197"/>
      <c r="Q182" s="198"/>
      <c r="R182" s="196"/>
      <c r="S182" s="198"/>
      <c r="T182" s="196"/>
      <c r="V182" s="69"/>
      <c r="W182" s="71"/>
      <c r="X182" s="53"/>
      <c r="Y182" s="71"/>
      <c r="Z182" s="53"/>
    </row>
    <row r="183" spans="10:26" x14ac:dyDescent="0.3">
      <c r="J183" s="65">
        <v>42115</v>
      </c>
      <c r="K183" s="180">
        <v>66.370002999999997</v>
      </c>
      <c r="L183" s="66">
        <f t="shared" si="8"/>
        <v>5.9546680388676151E-2</v>
      </c>
      <c r="M183" s="180">
        <v>2097.290039</v>
      </c>
      <c r="N183" s="67">
        <f t="shared" si="9"/>
        <v>-1.4806051919155593E-3</v>
      </c>
      <c r="P183" s="197"/>
      <c r="Q183" s="198"/>
      <c r="R183" s="196"/>
      <c r="S183" s="198"/>
      <c r="T183" s="196"/>
      <c r="V183" s="69"/>
      <c r="W183" s="71"/>
      <c r="X183" s="53"/>
      <c r="Y183" s="71"/>
      <c r="Z183" s="53"/>
    </row>
    <row r="184" spans="10:26" x14ac:dyDescent="0.3">
      <c r="J184" s="65">
        <v>42114</v>
      </c>
      <c r="K184" s="180">
        <v>62.639999000000003</v>
      </c>
      <c r="L184" s="66">
        <f t="shared" si="8"/>
        <v>3.1960427809548185E-2</v>
      </c>
      <c r="M184" s="180">
        <v>2100.3999020000001</v>
      </c>
      <c r="N184" s="67">
        <f t="shared" si="9"/>
        <v>9.235131333180711E-3</v>
      </c>
      <c r="P184" s="197"/>
      <c r="Q184" s="198"/>
      <c r="R184" s="196"/>
      <c r="S184" s="198"/>
      <c r="T184" s="196"/>
      <c r="V184" s="69"/>
      <c r="W184" s="71"/>
      <c r="X184" s="53"/>
      <c r="Y184" s="71"/>
      <c r="Z184" s="53"/>
    </row>
    <row r="185" spans="10:26" x14ac:dyDescent="0.3">
      <c r="J185" s="65">
        <v>42111</v>
      </c>
      <c r="K185" s="180">
        <v>60.700001</v>
      </c>
      <c r="L185" s="66">
        <f t="shared" si="8"/>
        <v>-6.8716951386075722E-3</v>
      </c>
      <c r="M185" s="180">
        <v>2081.179932</v>
      </c>
      <c r="N185" s="67">
        <f t="shared" si="9"/>
        <v>-1.1311245237798032E-2</v>
      </c>
      <c r="P185" s="197"/>
      <c r="Q185" s="198"/>
      <c r="R185" s="196"/>
      <c r="S185" s="198"/>
      <c r="T185" s="196"/>
      <c r="V185" s="69"/>
      <c r="W185" s="71"/>
      <c r="X185" s="53"/>
      <c r="Y185" s="71"/>
      <c r="Z185" s="53"/>
    </row>
    <row r="186" spans="10:26" x14ac:dyDescent="0.3">
      <c r="J186" s="65">
        <v>42110</v>
      </c>
      <c r="K186" s="180">
        <v>61.119999</v>
      </c>
      <c r="L186" s="66">
        <f t="shared" si="8"/>
        <v>-8.75771975348681E-3</v>
      </c>
      <c r="M186" s="180">
        <v>2104.98999</v>
      </c>
      <c r="N186" s="67">
        <f t="shared" si="9"/>
        <v>-7.7844381361603856E-4</v>
      </c>
      <c r="P186" s="197"/>
      <c r="Q186" s="198"/>
      <c r="R186" s="196"/>
      <c r="S186" s="198"/>
      <c r="T186" s="196"/>
      <c r="V186" s="69"/>
      <c r="W186" s="71"/>
      <c r="X186" s="53"/>
      <c r="Y186" s="71"/>
      <c r="Z186" s="53"/>
    </row>
    <row r="187" spans="10:26" x14ac:dyDescent="0.3">
      <c r="J187" s="65">
        <v>42109</v>
      </c>
      <c r="K187" s="180">
        <v>61.66</v>
      </c>
      <c r="L187" s="66">
        <f t="shared" si="8"/>
        <v>5.0246994553687405E-2</v>
      </c>
      <c r="M187" s="180">
        <v>2106.6298830000001</v>
      </c>
      <c r="N187" s="67">
        <f t="shared" si="9"/>
        <v>5.1481957339104684E-3</v>
      </c>
      <c r="P187" s="197"/>
      <c r="Q187" s="198"/>
      <c r="R187" s="196"/>
      <c r="S187" s="198"/>
      <c r="T187" s="196"/>
      <c r="V187" s="69"/>
      <c r="W187" s="71"/>
      <c r="X187" s="53"/>
      <c r="Y187" s="71"/>
      <c r="Z187" s="53"/>
    </row>
    <row r="188" spans="10:26" x14ac:dyDescent="0.3">
      <c r="J188" s="65">
        <v>42108</v>
      </c>
      <c r="K188" s="180">
        <v>58.709999000000003</v>
      </c>
      <c r="L188" s="66">
        <f t="shared" si="8"/>
        <v>1.0673076260974348E-2</v>
      </c>
      <c r="M188" s="180">
        <v>2095.8400879999999</v>
      </c>
      <c r="N188" s="67">
        <f t="shared" si="9"/>
        <v>1.6297587545693335E-3</v>
      </c>
      <c r="P188" s="197"/>
      <c r="Q188" s="198"/>
      <c r="R188" s="196"/>
      <c r="S188" s="198"/>
      <c r="T188" s="196"/>
      <c r="V188" s="69"/>
      <c r="W188" s="71"/>
      <c r="X188" s="53"/>
      <c r="Y188" s="71"/>
      <c r="Z188" s="53"/>
    </row>
    <row r="189" spans="10:26" x14ac:dyDescent="0.3">
      <c r="J189" s="65">
        <v>42107</v>
      </c>
      <c r="K189" s="180">
        <v>58.09</v>
      </c>
      <c r="L189" s="66">
        <f t="shared" si="8"/>
        <v>-1.190680367567936E-2</v>
      </c>
      <c r="M189" s="180">
        <v>2092.429932</v>
      </c>
      <c r="N189" s="67">
        <f t="shared" si="9"/>
        <v>-4.5812806150653867E-3</v>
      </c>
      <c r="P189" s="197"/>
      <c r="Q189" s="198"/>
      <c r="R189" s="196"/>
      <c r="S189" s="198"/>
      <c r="T189" s="196"/>
      <c r="V189" s="69"/>
      <c r="W189" s="71"/>
      <c r="X189" s="53"/>
      <c r="Y189" s="71"/>
      <c r="Z189" s="53"/>
    </row>
    <row r="190" spans="10:26" x14ac:dyDescent="0.3">
      <c r="J190" s="65">
        <v>42104</v>
      </c>
      <c r="K190" s="180">
        <v>58.790000999999997</v>
      </c>
      <c r="L190" s="66">
        <f t="shared" si="8"/>
        <v>-5.2452962857968749E-3</v>
      </c>
      <c r="M190" s="180">
        <v>2102.0600589999999</v>
      </c>
      <c r="N190" s="67">
        <f t="shared" si="9"/>
        <v>5.2028650588637638E-3</v>
      </c>
      <c r="P190" s="197"/>
      <c r="Q190" s="198"/>
      <c r="R190" s="196"/>
      <c r="S190" s="198"/>
      <c r="T190" s="196"/>
      <c r="V190" s="69"/>
      <c r="W190" s="71"/>
      <c r="X190" s="53"/>
      <c r="Y190" s="71"/>
      <c r="Z190" s="53"/>
    </row>
    <row r="191" spans="10:26" x14ac:dyDescent="0.3">
      <c r="J191" s="65">
        <v>42103</v>
      </c>
      <c r="K191" s="180">
        <v>59.099997999999999</v>
      </c>
      <c r="L191" s="66">
        <f t="shared" si="8"/>
        <v>6.2999829729269968E-3</v>
      </c>
      <c r="M191" s="180">
        <v>2091.179932</v>
      </c>
      <c r="N191" s="67">
        <f t="shared" si="9"/>
        <v>4.4574813568533881E-3</v>
      </c>
      <c r="P191" s="197"/>
      <c r="Q191" s="198"/>
      <c r="R191" s="196"/>
      <c r="S191" s="198"/>
      <c r="T191" s="196"/>
      <c r="V191" s="69"/>
      <c r="W191" s="71"/>
      <c r="X191" s="53"/>
      <c r="Y191" s="71"/>
      <c r="Z191" s="53"/>
    </row>
    <row r="192" spans="10:26" x14ac:dyDescent="0.3">
      <c r="J192" s="65">
        <v>42102</v>
      </c>
      <c r="K192" s="180">
        <v>58.73</v>
      </c>
      <c r="L192" s="66">
        <f t="shared" si="8"/>
        <v>-1.2111034279040693E-2</v>
      </c>
      <c r="M192" s="180">
        <v>2081.8999020000001</v>
      </c>
      <c r="N192" s="67">
        <f t="shared" si="9"/>
        <v>2.6825330225747246E-3</v>
      </c>
      <c r="P192" s="197"/>
      <c r="Q192" s="198"/>
      <c r="R192" s="196"/>
      <c r="S192" s="198"/>
      <c r="T192" s="196"/>
      <c r="V192" s="69"/>
      <c r="W192" s="71"/>
      <c r="X192" s="53"/>
      <c r="Y192" s="71"/>
      <c r="Z192" s="53"/>
    </row>
    <row r="193" spans="10:27" x14ac:dyDescent="0.3">
      <c r="J193" s="65">
        <v>42101</v>
      </c>
      <c r="K193" s="180">
        <v>59.450001</v>
      </c>
      <c r="L193" s="66">
        <f t="shared" si="8"/>
        <v>8.1302309930884026E-2</v>
      </c>
      <c r="M193" s="180">
        <v>2076.330078</v>
      </c>
      <c r="N193" s="67">
        <f t="shared" si="9"/>
        <v>-2.0619040280095394E-3</v>
      </c>
      <c r="P193" s="197"/>
      <c r="Q193" s="198"/>
      <c r="R193" s="196"/>
      <c r="S193" s="198"/>
      <c r="T193" s="196"/>
      <c r="V193" s="69"/>
      <c r="W193" s="71"/>
      <c r="X193" s="53"/>
      <c r="Y193" s="71"/>
      <c r="Z193" s="53"/>
    </row>
    <row r="194" spans="10:27" x14ac:dyDescent="0.3">
      <c r="J194" s="65">
        <v>42100</v>
      </c>
      <c r="K194" s="180">
        <v>54.98</v>
      </c>
      <c r="L194" s="66">
        <f t="shared" si="8"/>
        <v>2.174315142644203E-2</v>
      </c>
      <c r="M194" s="180">
        <v>2080.6201169999999</v>
      </c>
      <c r="N194" s="67">
        <f t="shared" si="9"/>
        <v>6.6088150025852945E-3</v>
      </c>
      <c r="P194" s="197"/>
      <c r="Q194" s="198"/>
      <c r="R194" s="196"/>
      <c r="S194" s="198"/>
      <c r="T194" s="196"/>
      <c r="V194" s="69"/>
      <c r="W194" s="71"/>
      <c r="X194" s="53"/>
      <c r="Y194" s="71"/>
      <c r="Z194" s="53"/>
    </row>
    <row r="195" spans="10:27" x14ac:dyDescent="0.3">
      <c r="J195" s="65">
        <v>42096</v>
      </c>
      <c r="K195" s="180">
        <v>53.810001</v>
      </c>
      <c r="L195" s="66">
        <f t="shared" si="8"/>
        <v>-2.8875636166756848E-2</v>
      </c>
      <c r="M195" s="180">
        <v>2066.959961</v>
      </c>
      <c r="N195" s="67">
        <f t="shared" si="9"/>
        <v>3.5296671869311865E-3</v>
      </c>
      <c r="P195" s="197"/>
      <c r="Q195" s="198"/>
      <c r="R195" s="196"/>
      <c r="S195" s="198"/>
      <c r="T195" s="196"/>
      <c r="V195" s="69"/>
      <c r="W195" s="71"/>
      <c r="X195" s="53"/>
      <c r="Y195" s="71"/>
      <c r="Z195" s="53"/>
    </row>
    <row r="196" spans="10:27" x14ac:dyDescent="0.3">
      <c r="J196" s="65">
        <v>42095</v>
      </c>
      <c r="K196" s="180">
        <v>55.41</v>
      </c>
      <c r="L196" s="66">
        <f t="shared" si="8"/>
        <v>-2.8792513946374609E-3</v>
      </c>
      <c r="M196" s="180">
        <v>2059.6899410000001</v>
      </c>
      <c r="N196" s="67">
        <f t="shared" si="9"/>
        <v>-3.9653716707826374E-3</v>
      </c>
      <c r="P196" s="197"/>
      <c r="Q196" s="198"/>
      <c r="R196" s="196"/>
      <c r="S196" s="198"/>
      <c r="T196" s="196"/>
      <c r="V196" s="69"/>
      <c r="W196" s="71"/>
      <c r="X196" s="53"/>
      <c r="Y196" s="71"/>
      <c r="Z196" s="53"/>
    </row>
    <row r="197" spans="10:27" x14ac:dyDescent="0.3">
      <c r="J197" s="65">
        <v>42094</v>
      </c>
      <c r="K197" s="180">
        <v>55.57</v>
      </c>
      <c r="L197" s="66">
        <f t="shared" si="8"/>
        <v>1.3681138270704123E-2</v>
      </c>
      <c r="M197" s="180">
        <v>2067.889893</v>
      </c>
      <c r="N197" s="67">
        <f t="shared" si="9"/>
        <v>-8.795774737306231E-3</v>
      </c>
      <c r="P197" s="197"/>
      <c r="Q197" s="198"/>
      <c r="R197" s="196"/>
      <c r="S197" s="198"/>
      <c r="T197" s="196"/>
      <c r="V197" s="69"/>
      <c r="W197" s="71"/>
      <c r="X197" s="53"/>
      <c r="Y197" s="71"/>
      <c r="Z197" s="53"/>
    </row>
    <row r="198" spans="10:27" x14ac:dyDescent="0.3">
      <c r="J198" s="65">
        <v>42093</v>
      </c>
      <c r="K198" s="180">
        <v>54.82</v>
      </c>
      <c r="L198" s="66">
        <f t="shared" si="8"/>
        <v>4.9588359180547645E-2</v>
      </c>
      <c r="M198" s="180">
        <v>2086.23999</v>
      </c>
      <c r="N198" s="67">
        <f t="shared" si="9"/>
        <v>1.2236644843459649E-2</v>
      </c>
      <c r="P198" s="197"/>
      <c r="Q198" s="198"/>
      <c r="R198" s="196"/>
      <c r="S198" s="198"/>
      <c r="T198" s="196"/>
      <c r="V198" s="69"/>
      <c r="W198" s="71"/>
      <c r="X198" s="53"/>
      <c r="Y198" s="71"/>
      <c r="Z198" s="53"/>
    </row>
    <row r="199" spans="10:27" x14ac:dyDescent="0.3">
      <c r="J199" s="65">
        <v>42090</v>
      </c>
      <c r="K199" s="180">
        <v>52.23</v>
      </c>
      <c r="L199" s="66">
        <f t="shared" si="8"/>
        <v>-1.2105144923494383E-2</v>
      </c>
      <c r="M199" s="180">
        <v>2061.0200199999999</v>
      </c>
      <c r="N199" s="67">
        <f t="shared" si="9"/>
        <v>2.3685617450666884E-3</v>
      </c>
      <c r="P199" s="197"/>
      <c r="Q199" s="198"/>
      <c r="R199" s="196"/>
      <c r="S199" s="198"/>
      <c r="T199" s="196"/>
      <c r="V199" s="69"/>
      <c r="W199" s="71"/>
      <c r="X199" s="53"/>
      <c r="Y199" s="71"/>
      <c r="Z199" s="53"/>
    </row>
    <row r="200" spans="10:27" x14ac:dyDescent="0.3">
      <c r="J200" s="65">
        <v>42089</v>
      </c>
      <c r="K200" s="180">
        <v>52.869999</v>
      </c>
      <c r="L200" s="66">
        <f t="shared" si="8"/>
        <v>5.4447547954677794E-2</v>
      </c>
      <c r="M200" s="180">
        <v>2056.1499020000001</v>
      </c>
      <c r="N200" s="67">
        <f t="shared" si="9"/>
        <v>-2.3775002467200318E-3</v>
      </c>
      <c r="P200" s="197"/>
      <c r="Q200" s="198"/>
      <c r="R200" s="196"/>
      <c r="S200" s="198"/>
      <c r="T200" s="196"/>
      <c r="V200" s="69"/>
      <c r="W200" s="71"/>
      <c r="X200" s="53"/>
      <c r="Y200" s="71"/>
      <c r="Z200" s="53"/>
    </row>
    <row r="201" spans="10:27" x14ac:dyDescent="0.3">
      <c r="J201" s="65">
        <v>42088</v>
      </c>
      <c r="K201" s="180">
        <v>50.139999000000003</v>
      </c>
      <c r="L201" s="66">
        <f t="shared" si="8"/>
        <v>-5.4853912438339474E-2</v>
      </c>
      <c r="M201" s="180">
        <v>2061.0500489999999</v>
      </c>
      <c r="N201" s="67">
        <f t="shared" si="9"/>
        <v>-1.455890557016498E-2</v>
      </c>
      <c r="P201" s="197"/>
      <c r="Q201" s="198"/>
      <c r="R201" s="196"/>
      <c r="S201" s="198"/>
      <c r="T201" s="196"/>
      <c r="V201" s="69"/>
      <c r="W201" s="71"/>
      <c r="X201" s="53"/>
      <c r="Y201" s="71"/>
      <c r="Z201" s="53"/>
    </row>
    <row r="202" spans="10:27" x14ac:dyDescent="0.3">
      <c r="J202" s="65">
        <v>42087</v>
      </c>
      <c r="K202" s="180">
        <v>53.049999</v>
      </c>
      <c r="L202" s="66">
        <f t="shared" ref="L202:L265" si="10">(K202-K203)/K203</f>
        <v>-3.3521589242513986E-2</v>
      </c>
      <c r="M202" s="180">
        <v>2091.5</v>
      </c>
      <c r="N202" s="67">
        <f t="shared" ref="N202:N265" si="11">(M202-M203)/M203</f>
        <v>-6.1394220159830069E-3</v>
      </c>
      <c r="P202" s="197"/>
      <c r="Q202" s="198"/>
      <c r="R202" s="196"/>
      <c r="S202" s="198"/>
      <c r="T202" s="196"/>
      <c r="V202" s="69"/>
      <c r="W202" s="71"/>
      <c r="X202" s="53"/>
      <c r="Y202" s="71"/>
      <c r="Z202" s="53"/>
    </row>
    <row r="203" spans="10:27" x14ac:dyDescent="0.3">
      <c r="J203" s="65">
        <v>42086</v>
      </c>
      <c r="K203" s="180">
        <v>54.889999000000003</v>
      </c>
      <c r="L203" s="66">
        <f t="shared" si="10"/>
        <v>0.12733621128232109</v>
      </c>
      <c r="M203" s="180">
        <v>2104.419922</v>
      </c>
      <c r="N203" s="67">
        <f t="shared" si="11"/>
        <v>-1.7457311460168847E-3</v>
      </c>
      <c r="P203" s="197"/>
      <c r="Q203" s="198"/>
      <c r="R203" s="196"/>
      <c r="S203" s="198"/>
      <c r="T203" s="196"/>
      <c r="U203" s="13"/>
      <c r="V203" s="72"/>
      <c r="W203" s="71"/>
      <c r="X203" s="53"/>
      <c r="Y203" s="71"/>
      <c r="Z203" s="53"/>
      <c r="AA203" s="13"/>
    </row>
    <row r="204" spans="10:27" x14ac:dyDescent="0.3">
      <c r="J204" s="65">
        <v>42083</v>
      </c>
      <c r="K204" s="180">
        <v>48.689999</v>
      </c>
      <c r="L204" s="66">
        <f t="shared" si="10"/>
        <v>-3.4120234080539505E-2</v>
      </c>
      <c r="M204" s="180">
        <v>2108.1000979999999</v>
      </c>
      <c r="N204" s="67">
        <f t="shared" si="11"/>
        <v>9.0127546079467307E-3</v>
      </c>
      <c r="P204" s="197"/>
      <c r="Q204" s="198"/>
      <c r="R204" s="196"/>
      <c r="S204" s="198"/>
      <c r="T204" s="196"/>
      <c r="U204" s="13"/>
      <c r="V204" s="72"/>
      <c r="W204" s="71"/>
      <c r="X204" s="53"/>
      <c r="Y204" s="71"/>
      <c r="Z204" s="53"/>
      <c r="AA204" s="13"/>
    </row>
    <row r="205" spans="10:27" x14ac:dyDescent="0.3">
      <c r="J205" s="65">
        <v>42082</v>
      </c>
      <c r="K205" s="180">
        <v>50.41</v>
      </c>
      <c r="L205" s="66">
        <f t="shared" si="10"/>
        <v>-2.2493697886368114E-2</v>
      </c>
      <c r="M205" s="180">
        <v>2089.2700199999999</v>
      </c>
      <c r="N205" s="67">
        <f t="shared" si="11"/>
        <v>-4.8725791855203943E-3</v>
      </c>
      <c r="P205" s="197"/>
      <c r="Q205" s="198"/>
      <c r="R205" s="196"/>
      <c r="S205" s="198"/>
      <c r="T205" s="196"/>
      <c r="U205" s="13"/>
      <c r="V205" s="72"/>
      <c r="W205" s="71"/>
      <c r="X205" s="53"/>
      <c r="Y205" s="71"/>
      <c r="Z205" s="53"/>
      <c r="AA205" s="13"/>
    </row>
    <row r="206" spans="10:27" x14ac:dyDescent="0.3">
      <c r="J206" s="65">
        <v>42081</v>
      </c>
      <c r="K206" s="180">
        <v>51.57</v>
      </c>
      <c r="L206" s="66">
        <f t="shared" si="10"/>
        <v>-2.80814355808248E-2</v>
      </c>
      <c r="M206" s="180">
        <v>2099.5</v>
      </c>
      <c r="N206" s="67">
        <f t="shared" si="11"/>
        <v>1.2158421547431283E-2</v>
      </c>
      <c r="P206" s="197"/>
      <c r="Q206" s="198"/>
      <c r="R206" s="196"/>
      <c r="S206" s="198"/>
      <c r="T206" s="196"/>
      <c r="U206" s="13"/>
      <c r="V206" s="72"/>
      <c r="W206" s="71"/>
      <c r="X206" s="53"/>
      <c r="Y206" s="71"/>
      <c r="Z206" s="53"/>
      <c r="AA206" s="13"/>
    </row>
    <row r="207" spans="10:27" x14ac:dyDescent="0.3">
      <c r="J207" s="65">
        <v>42080</v>
      </c>
      <c r="K207" s="180">
        <v>53.060001</v>
      </c>
      <c r="L207" s="66">
        <f t="shared" si="10"/>
        <v>5.0693089108910884E-2</v>
      </c>
      <c r="M207" s="180">
        <v>2074.280029</v>
      </c>
      <c r="N207" s="67">
        <f t="shared" si="11"/>
        <v>-3.3201736486771134E-3</v>
      </c>
      <c r="P207" s="197"/>
      <c r="Q207" s="198"/>
      <c r="R207" s="196"/>
      <c r="S207" s="198"/>
      <c r="T207" s="196"/>
      <c r="U207" s="13"/>
      <c r="V207" s="72"/>
      <c r="W207" s="71"/>
      <c r="X207" s="53"/>
      <c r="Y207" s="71"/>
      <c r="Z207" s="53"/>
      <c r="AA207" s="13"/>
    </row>
    <row r="208" spans="10:27" x14ac:dyDescent="0.3">
      <c r="J208" s="65">
        <v>42079</v>
      </c>
      <c r="K208" s="180">
        <v>50.5</v>
      </c>
      <c r="L208" s="66">
        <f t="shared" si="10"/>
        <v>9.1926257155750934E-3</v>
      </c>
      <c r="M208" s="180">
        <v>2081.1899410000001</v>
      </c>
      <c r="N208" s="67">
        <f t="shared" si="11"/>
        <v>1.3533671143615344E-2</v>
      </c>
      <c r="P208" s="197"/>
      <c r="Q208" s="198"/>
      <c r="R208" s="196"/>
      <c r="S208" s="198"/>
      <c r="T208" s="196"/>
      <c r="U208" s="13"/>
      <c r="V208" s="72"/>
      <c r="W208" s="71"/>
      <c r="X208" s="53"/>
      <c r="Y208" s="71"/>
      <c r="Z208" s="53"/>
      <c r="AA208" s="13"/>
    </row>
    <row r="209" spans="10:27" x14ac:dyDescent="0.3">
      <c r="J209" s="65">
        <v>42076</v>
      </c>
      <c r="K209" s="180">
        <v>50.040000999999997</v>
      </c>
      <c r="L209" s="66">
        <f t="shared" si="10"/>
        <v>-3.248259797984162E-2</v>
      </c>
      <c r="M209" s="180">
        <v>2053.3999020000001</v>
      </c>
      <c r="N209" s="67">
        <f t="shared" si="11"/>
        <v>-6.0747110518941825E-3</v>
      </c>
      <c r="P209" s="197"/>
      <c r="Q209" s="198"/>
      <c r="R209" s="196"/>
      <c r="S209" s="198"/>
      <c r="T209" s="196"/>
      <c r="U209" s="13"/>
      <c r="V209" s="72"/>
      <c r="W209" s="71"/>
      <c r="X209" s="53"/>
      <c r="Y209" s="71"/>
      <c r="Z209" s="53"/>
      <c r="AA209" s="13"/>
    </row>
    <row r="210" spans="10:27" x14ac:dyDescent="0.3">
      <c r="J210" s="65">
        <v>42075</v>
      </c>
      <c r="K210" s="180">
        <v>51.720001000000003</v>
      </c>
      <c r="L210" s="66">
        <f t="shared" si="10"/>
        <v>-6.9784121215256081E-2</v>
      </c>
      <c r="M210" s="180">
        <v>2065.9499510000001</v>
      </c>
      <c r="N210" s="67">
        <f t="shared" si="11"/>
        <v>1.2601439598289622E-2</v>
      </c>
      <c r="P210" s="197"/>
      <c r="Q210" s="198"/>
      <c r="R210" s="196"/>
      <c r="S210" s="198"/>
      <c r="T210" s="196"/>
      <c r="U210" s="13"/>
      <c r="V210" s="72"/>
      <c r="W210" s="71"/>
      <c r="X210" s="53"/>
      <c r="Y210" s="71"/>
      <c r="Z210" s="53"/>
      <c r="AA210" s="13"/>
    </row>
    <row r="211" spans="10:27" x14ac:dyDescent="0.3">
      <c r="J211" s="65">
        <v>42074</v>
      </c>
      <c r="K211" s="180">
        <v>55.599997999999999</v>
      </c>
      <c r="L211" s="66">
        <f t="shared" si="10"/>
        <v>1.6453326938696018E-2</v>
      </c>
      <c r="M211" s="180">
        <v>2040.23999</v>
      </c>
      <c r="N211" s="67">
        <f t="shared" si="11"/>
        <v>-1.9176796017918633E-3</v>
      </c>
      <c r="P211" s="197"/>
      <c r="Q211" s="198"/>
      <c r="R211" s="196"/>
      <c r="S211" s="198"/>
      <c r="T211" s="196"/>
      <c r="U211" s="13"/>
      <c r="V211" s="72"/>
      <c r="W211" s="71"/>
      <c r="X211" s="53"/>
      <c r="Y211" s="71"/>
      <c r="Z211" s="53"/>
      <c r="AA211" s="13"/>
    </row>
    <row r="212" spans="10:27" x14ac:dyDescent="0.3">
      <c r="J212" s="65">
        <v>42073</v>
      </c>
      <c r="K212" s="180">
        <v>54.700001</v>
      </c>
      <c r="L212" s="66">
        <f t="shared" si="10"/>
        <v>-5.3469457458566169E-2</v>
      </c>
      <c r="M212" s="180">
        <v>2044.160034</v>
      </c>
      <c r="N212" s="67">
        <f t="shared" si="11"/>
        <v>-1.6961330342146873E-2</v>
      </c>
      <c r="P212" s="197"/>
      <c r="Q212" s="198"/>
      <c r="R212" s="196"/>
      <c r="S212" s="198"/>
      <c r="T212" s="196"/>
      <c r="U212" s="13"/>
      <c r="V212" s="72"/>
      <c r="W212" s="71"/>
      <c r="X212" s="53"/>
      <c r="Y212" s="71"/>
      <c r="Z212" s="53"/>
      <c r="AA212" s="13"/>
    </row>
    <row r="213" spans="10:27" x14ac:dyDescent="0.3">
      <c r="J213" s="65">
        <v>42072</v>
      </c>
      <c r="K213" s="180">
        <v>57.790000999999997</v>
      </c>
      <c r="L213" s="66">
        <f t="shared" si="10"/>
        <v>-3.3288692427044034E-2</v>
      </c>
      <c r="M213" s="180">
        <v>2079.429932</v>
      </c>
      <c r="N213" s="67">
        <f t="shared" si="11"/>
        <v>3.9444212511011798E-3</v>
      </c>
      <c r="P213" s="197"/>
      <c r="Q213" s="198"/>
      <c r="R213" s="196"/>
      <c r="S213" s="198"/>
      <c r="T213" s="196"/>
      <c r="U213" s="13"/>
      <c r="V213" s="72"/>
      <c r="W213" s="71"/>
      <c r="X213" s="53"/>
      <c r="Y213" s="71"/>
      <c r="Z213" s="53"/>
      <c r="AA213" s="13"/>
    </row>
    <row r="214" spans="10:27" x14ac:dyDescent="0.3">
      <c r="J214" s="65">
        <v>42069</v>
      </c>
      <c r="K214" s="180">
        <v>59.779998999999997</v>
      </c>
      <c r="L214" s="66">
        <f t="shared" si="10"/>
        <v>-4.9149038478591409E-2</v>
      </c>
      <c r="M214" s="180">
        <v>2071.26001</v>
      </c>
      <c r="N214" s="67">
        <f t="shared" si="11"/>
        <v>-1.4173946449004351E-2</v>
      </c>
      <c r="P214" s="197"/>
      <c r="Q214" s="198"/>
      <c r="R214" s="196"/>
      <c r="S214" s="198"/>
      <c r="T214" s="196"/>
      <c r="U214" s="13"/>
      <c r="V214" s="72"/>
      <c r="W214" s="71"/>
      <c r="X214" s="53"/>
      <c r="Y214" s="71"/>
      <c r="Z214" s="53"/>
      <c r="AA214" s="13"/>
    </row>
    <row r="215" spans="10:27" x14ac:dyDescent="0.3">
      <c r="J215" s="65">
        <v>42068</v>
      </c>
      <c r="K215" s="180">
        <v>62.869999</v>
      </c>
      <c r="L215" s="66">
        <f t="shared" si="10"/>
        <v>6.0023570055242455E-2</v>
      </c>
      <c r="M215" s="180">
        <v>2101.040039</v>
      </c>
      <c r="N215" s="67">
        <f t="shared" si="11"/>
        <v>1.1960800966932296E-3</v>
      </c>
      <c r="P215" s="197"/>
      <c r="Q215" s="198"/>
      <c r="R215" s="196"/>
      <c r="S215" s="198"/>
      <c r="T215" s="196"/>
      <c r="U215" s="13"/>
      <c r="V215" s="72"/>
      <c r="W215" s="71"/>
      <c r="X215" s="53"/>
      <c r="Y215" s="71"/>
      <c r="Z215" s="53"/>
      <c r="AA215" s="13"/>
    </row>
    <row r="216" spans="10:27" x14ac:dyDescent="0.3">
      <c r="J216" s="65">
        <v>42067</v>
      </c>
      <c r="K216" s="180">
        <v>59.310001</v>
      </c>
      <c r="L216" s="66">
        <f t="shared" si="10"/>
        <v>2.2233729748362574E-2</v>
      </c>
      <c r="M216" s="180">
        <v>2098.530029</v>
      </c>
      <c r="N216" s="67">
        <f t="shared" si="11"/>
        <v>-4.3885034836336802E-3</v>
      </c>
      <c r="P216" s="197"/>
      <c r="Q216" s="198"/>
      <c r="R216" s="196"/>
      <c r="S216" s="198"/>
      <c r="T216" s="196"/>
      <c r="U216" s="13"/>
      <c r="V216" s="72"/>
      <c r="W216" s="71"/>
      <c r="X216" s="53"/>
      <c r="Y216" s="71"/>
      <c r="Z216" s="53"/>
      <c r="AA216" s="13"/>
    </row>
    <row r="217" spans="10:27" x14ac:dyDescent="0.3">
      <c r="J217" s="65">
        <v>42066</v>
      </c>
      <c r="K217" s="180">
        <v>58.02</v>
      </c>
      <c r="L217" s="66">
        <f t="shared" si="10"/>
        <v>4.8492897523627759E-3</v>
      </c>
      <c r="M217" s="180">
        <v>2107.780029</v>
      </c>
      <c r="N217" s="67">
        <f t="shared" si="11"/>
        <v>-4.5385424912859993E-3</v>
      </c>
      <c r="P217" s="197"/>
      <c r="Q217" s="198"/>
      <c r="R217" s="196"/>
      <c r="S217" s="198"/>
      <c r="T217" s="196"/>
      <c r="U217" s="13"/>
      <c r="V217" s="72"/>
      <c r="W217" s="71"/>
      <c r="X217" s="53"/>
      <c r="Y217" s="71"/>
      <c r="Z217" s="53"/>
      <c r="AA217" s="13"/>
    </row>
    <row r="218" spans="10:27" x14ac:dyDescent="0.3">
      <c r="J218" s="65">
        <v>42065</v>
      </c>
      <c r="K218" s="180">
        <v>57.740001999999997</v>
      </c>
      <c r="L218" s="66">
        <f t="shared" si="10"/>
        <v>-2.5814037455711255E-2</v>
      </c>
      <c r="M218" s="180">
        <v>2117.389893</v>
      </c>
      <c r="N218" s="67">
        <f t="shared" si="11"/>
        <v>6.1249194583036489E-3</v>
      </c>
      <c r="P218" s="197"/>
      <c r="Q218" s="198"/>
      <c r="R218" s="53"/>
      <c r="S218" s="198"/>
      <c r="T218" s="53"/>
      <c r="U218" s="13"/>
      <c r="V218" s="72"/>
      <c r="W218" s="71"/>
      <c r="X218" s="53"/>
      <c r="Y218" s="71"/>
      <c r="Z218" s="53"/>
      <c r="AA218" s="13"/>
    </row>
    <row r="219" spans="10:27" x14ac:dyDescent="0.3">
      <c r="J219" s="65">
        <v>42062</v>
      </c>
      <c r="K219" s="180">
        <v>59.27</v>
      </c>
      <c r="L219" s="66">
        <f t="shared" si="10"/>
        <v>-5.1072671326811904E-2</v>
      </c>
      <c r="M219" s="180">
        <v>2104.5</v>
      </c>
      <c r="N219" s="67">
        <f t="shared" si="11"/>
        <v>-2.9563044380468834E-3</v>
      </c>
      <c r="P219" s="72"/>
      <c r="Q219" s="71"/>
      <c r="R219" s="53"/>
      <c r="S219" s="71"/>
      <c r="T219" s="53"/>
      <c r="U219" s="13"/>
      <c r="V219" s="72"/>
      <c r="W219" s="71"/>
      <c r="X219" s="53"/>
      <c r="Y219" s="71"/>
      <c r="Z219" s="53"/>
      <c r="AA219" s="13"/>
    </row>
    <row r="220" spans="10:27" x14ac:dyDescent="0.3">
      <c r="J220" s="65">
        <v>42061</v>
      </c>
      <c r="K220" s="180">
        <v>62.459999000000003</v>
      </c>
      <c r="L220" s="66">
        <f t="shared" si="10"/>
        <v>3.564911232549977E-2</v>
      </c>
      <c r="M220" s="180">
        <v>2110.73999</v>
      </c>
      <c r="N220" s="67">
        <f t="shared" si="11"/>
        <v>-1.4760281390749272E-3</v>
      </c>
      <c r="P220" s="72"/>
      <c r="Q220" s="71"/>
      <c r="R220" s="53"/>
      <c r="S220" s="71"/>
      <c r="T220" s="53"/>
      <c r="U220" s="13"/>
      <c r="V220" s="72"/>
      <c r="W220" s="71"/>
      <c r="X220" s="53"/>
      <c r="Y220" s="71"/>
      <c r="Z220" s="53"/>
      <c r="AA220" s="13"/>
    </row>
    <row r="221" spans="10:27" x14ac:dyDescent="0.3">
      <c r="J221" s="65">
        <v>42060</v>
      </c>
      <c r="K221" s="180">
        <v>60.310001</v>
      </c>
      <c r="L221" s="66">
        <f t="shared" si="10"/>
        <v>3.3272333500710283E-3</v>
      </c>
      <c r="M221" s="180">
        <v>2113.860107</v>
      </c>
      <c r="N221" s="67">
        <f t="shared" si="11"/>
        <v>-7.657236255197734E-4</v>
      </c>
      <c r="P221" s="72"/>
      <c r="Q221" s="71"/>
      <c r="R221" s="53"/>
      <c r="S221" s="71"/>
      <c r="T221" s="53"/>
      <c r="U221" s="13"/>
      <c r="V221" s="72"/>
      <c r="W221" s="71"/>
      <c r="X221" s="53"/>
      <c r="Y221" s="71"/>
      <c r="Z221" s="53"/>
      <c r="AA221" s="13"/>
    </row>
    <row r="222" spans="10:27" x14ac:dyDescent="0.3">
      <c r="J222" s="65">
        <v>42059</v>
      </c>
      <c r="K222" s="180">
        <v>60.110000999999997</v>
      </c>
      <c r="L222" s="66">
        <f t="shared" si="10"/>
        <v>2.8928501503885661E-2</v>
      </c>
      <c r="M222" s="180">
        <v>2115.4799800000001</v>
      </c>
      <c r="N222" s="67">
        <f t="shared" si="11"/>
        <v>2.7587707226623321E-3</v>
      </c>
      <c r="P222" s="72"/>
      <c r="Q222" s="71"/>
      <c r="R222" s="53"/>
      <c r="S222" s="71"/>
      <c r="T222" s="53"/>
      <c r="U222" s="13"/>
      <c r="V222" s="72"/>
      <c r="W222" s="71"/>
      <c r="X222" s="53"/>
      <c r="Y222" s="71"/>
      <c r="Z222" s="53"/>
      <c r="AA222" s="13"/>
    </row>
    <row r="223" spans="10:27" x14ac:dyDescent="0.3">
      <c r="J223" s="65">
        <v>42058</v>
      </c>
      <c r="K223" s="180">
        <v>58.419998</v>
      </c>
      <c r="L223" s="66">
        <f t="shared" si="10"/>
        <v>-0.16958067290918757</v>
      </c>
      <c r="M223" s="180">
        <v>2109.6599120000001</v>
      </c>
      <c r="N223" s="67">
        <f t="shared" si="11"/>
        <v>-3.0333932859604834E-4</v>
      </c>
      <c r="P223" s="72"/>
      <c r="Q223" s="71"/>
      <c r="R223" s="53"/>
      <c r="S223" s="71"/>
      <c r="T223" s="53"/>
      <c r="U223" s="13"/>
      <c r="V223" s="72"/>
      <c r="W223" s="71"/>
      <c r="X223" s="53"/>
      <c r="Y223" s="71"/>
      <c r="Z223" s="53"/>
      <c r="AA223" s="13"/>
    </row>
    <row r="224" spans="10:27" x14ac:dyDescent="0.3">
      <c r="J224" s="65">
        <v>42055</v>
      </c>
      <c r="K224" s="180">
        <v>70.349997999999999</v>
      </c>
      <c r="L224" s="66">
        <f t="shared" si="10"/>
        <v>9.4430601966873015E-2</v>
      </c>
      <c r="M224" s="180">
        <v>2110.3000489999999</v>
      </c>
      <c r="N224" s="67">
        <f t="shared" si="11"/>
        <v>6.1265337911273424E-3</v>
      </c>
      <c r="P224" s="72"/>
      <c r="Q224" s="71"/>
      <c r="R224" s="53"/>
      <c r="S224" s="71"/>
      <c r="T224" s="53"/>
      <c r="U224" s="13"/>
      <c r="V224" s="72"/>
      <c r="W224" s="71"/>
      <c r="X224" s="53"/>
      <c r="Y224" s="71"/>
      <c r="Z224" s="53"/>
      <c r="AA224" s="13"/>
    </row>
    <row r="225" spans="10:27" x14ac:dyDescent="0.3">
      <c r="J225" s="65">
        <v>42054</v>
      </c>
      <c r="K225" s="180">
        <v>64.279999000000004</v>
      </c>
      <c r="L225" s="66">
        <f t="shared" si="10"/>
        <v>6.5649850795756026E-2</v>
      </c>
      <c r="M225" s="180">
        <v>2097.4499510000001</v>
      </c>
      <c r="N225" s="67">
        <f t="shared" si="11"/>
        <v>-1.0620575860225694E-3</v>
      </c>
      <c r="P225" s="72"/>
      <c r="Q225" s="71"/>
      <c r="R225" s="53"/>
      <c r="S225" s="71"/>
      <c r="T225" s="53"/>
      <c r="U225" s="13"/>
      <c r="V225" s="72"/>
      <c r="W225" s="71"/>
      <c r="X225" s="53"/>
      <c r="Y225" s="71"/>
      <c r="Z225" s="53"/>
      <c r="AA225" s="13"/>
    </row>
    <row r="226" spans="10:27" x14ac:dyDescent="0.3">
      <c r="J226" s="65">
        <v>42053</v>
      </c>
      <c r="K226" s="180">
        <v>60.32</v>
      </c>
      <c r="L226" s="66">
        <f t="shared" si="10"/>
        <v>2.4804603724012907E-2</v>
      </c>
      <c r="M226" s="180">
        <v>2099.679932</v>
      </c>
      <c r="N226" s="67">
        <f t="shared" si="11"/>
        <v>-3.1430909868912401E-4</v>
      </c>
      <c r="P226" s="72"/>
      <c r="Q226" s="71"/>
      <c r="R226" s="53"/>
      <c r="S226" s="71"/>
      <c r="T226" s="53"/>
      <c r="U226" s="13"/>
      <c r="V226" s="72"/>
      <c r="W226" s="71"/>
      <c r="X226" s="53"/>
      <c r="Y226" s="71"/>
      <c r="Z226" s="53"/>
      <c r="AA226" s="13"/>
    </row>
    <row r="227" spans="10:27" x14ac:dyDescent="0.3">
      <c r="J227" s="65">
        <v>42052</v>
      </c>
      <c r="K227" s="180">
        <v>58.860000999999997</v>
      </c>
      <c r="L227" s="66">
        <f t="shared" si="10"/>
        <v>0.12071593678598616</v>
      </c>
      <c r="M227" s="180">
        <v>2100.3400879999999</v>
      </c>
      <c r="N227" s="67">
        <f t="shared" si="11"/>
        <v>1.597574626476824E-3</v>
      </c>
      <c r="P227" s="72"/>
      <c r="Q227" s="71"/>
      <c r="R227" s="53"/>
      <c r="S227" s="71"/>
      <c r="T227" s="53"/>
      <c r="U227" s="13"/>
      <c r="V227" s="72"/>
      <c r="W227" s="71"/>
      <c r="X227" s="53"/>
      <c r="Y227" s="71"/>
      <c r="Z227" s="53"/>
      <c r="AA227" s="13"/>
    </row>
    <row r="228" spans="10:27" x14ac:dyDescent="0.3">
      <c r="J228" s="65">
        <v>42048</v>
      </c>
      <c r="K228" s="180">
        <v>52.52</v>
      </c>
      <c r="L228" s="66">
        <f t="shared" si="10"/>
        <v>0.14948568941750257</v>
      </c>
      <c r="M228" s="180">
        <v>2096.98999</v>
      </c>
      <c r="N228" s="67">
        <f t="shared" si="11"/>
        <v>4.0747386048680077E-3</v>
      </c>
      <c r="P228" s="72"/>
      <c r="Q228" s="71"/>
      <c r="R228" s="53"/>
      <c r="S228" s="71"/>
      <c r="T228" s="53"/>
      <c r="U228" s="13"/>
      <c r="V228" s="72"/>
      <c r="W228" s="71"/>
      <c r="X228" s="53"/>
      <c r="Y228" s="71"/>
      <c r="Z228" s="53"/>
      <c r="AA228" s="13"/>
    </row>
    <row r="229" spans="10:27" x14ac:dyDescent="0.3">
      <c r="J229" s="65">
        <v>42047</v>
      </c>
      <c r="K229" s="180">
        <v>45.689999</v>
      </c>
      <c r="L229" s="66">
        <f t="shared" si="10"/>
        <v>9.3323711573972054E-2</v>
      </c>
      <c r="M229" s="180">
        <v>2088.4799800000001</v>
      </c>
      <c r="N229" s="67">
        <f t="shared" si="11"/>
        <v>9.6445063500695521E-3</v>
      </c>
      <c r="P229" s="72"/>
      <c r="Q229" s="71"/>
      <c r="R229" s="53"/>
      <c r="S229" s="71"/>
      <c r="T229" s="53"/>
      <c r="U229" s="13"/>
      <c r="V229" s="72"/>
      <c r="W229" s="71"/>
      <c r="X229" s="53"/>
      <c r="Y229" s="71"/>
      <c r="Z229" s="53"/>
      <c r="AA229" s="13"/>
    </row>
    <row r="230" spans="10:27" x14ac:dyDescent="0.3">
      <c r="J230" s="65">
        <v>42046</v>
      </c>
      <c r="K230" s="180">
        <v>41.790000999999997</v>
      </c>
      <c r="L230" s="66">
        <f t="shared" si="10"/>
        <v>2.1760365684089598E-2</v>
      </c>
      <c r="M230" s="180">
        <v>2068.530029</v>
      </c>
      <c r="N230" s="67">
        <f t="shared" si="11"/>
        <v>-2.903378506370865E-5</v>
      </c>
      <c r="P230" s="72"/>
      <c r="Q230" s="71"/>
      <c r="R230" s="53"/>
      <c r="S230" s="71"/>
      <c r="T230" s="53"/>
      <c r="U230" s="13"/>
      <c r="V230" s="72"/>
      <c r="W230" s="71"/>
      <c r="X230" s="53"/>
      <c r="Y230" s="71"/>
      <c r="Z230" s="53"/>
      <c r="AA230" s="13"/>
    </row>
    <row r="231" spans="10:27" x14ac:dyDescent="0.3">
      <c r="J231" s="65">
        <v>42045</v>
      </c>
      <c r="K231" s="180">
        <v>40.900002000000001</v>
      </c>
      <c r="L231" s="66">
        <f t="shared" si="10"/>
        <v>0.13327797173732328</v>
      </c>
      <c r="M231" s="180">
        <v>2068.5900879999999</v>
      </c>
      <c r="N231" s="67">
        <f t="shared" si="11"/>
        <v>1.0675561188404731E-2</v>
      </c>
      <c r="P231" s="72"/>
      <c r="Q231" s="71"/>
      <c r="R231" s="53"/>
      <c r="S231" s="71"/>
      <c r="T231" s="53"/>
      <c r="U231" s="13"/>
      <c r="V231" s="72"/>
      <c r="W231" s="71"/>
      <c r="X231" s="53"/>
      <c r="Y231" s="71"/>
      <c r="Z231" s="53"/>
      <c r="AA231" s="13"/>
    </row>
    <row r="232" spans="10:27" x14ac:dyDescent="0.3">
      <c r="J232" s="65">
        <v>42044</v>
      </c>
      <c r="K232" s="180">
        <v>36.090000000000003</v>
      </c>
      <c r="L232" s="66">
        <f t="shared" si="10"/>
        <v>-2.6436471540329024E-2</v>
      </c>
      <c r="M232" s="180">
        <v>2046.73999</v>
      </c>
      <c r="N232" s="67">
        <f t="shared" si="11"/>
        <v>-4.2471946188310196E-3</v>
      </c>
      <c r="P232" s="72"/>
      <c r="Q232" s="71"/>
      <c r="R232" s="53"/>
      <c r="S232" s="71"/>
      <c r="T232" s="53"/>
      <c r="U232" s="13"/>
      <c r="V232" s="72"/>
      <c r="W232" s="71"/>
      <c r="X232" s="53"/>
      <c r="Y232" s="71"/>
      <c r="Z232" s="53"/>
      <c r="AA232" s="13"/>
    </row>
    <row r="233" spans="10:27" x14ac:dyDescent="0.3">
      <c r="J233" s="65">
        <v>42041</v>
      </c>
      <c r="K233" s="180">
        <v>37.07</v>
      </c>
      <c r="L233" s="66">
        <f t="shared" si="10"/>
        <v>6.7897881586094517E-3</v>
      </c>
      <c r="M233" s="180">
        <v>2055.469971</v>
      </c>
      <c r="N233" s="67">
        <f t="shared" si="11"/>
        <v>-3.4181723966974849E-3</v>
      </c>
      <c r="P233" s="72"/>
      <c r="Q233" s="71"/>
      <c r="R233" s="53"/>
      <c r="S233" s="71"/>
      <c r="T233" s="53"/>
      <c r="U233" s="13"/>
      <c r="V233" s="72"/>
      <c r="W233" s="71"/>
      <c r="X233" s="53"/>
      <c r="Y233" s="71"/>
      <c r="Z233" s="53"/>
      <c r="AA233" s="13"/>
    </row>
    <row r="234" spans="10:27" x14ac:dyDescent="0.3">
      <c r="J234" s="65">
        <v>42040</v>
      </c>
      <c r="K234" s="180">
        <v>36.82</v>
      </c>
      <c r="L234" s="66">
        <f t="shared" si="10"/>
        <v>8.1350986236446016E-2</v>
      </c>
      <c r="M234" s="180">
        <v>2062.5200199999999</v>
      </c>
      <c r="N234" s="67">
        <f t="shared" si="11"/>
        <v>1.0291406800400634E-2</v>
      </c>
      <c r="P234" s="72"/>
      <c r="Q234" s="71"/>
      <c r="R234" s="53"/>
      <c r="S234" s="71"/>
      <c r="T234" s="53"/>
      <c r="U234" s="13"/>
      <c r="V234" s="72"/>
      <c r="W234" s="71"/>
      <c r="X234" s="53"/>
      <c r="Y234" s="71"/>
      <c r="Z234" s="53"/>
      <c r="AA234" s="13"/>
    </row>
    <row r="235" spans="10:27" x14ac:dyDescent="0.3">
      <c r="J235" s="65">
        <v>42039</v>
      </c>
      <c r="K235" s="180">
        <v>34.049999</v>
      </c>
      <c r="L235" s="66">
        <f t="shared" si="10"/>
        <v>-2.5193272258803322E-2</v>
      </c>
      <c r="M235" s="180">
        <v>2041.51001</v>
      </c>
      <c r="N235" s="67">
        <f t="shared" si="11"/>
        <v>-4.1560459502908327E-3</v>
      </c>
      <c r="P235" s="72"/>
      <c r="Q235" s="71"/>
      <c r="R235" s="53"/>
      <c r="S235" s="71"/>
      <c r="T235" s="53"/>
      <c r="U235" s="13"/>
      <c r="V235" s="72"/>
      <c r="W235" s="71"/>
      <c r="X235" s="53"/>
      <c r="Y235" s="71"/>
      <c r="Z235" s="53"/>
      <c r="AA235" s="13"/>
    </row>
    <row r="236" spans="10:27" x14ac:dyDescent="0.3">
      <c r="J236" s="65">
        <v>42038</v>
      </c>
      <c r="K236" s="180">
        <v>34.93</v>
      </c>
      <c r="L236" s="66">
        <f t="shared" si="10"/>
        <v>2.735294117647058E-2</v>
      </c>
      <c r="M236" s="180">
        <v>2050.030029</v>
      </c>
      <c r="N236" s="67">
        <f t="shared" si="11"/>
        <v>1.4439494938539686E-2</v>
      </c>
      <c r="P236" s="72"/>
      <c r="Q236" s="71"/>
      <c r="R236" s="53"/>
      <c r="S236" s="71"/>
      <c r="T236" s="53"/>
      <c r="U236" s="13"/>
      <c r="V236" s="72"/>
      <c r="W236" s="71"/>
      <c r="X236" s="53"/>
      <c r="Y236" s="71"/>
      <c r="Z236" s="53"/>
      <c r="AA236" s="13"/>
    </row>
    <row r="237" spans="10:27" x14ac:dyDescent="0.3">
      <c r="J237" s="65">
        <v>42037</v>
      </c>
      <c r="K237" s="180">
        <v>34</v>
      </c>
      <c r="L237" s="66">
        <f t="shared" si="10"/>
        <v>3.8382345390680418E-3</v>
      </c>
      <c r="M237" s="180">
        <v>2020.849976</v>
      </c>
      <c r="N237" s="67">
        <f t="shared" si="11"/>
        <v>1.2962464037225537E-2</v>
      </c>
      <c r="P237" s="72"/>
      <c r="Q237" s="71"/>
      <c r="R237" s="53"/>
      <c r="S237" s="71"/>
      <c r="T237" s="53"/>
      <c r="U237" s="13"/>
      <c r="V237" s="72"/>
      <c r="W237" s="71"/>
      <c r="X237" s="53"/>
      <c r="Y237" s="71"/>
      <c r="Z237" s="53"/>
      <c r="AA237" s="13"/>
    </row>
    <row r="238" spans="10:27" x14ac:dyDescent="0.3">
      <c r="J238" s="65">
        <v>42034</v>
      </c>
      <c r="K238" s="180">
        <v>33.869999</v>
      </c>
      <c r="L238" s="66">
        <f t="shared" si="10"/>
        <v>2.6642984802931289E-3</v>
      </c>
      <c r="M238" s="180">
        <v>1994.98999</v>
      </c>
      <c r="N238" s="67">
        <f t="shared" si="11"/>
        <v>-1.299196536796535E-2</v>
      </c>
      <c r="P238" s="72"/>
      <c r="Q238" s="71"/>
      <c r="R238" s="53"/>
      <c r="S238" s="71"/>
      <c r="T238" s="53"/>
      <c r="U238" s="13"/>
      <c r="V238" s="72"/>
      <c r="W238" s="71"/>
      <c r="X238" s="53"/>
      <c r="Y238" s="71"/>
      <c r="Z238" s="53"/>
      <c r="AA238" s="13"/>
    </row>
    <row r="239" spans="10:27" x14ac:dyDescent="0.3">
      <c r="J239" s="65">
        <v>42033</v>
      </c>
      <c r="K239" s="180">
        <v>33.779998999999997</v>
      </c>
      <c r="L239" s="66">
        <f t="shared" si="10"/>
        <v>-2.5108310239058688E-2</v>
      </c>
      <c r="M239" s="180">
        <v>2021.25</v>
      </c>
      <c r="N239" s="67">
        <f t="shared" si="11"/>
        <v>9.5346853777024312E-3</v>
      </c>
      <c r="P239" s="72"/>
      <c r="Q239" s="71"/>
      <c r="R239" s="53"/>
      <c r="S239" s="71"/>
      <c r="T239" s="53"/>
      <c r="U239" s="13"/>
      <c r="V239" s="72"/>
      <c r="W239" s="71"/>
      <c r="X239" s="53"/>
      <c r="Y239" s="71"/>
      <c r="Z239" s="53"/>
      <c r="AA239" s="13"/>
    </row>
    <row r="240" spans="10:27" x14ac:dyDescent="0.3">
      <c r="J240" s="65">
        <v>42032</v>
      </c>
      <c r="K240" s="180">
        <v>34.650002000000001</v>
      </c>
      <c r="L240" s="66">
        <f t="shared" si="10"/>
        <v>-3.2122822126335784E-2</v>
      </c>
      <c r="M240" s="180">
        <v>2002.160034</v>
      </c>
      <c r="N240" s="67">
        <f t="shared" si="11"/>
        <v>-1.3495609538427277E-2</v>
      </c>
      <c r="P240" s="72"/>
      <c r="Q240" s="71"/>
      <c r="R240" s="53"/>
      <c r="S240" s="71"/>
      <c r="T240" s="53"/>
      <c r="U240" s="13"/>
      <c r="V240" s="72"/>
      <c r="W240" s="71"/>
      <c r="X240" s="53"/>
      <c r="Y240" s="71"/>
      <c r="Z240" s="53"/>
      <c r="AA240" s="13"/>
    </row>
    <row r="241" spans="10:27" x14ac:dyDescent="0.3">
      <c r="J241" s="65">
        <v>42031</v>
      </c>
      <c r="K241" s="180">
        <v>35.799999</v>
      </c>
      <c r="L241" s="66">
        <f t="shared" si="10"/>
        <v>-7.210260476698269E-3</v>
      </c>
      <c r="M241" s="180">
        <v>2029.5500489999999</v>
      </c>
      <c r="N241" s="67">
        <f t="shared" si="11"/>
        <v>-1.3387862379316457E-2</v>
      </c>
      <c r="P241" s="72"/>
      <c r="Q241" s="71"/>
      <c r="R241" s="53"/>
      <c r="S241" s="71"/>
      <c r="T241" s="53"/>
      <c r="U241" s="13"/>
      <c r="V241" s="72"/>
      <c r="W241" s="71"/>
      <c r="X241" s="53"/>
      <c r="Y241" s="71"/>
      <c r="Z241" s="53"/>
      <c r="AA241" s="13"/>
    </row>
    <row r="242" spans="10:27" x14ac:dyDescent="0.3">
      <c r="J242" s="65">
        <v>42030</v>
      </c>
      <c r="K242" s="180">
        <v>36.060001</v>
      </c>
      <c r="L242" s="66">
        <f t="shared" si="10"/>
        <v>-2.5141955926360784E-2</v>
      </c>
      <c r="M242" s="180">
        <v>2057.0900879999999</v>
      </c>
      <c r="N242" s="67">
        <f t="shared" si="11"/>
        <v>2.5684610859356949E-3</v>
      </c>
      <c r="P242" s="72"/>
      <c r="Q242" s="71"/>
      <c r="R242" s="53"/>
      <c r="S242" s="71"/>
      <c r="T242" s="53"/>
      <c r="U242" s="13"/>
      <c r="V242" s="72"/>
      <c r="W242" s="71"/>
      <c r="X242" s="53"/>
      <c r="Y242" s="71"/>
      <c r="Z242" s="53"/>
      <c r="AA242" s="13"/>
    </row>
    <row r="243" spans="10:27" x14ac:dyDescent="0.3">
      <c r="J243" s="65">
        <v>42027</v>
      </c>
      <c r="K243" s="180">
        <v>36.990001999999997</v>
      </c>
      <c r="L243" s="66">
        <f t="shared" si="10"/>
        <v>2.4086462460865432E-2</v>
      </c>
      <c r="M243" s="180">
        <v>2051.820068</v>
      </c>
      <c r="N243" s="67">
        <f t="shared" si="11"/>
        <v>-5.4915224477955155E-3</v>
      </c>
      <c r="P243" s="72"/>
      <c r="Q243" s="71"/>
      <c r="R243" s="53"/>
      <c r="S243" s="71"/>
      <c r="T243" s="53"/>
      <c r="U243" s="13"/>
      <c r="V243" s="72"/>
      <c r="W243" s="71"/>
      <c r="X243" s="53"/>
      <c r="Y243" s="71"/>
      <c r="Z243" s="53"/>
      <c r="AA243" s="13"/>
    </row>
    <row r="244" spans="10:27" x14ac:dyDescent="0.3">
      <c r="J244" s="65">
        <v>42026</v>
      </c>
      <c r="K244" s="180">
        <v>36.119999</v>
      </c>
      <c r="L244" s="66">
        <f t="shared" si="10"/>
        <v>-2.8985232794215584E-3</v>
      </c>
      <c r="M244" s="180">
        <v>2063.1499020000001</v>
      </c>
      <c r="N244" s="67">
        <f t="shared" si="11"/>
        <v>1.5269721805970466E-2</v>
      </c>
      <c r="P244" s="72"/>
      <c r="Q244" s="71"/>
      <c r="R244" s="53"/>
      <c r="S244" s="71"/>
      <c r="T244" s="53"/>
      <c r="U244" s="13"/>
      <c r="V244" s="72"/>
      <c r="W244" s="71"/>
      <c r="X244" s="53"/>
      <c r="Y244" s="71"/>
      <c r="Z244" s="53"/>
      <c r="AA244" s="13"/>
    </row>
    <row r="245" spans="10:27" x14ac:dyDescent="0.3">
      <c r="J245" s="65">
        <v>42025</v>
      </c>
      <c r="K245" s="180">
        <v>36.224997999999999</v>
      </c>
      <c r="L245" s="66">
        <f t="shared" si="10"/>
        <v>-1.6960652209533363E-2</v>
      </c>
      <c r="M245" s="180">
        <v>2032.119995</v>
      </c>
      <c r="N245" s="67">
        <f t="shared" si="11"/>
        <v>4.7316238254433785E-3</v>
      </c>
      <c r="P245" s="72"/>
      <c r="Q245" s="71"/>
      <c r="R245" s="53"/>
      <c r="S245" s="71"/>
      <c r="T245" s="53"/>
      <c r="U245" s="13"/>
      <c r="V245" s="72"/>
      <c r="W245" s="71"/>
      <c r="X245" s="53"/>
      <c r="Y245" s="71"/>
      <c r="Z245" s="53"/>
      <c r="AA245" s="13"/>
    </row>
    <row r="246" spans="10:27" x14ac:dyDescent="0.3">
      <c r="J246" s="65">
        <v>42024</v>
      </c>
      <c r="K246" s="180">
        <v>36.849997999999999</v>
      </c>
      <c r="L246" s="66">
        <f t="shared" si="10"/>
        <v>5.4569164825693248E-3</v>
      </c>
      <c r="M246" s="180">
        <v>2022.5500489999999</v>
      </c>
      <c r="N246" s="67">
        <f t="shared" si="11"/>
        <v>1.5499524278268393E-3</v>
      </c>
      <c r="P246" s="72"/>
      <c r="Q246" s="71"/>
      <c r="R246" s="53"/>
      <c r="S246" s="71"/>
      <c r="T246" s="53"/>
      <c r="U246" s="13"/>
      <c r="V246" s="72"/>
      <c r="W246" s="71"/>
      <c r="X246" s="53"/>
      <c r="Y246" s="71"/>
      <c r="Z246" s="53"/>
      <c r="AA246" s="13"/>
    </row>
    <row r="247" spans="10:27" x14ac:dyDescent="0.3">
      <c r="J247" s="65">
        <v>42020</v>
      </c>
      <c r="K247" s="180">
        <v>36.650002000000001</v>
      </c>
      <c r="L247" s="66">
        <f t="shared" si="10"/>
        <v>2.6323243526273892E-2</v>
      </c>
      <c r="M247" s="180">
        <v>2019.420044</v>
      </c>
      <c r="N247" s="67">
        <f t="shared" si="11"/>
        <v>1.3424199395451945E-2</v>
      </c>
      <c r="P247" s="72"/>
      <c r="Q247" s="71"/>
      <c r="R247" s="53"/>
      <c r="S247" s="71"/>
      <c r="T247" s="53"/>
      <c r="U247" s="13"/>
      <c r="V247" s="72"/>
      <c r="W247" s="71"/>
      <c r="X247" s="53"/>
      <c r="Y247" s="71"/>
      <c r="Z247" s="53"/>
      <c r="AA247" s="13"/>
    </row>
    <row r="248" spans="10:27" x14ac:dyDescent="0.3">
      <c r="J248" s="65">
        <v>42019</v>
      </c>
      <c r="K248" s="180">
        <v>35.709999000000003</v>
      </c>
      <c r="L248" s="66">
        <f t="shared" si="10"/>
        <v>-5.4039761589403885E-2</v>
      </c>
      <c r="M248" s="180">
        <v>1992.670044</v>
      </c>
      <c r="N248" s="67">
        <f t="shared" si="11"/>
        <v>-9.2478761255537292E-3</v>
      </c>
      <c r="P248" s="72"/>
      <c r="Q248" s="71"/>
      <c r="R248" s="53"/>
      <c r="S248" s="71"/>
      <c r="T248" s="53"/>
      <c r="U248" s="13"/>
      <c r="V248" s="72"/>
      <c r="W248" s="71"/>
      <c r="X248" s="53"/>
      <c r="Y248" s="71"/>
      <c r="Z248" s="53"/>
      <c r="AA248" s="13"/>
    </row>
    <row r="249" spans="10:27" x14ac:dyDescent="0.3">
      <c r="J249" s="65">
        <v>42018</v>
      </c>
      <c r="K249" s="180">
        <v>37.75</v>
      </c>
      <c r="L249" s="66">
        <f t="shared" si="10"/>
        <v>8.0106539917048254E-3</v>
      </c>
      <c r="M249" s="180">
        <v>2011.2700199999999</v>
      </c>
      <c r="N249" s="67">
        <f t="shared" si="11"/>
        <v>-5.8130669497838093E-3</v>
      </c>
      <c r="P249" s="72"/>
      <c r="Q249" s="71"/>
      <c r="R249" s="53"/>
      <c r="S249" s="71"/>
      <c r="T249" s="53"/>
      <c r="U249" s="13"/>
      <c r="V249" s="72"/>
      <c r="W249" s="71"/>
      <c r="X249" s="53"/>
      <c r="Y249" s="71"/>
      <c r="Z249" s="53"/>
      <c r="AA249" s="13"/>
    </row>
    <row r="250" spans="10:27" x14ac:dyDescent="0.3">
      <c r="J250" s="65">
        <v>42017</v>
      </c>
      <c r="K250" s="180">
        <v>37.450001</v>
      </c>
      <c r="L250" s="66">
        <f t="shared" si="10"/>
        <v>-2.3977013916523678E-2</v>
      </c>
      <c r="M250" s="180">
        <v>2023.030029</v>
      </c>
      <c r="N250" s="67">
        <f t="shared" si="11"/>
        <v>-2.578555497921567E-3</v>
      </c>
      <c r="P250" s="72"/>
      <c r="Q250" s="71"/>
      <c r="R250" s="53"/>
      <c r="S250" s="71"/>
      <c r="T250" s="53"/>
      <c r="U250" s="13"/>
      <c r="V250" s="72"/>
      <c r="W250" s="71"/>
      <c r="X250" s="53"/>
      <c r="Y250" s="71"/>
      <c r="Z250" s="53"/>
      <c r="AA250" s="13"/>
    </row>
    <row r="251" spans="10:27" x14ac:dyDescent="0.3">
      <c r="J251" s="65">
        <v>42016</v>
      </c>
      <c r="K251" s="180">
        <v>38.369999</v>
      </c>
      <c r="L251" s="66">
        <f t="shared" si="10"/>
        <v>3.5348029267457393E-2</v>
      </c>
      <c r="M251" s="180">
        <v>2028.26001</v>
      </c>
      <c r="N251" s="67">
        <f t="shared" si="11"/>
        <v>-8.0936852433588034E-3</v>
      </c>
      <c r="P251" s="72"/>
      <c r="Q251" s="71"/>
      <c r="R251" s="53"/>
      <c r="S251" s="71"/>
      <c r="T251" s="53"/>
      <c r="U251" s="13"/>
      <c r="V251" s="72"/>
      <c r="W251" s="71"/>
      <c r="X251" s="53"/>
      <c r="Y251" s="71"/>
      <c r="Z251" s="53"/>
      <c r="AA251" s="13"/>
    </row>
    <row r="252" spans="10:27" x14ac:dyDescent="0.3">
      <c r="J252" s="65">
        <v>42013</v>
      </c>
      <c r="K252" s="180">
        <v>37.060001</v>
      </c>
      <c r="L252" s="66">
        <f t="shared" si="10"/>
        <v>-3.8651051586278899E-2</v>
      </c>
      <c r="M252" s="180">
        <v>2044.8100589999999</v>
      </c>
      <c r="N252" s="67">
        <f t="shared" si="11"/>
        <v>-8.403811040573337E-3</v>
      </c>
      <c r="P252" s="72"/>
      <c r="Q252" s="71"/>
      <c r="R252" s="53"/>
      <c r="S252" s="71"/>
      <c r="T252" s="53"/>
      <c r="U252" s="13"/>
      <c r="V252" s="72"/>
      <c r="W252" s="71"/>
      <c r="X252" s="53"/>
      <c r="Y252" s="71"/>
      <c r="Z252" s="53"/>
      <c r="AA252" s="13"/>
    </row>
    <row r="253" spans="10:27" x14ac:dyDescent="0.3">
      <c r="J253" s="65">
        <v>42012</v>
      </c>
      <c r="K253" s="180">
        <v>38.549999</v>
      </c>
      <c r="L253" s="66">
        <f t="shared" si="10"/>
        <v>1.5810223562312934E-2</v>
      </c>
      <c r="M253" s="180">
        <v>2062.139893</v>
      </c>
      <c r="N253" s="67">
        <f t="shared" si="11"/>
        <v>1.7888281045797549E-2</v>
      </c>
      <c r="P253" s="72"/>
      <c r="Q253" s="71"/>
      <c r="R253" s="53"/>
      <c r="S253" s="71"/>
      <c r="T253" s="53"/>
      <c r="U253" s="13"/>
      <c r="V253" s="72"/>
      <c r="W253" s="71"/>
      <c r="X253" s="53"/>
      <c r="Y253" s="71"/>
      <c r="Z253" s="53"/>
      <c r="AA253" s="13"/>
    </row>
    <row r="254" spans="10:27" x14ac:dyDescent="0.3">
      <c r="J254" s="65">
        <v>42011</v>
      </c>
      <c r="K254" s="180">
        <v>37.950001</v>
      </c>
      <c r="L254" s="66">
        <f t="shared" si="10"/>
        <v>2.1534292245798524E-2</v>
      </c>
      <c r="M254" s="180">
        <v>2025.900024</v>
      </c>
      <c r="N254" s="67">
        <f t="shared" si="11"/>
        <v>1.1629842642575248E-2</v>
      </c>
      <c r="P254" s="72"/>
      <c r="Q254" s="71"/>
      <c r="R254" s="53"/>
      <c r="S254" s="71"/>
      <c r="T254" s="53"/>
      <c r="U254" s="13"/>
      <c r="V254" s="72"/>
      <c r="W254" s="71"/>
      <c r="X254" s="53"/>
      <c r="Y254" s="71"/>
      <c r="Z254" s="53"/>
      <c r="AA254" s="13"/>
    </row>
    <row r="255" spans="10:27" x14ac:dyDescent="0.3">
      <c r="J255" s="65">
        <v>42010</v>
      </c>
      <c r="K255" s="180">
        <v>37.150002000000001</v>
      </c>
      <c r="L255" s="66">
        <f t="shared" si="10"/>
        <v>-4.8655494203725821E-2</v>
      </c>
      <c r="M255" s="180">
        <v>2002.6099850000001</v>
      </c>
      <c r="N255" s="67">
        <f t="shared" si="11"/>
        <v>-8.8934718701129123E-3</v>
      </c>
      <c r="P255" s="72"/>
      <c r="Q255" s="71"/>
      <c r="R255" s="53"/>
      <c r="S255" s="71"/>
      <c r="T255" s="53"/>
      <c r="U255" s="13"/>
      <c r="V255" s="72"/>
      <c r="W255" s="71"/>
      <c r="X255" s="53"/>
      <c r="Y255" s="71"/>
      <c r="Z255" s="53"/>
      <c r="AA255" s="13"/>
    </row>
    <row r="256" spans="10:27" x14ac:dyDescent="0.3">
      <c r="J256" s="65">
        <v>42009</v>
      </c>
      <c r="K256" s="180">
        <v>39.049999</v>
      </c>
      <c r="L256" s="66">
        <f t="shared" si="10"/>
        <v>4.3723764307516261E-3</v>
      </c>
      <c r="M256" s="180">
        <v>2020.579956</v>
      </c>
      <c r="N256" s="67">
        <f t="shared" si="11"/>
        <v>-1.827810508970322E-2</v>
      </c>
      <c r="P256" s="72"/>
      <c r="Q256" s="71"/>
      <c r="R256" s="53"/>
      <c r="S256" s="71"/>
      <c r="T256" s="53"/>
      <c r="U256" s="13"/>
      <c r="V256" s="72"/>
      <c r="W256" s="71"/>
      <c r="X256" s="53"/>
      <c r="Y256" s="71"/>
      <c r="Z256" s="53"/>
      <c r="AA256" s="13"/>
    </row>
    <row r="257" spans="10:27" x14ac:dyDescent="0.3">
      <c r="J257" s="65">
        <v>42006</v>
      </c>
      <c r="K257" s="180">
        <v>38.880001</v>
      </c>
      <c r="L257" s="66">
        <f t="shared" si="10"/>
        <v>-1.9419948579069445E-2</v>
      </c>
      <c r="M257" s="180">
        <v>2058.1999510000001</v>
      </c>
      <c r="N257" s="67">
        <f t="shared" si="11"/>
        <v>-3.3996358896327516E-4</v>
      </c>
      <c r="P257" s="72"/>
      <c r="Q257" s="71"/>
      <c r="R257" s="53"/>
      <c r="S257" s="71"/>
      <c r="T257" s="53"/>
      <c r="U257" s="13"/>
      <c r="V257" s="72"/>
      <c r="W257" s="71"/>
      <c r="X257" s="53"/>
      <c r="Y257" s="71"/>
      <c r="Z257" s="53"/>
      <c r="AA257" s="13"/>
    </row>
    <row r="258" spans="10:27" x14ac:dyDescent="0.3">
      <c r="J258" s="65">
        <v>42004</v>
      </c>
      <c r="K258" s="180">
        <v>39.650002000000001</v>
      </c>
      <c r="L258" s="66">
        <f t="shared" si="10"/>
        <v>-5.0187204526333665E-3</v>
      </c>
      <c r="M258" s="180">
        <v>2058.8999020000001</v>
      </c>
      <c r="N258" s="67">
        <f t="shared" si="11"/>
        <v>-1.0310858744699508E-2</v>
      </c>
      <c r="P258" s="72"/>
      <c r="Q258" s="71"/>
      <c r="R258" s="53"/>
      <c r="S258" s="71"/>
      <c r="T258" s="53"/>
      <c r="U258" s="13"/>
      <c r="V258" s="72"/>
      <c r="W258" s="71"/>
      <c r="X258" s="53"/>
      <c r="Y258" s="71"/>
      <c r="Z258" s="53"/>
      <c r="AA258" s="13"/>
    </row>
    <row r="259" spans="10:27" x14ac:dyDescent="0.3">
      <c r="J259" s="65">
        <v>42003</v>
      </c>
      <c r="K259" s="180">
        <v>39.849997999999999</v>
      </c>
      <c r="L259" s="66">
        <f t="shared" si="10"/>
        <v>-3.3236365035507982E-2</v>
      </c>
      <c r="M259" s="180">
        <v>2080.3500979999999</v>
      </c>
      <c r="N259" s="67">
        <f t="shared" si="11"/>
        <v>-4.8886043842468821E-3</v>
      </c>
      <c r="P259" s="72"/>
      <c r="Q259" s="71"/>
      <c r="R259" s="53"/>
      <c r="S259" s="71"/>
      <c r="T259" s="53"/>
      <c r="U259" s="13"/>
      <c r="V259" s="72"/>
      <c r="W259" s="71"/>
      <c r="X259" s="53"/>
      <c r="Y259" s="71"/>
      <c r="Z259" s="53"/>
      <c r="AA259" s="13"/>
    </row>
    <row r="260" spans="10:27" x14ac:dyDescent="0.3">
      <c r="J260" s="65">
        <v>42002</v>
      </c>
      <c r="K260" s="180">
        <v>41.220001000000003</v>
      </c>
      <c r="L260" s="66">
        <f t="shared" si="10"/>
        <v>-1.4582858494723402E-2</v>
      </c>
      <c r="M260" s="180">
        <v>2090.570068</v>
      </c>
      <c r="N260" s="67">
        <f t="shared" si="11"/>
        <v>8.617741459158155E-4</v>
      </c>
      <c r="P260" s="72"/>
      <c r="Q260" s="71"/>
      <c r="R260" s="53"/>
      <c r="S260" s="71"/>
      <c r="T260" s="53"/>
      <c r="U260" s="13"/>
      <c r="V260" s="72"/>
      <c r="W260" s="71"/>
      <c r="X260" s="53"/>
      <c r="Y260" s="71"/>
      <c r="Z260" s="53"/>
      <c r="AA260" s="13"/>
    </row>
    <row r="261" spans="10:27" x14ac:dyDescent="0.3">
      <c r="J261" s="65">
        <v>41999</v>
      </c>
      <c r="K261" s="180">
        <v>41.830002</v>
      </c>
      <c r="L261" s="66">
        <f t="shared" si="10"/>
        <v>5.5289425735068785E-3</v>
      </c>
      <c r="M261" s="180">
        <v>2088.7700199999999</v>
      </c>
      <c r="N261" s="67">
        <f t="shared" si="11"/>
        <v>3.3095747051799856E-3</v>
      </c>
      <c r="P261" s="72"/>
      <c r="Q261" s="71"/>
      <c r="R261" s="53"/>
      <c r="S261" s="71"/>
      <c r="T261" s="53"/>
      <c r="U261" s="13"/>
      <c r="V261" s="72"/>
      <c r="W261" s="71"/>
      <c r="X261" s="53"/>
      <c r="Y261" s="71"/>
      <c r="Z261" s="53"/>
      <c r="AA261" s="13"/>
    </row>
    <row r="262" spans="10:27" x14ac:dyDescent="0.3">
      <c r="J262" s="65">
        <v>41997</v>
      </c>
      <c r="K262" s="180">
        <v>41.599997999999999</v>
      </c>
      <c r="L262" s="66">
        <f t="shared" si="10"/>
        <v>1.4386735644317668E-2</v>
      </c>
      <c r="M262" s="180">
        <v>2081.8798830000001</v>
      </c>
      <c r="N262" s="67">
        <f t="shared" si="11"/>
        <v>-1.3929650838553358E-4</v>
      </c>
      <c r="P262" s="72"/>
      <c r="Q262" s="71"/>
      <c r="R262" s="53"/>
      <c r="S262" s="71"/>
      <c r="T262" s="53"/>
      <c r="U262" s="13"/>
      <c r="V262" s="72"/>
      <c r="W262" s="71"/>
      <c r="X262" s="53"/>
      <c r="Y262" s="71"/>
      <c r="Z262" s="53"/>
      <c r="AA262" s="13"/>
    </row>
    <row r="263" spans="10:27" x14ac:dyDescent="0.3">
      <c r="J263" s="65">
        <v>41996</v>
      </c>
      <c r="K263" s="180">
        <v>41.009998000000003</v>
      </c>
      <c r="L263" s="66">
        <f t="shared" si="10"/>
        <v>-3.8903212510110655E-2</v>
      </c>
      <c r="M263" s="180">
        <v>2082.169922</v>
      </c>
      <c r="N263" s="67">
        <f t="shared" si="11"/>
        <v>1.7463618366218364E-3</v>
      </c>
      <c r="P263" s="72"/>
      <c r="Q263" s="71"/>
      <c r="R263" s="53"/>
      <c r="S263" s="71"/>
      <c r="T263" s="53"/>
      <c r="U263" s="13"/>
      <c r="V263" s="72"/>
      <c r="W263" s="71"/>
      <c r="X263" s="53"/>
      <c r="Y263" s="71"/>
      <c r="Z263" s="53"/>
      <c r="AA263" s="13"/>
    </row>
    <row r="264" spans="10:27" x14ac:dyDescent="0.3">
      <c r="J264" s="65">
        <v>41995</v>
      </c>
      <c r="K264" s="180">
        <v>42.669998</v>
      </c>
      <c r="L264" s="66">
        <f t="shared" si="10"/>
        <v>1.7163217707670597E-2</v>
      </c>
      <c r="M264" s="180">
        <v>2078.540039</v>
      </c>
      <c r="N264" s="67">
        <f t="shared" si="11"/>
        <v>3.8104640443461443E-3</v>
      </c>
      <c r="P264" s="72"/>
      <c r="Q264" s="71"/>
      <c r="R264" s="53"/>
      <c r="S264" s="71"/>
      <c r="T264" s="53"/>
      <c r="U264" s="13"/>
      <c r="V264" s="72"/>
      <c r="W264" s="71"/>
      <c r="X264" s="53"/>
      <c r="Y264" s="71"/>
      <c r="Z264" s="53"/>
      <c r="AA264" s="13"/>
    </row>
    <row r="265" spans="10:27" x14ac:dyDescent="0.3">
      <c r="J265" s="65">
        <v>41992</v>
      </c>
      <c r="K265" s="180">
        <v>41.950001</v>
      </c>
      <c r="L265" s="66">
        <f t="shared" si="10"/>
        <v>3.248830833157007E-2</v>
      </c>
      <c r="M265" s="180">
        <v>2070.6499020000001</v>
      </c>
      <c r="N265" s="67">
        <f t="shared" si="11"/>
        <v>4.5700489956972401E-3</v>
      </c>
      <c r="P265" s="72"/>
      <c r="Q265" s="71"/>
      <c r="R265" s="53"/>
      <c r="S265" s="71"/>
      <c r="T265" s="53"/>
      <c r="U265" s="13"/>
      <c r="V265" s="72"/>
      <c r="W265" s="71"/>
      <c r="X265" s="53"/>
      <c r="Y265" s="71"/>
      <c r="Z265" s="53"/>
      <c r="AA265" s="13"/>
    </row>
    <row r="266" spans="10:27" x14ac:dyDescent="0.3">
      <c r="J266" s="65">
        <v>41991</v>
      </c>
      <c r="K266" s="180">
        <v>40.630001</v>
      </c>
      <c r="L266" s="66">
        <f t="shared" ref="L266:L325" si="12">(K266-K267)/K267</f>
        <v>5.2045625376634527E-2</v>
      </c>
      <c r="M266" s="180">
        <v>2061.2299800000001</v>
      </c>
      <c r="N266" s="67">
        <f t="shared" ref="N266:N325" si="13">(M266-M267)/M267</f>
        <v>2.4015204327992118E-2</v>
      </c>
      <c r="P266" s="72"/>
      <c r="Q266" s="71"/>
      <c r="R266" s="53"/>
      <c r="S266" s="71"/>
      <c r="T266" s="53"/>
      <c r="U266" s="13"/>
      <c r="V266" s="72"/>
      <c r="W266" s="71"/>
      <c r="X266" s="53"/>
      <c r="Y266" s="71"/>
      <c r="Z266" s="53"/>
      <c r="AA266" s="13"/>
    </row>
    <row r="267" spans="10:27" x14ac:dyDescent="0.3">
      <c r="J267" s="65">
        <v>41990</v>
      </c>
      <c r="K267" s="180">
        <v>38.619999</v>
      </c>
      <c r="L267" s="66">
        <f t="shared" si="12"/>
        <v>3.6222135766031574E-2</v>
      </c>
      <c r="M267" s="180">
        <v>2012.8900149999999</v>
      </c>
      <c r="N267" s="67">
        <f t="shared" si="13"/>
        <v>2.035241603228204E-2</v>
      </c>
      <c r="P267" s="72"/>
      <c r="Q267" s="71"/>
      <c r="R267" s="53"/>
      <c r="S267" s="71"/>
      <c r="T267" s="53"/>
      <c r="U267" s="13"/>
      <c r="V267" s="72"/>
      <c r="W267" s="71"/>
      <c r="X267" s="53"/>
      <c r="Y267" s="71"/>
      <c r="Z267" s="53"/>
      <c r="AA267" s="13"/>
    </row>
    <row r="268" spans="10:27" x14ac:dyDescent="0.3">
      <c r="J268" s="65">
        <v>41989</v>
      </c>
      <c r="K268" s="180">
        <v>37.270000000000003</v>
      </c>
      <c r="L268" s="66">
        <f t="shared" si="12"/>
        <v>-4.540571702472458E-3</v>
      </c>
      <c r="M268" s="180">
        <v>1972.73999</v>
      </c>
      <c r="N268" s="67">
        <f t="shared" si="13"/>
        <v>-8.4890230633609433E-3</v>
      </c>
      <c r="P268" s="72"/>
      <c r="Q268" s="71"/>
      <c r="R268" s="53"/>
      <c r="S268" s="71"/>
      <c r="T268" s="53"/>
      <c r="U268" s="13"/>
      <c r="V268" s="72"/>
      <c r="W268" s="71"/>
      <c r="X268" s="53"/>
      <c r="Y268" s="71"/>
      <c r="Z268" s="53"/>
      <c r="AA268" s="13"/>
    </row>
    <row r="269" spans="10:27" x14ac:dyDescent="0.3">
      <c r="J269" s="65">
        <v>41988</v>
      </c>
      <c r="K269" s="180">
        <v>37.439999</v>
      </c>
      <c r="L269" s="66">
        <f t="shared" si="12"/>
        <v>-1.4218035808320081E-2</v>
      </c>
      <c r="M269" s="180">
        <v>1989.630005</v>
      </c>
      <c r="N269" s="67">
        <f t="shared" si="13"/>
        <v>-6.3425865262338689E-3</v>
      </c>
      <c r="P269" s="72"/>
      <c r="Q269" s="71"/>
      <c r="R269" s="53"/>
      <c r="S269" s="71"/>
      <c r="T269" s="53"/>
      <c r="U269" s="13"/>
      <c r="V269" s="72"/>
      <c r="W269" s="71"/>
      <c r="X269" s="53"/>
      <c r="Y269" s="71"/>
      <c r="Z269" s="53"/>
      <c r="AA269" s="13"/>
    </row>
    <row r="270" spans="10:27" x14ac:dyDescent="0.3">
      <c r="J270" s="65">
        <v>41985</v>
      </c>
      <c r="K270" s="180">
        <v>37.979999999999997</v>
      </c>
      <c r="L270" s="66">
        <f t="shared" si="12"/>
        <v>3.4346633254775209E-3</v>
      </c>
      <c r="M270" s="180">
        <v>2002.329956</v>
      </c>
      <c r="N270" s="67">
        <f t="shared" si="13"/>
        <v>-1.6213587336401391E-2</v>
      </c>
      <c r="P270" s="72"/>
      <c r="Q270" s="71"/>
      <c r="R270" s="53"/>
      <c r="S270" s="71"/>
      <c r="T270" s="53"/>
      <c r="U270" s="13"/>
      <c r="V270" s="72"/>
      <c r="W270" s="71"/>
      <c r="X270" s="53"/>
      <c r="Y270" s="71"/>
      <c r="Z270" s="53"/>
      <c r="AA270" s="13"/>
    </row>
    <row r="271" spans="10:27" x14ac:dyDescent="0.3">
      <c r="J271" s="65">
        <v>41984</v>
      </c>
      <c r="K271" s="180">
        <v>37.849997999999999</v>
      </c>
      <c r="L271" s="66">
        <f t="shared" si="12"/>
        <v>-3.2711550403487104E-2</v>
      </c>
      <c r="M271" s="180">
        <v>2035.329956</v>
      </c>
      <c r="N271" s="67">
        <f t="shared" si="13"/>
        <v>4.5356890106136574E-3</v>
      </c>
      <c r="P271" s="72"/>
      <c r="Q271" s="71"/>
      <c r="R271" s="53"/>
      <c r="S271" s="71"/>
      <c r="T271" s="53"/>
      <c r="U271" s="13"/>
      <c r="V271" s="72"/>
      <c r="W271" s="71"/>
      <c r="X271" s="53"/>
      <c r="Y271" s="71"/>
      <c r="Z271" s="53"/>
      <c r="AA271" s="13"/>
    </row>
    <row r="272" spans="10:27" x14ac:dyDescent="0.3">
      <c r="J272" s="65">
        <v>41983</v>
      </c>
      <c r="K272" s="180">
        <v>39.130001</v>
      </c>
      <c r="L272" s="66">
        <f t="shared" si="12"/>
        <v>-4.3510119775116027E-2</v>
      </c>
      <c r="M272" s="180">
        <v>2026.1400149999999</v>
      </c>
      <c r="N272" s="67">
        <f t="shared" si="13"/>
        <v>-1.6350968476922346E-2</v>
      </c>
      <c r="P272" s="72"/>
      <c r="Q272" s="71"/>
      <c r="R272" s="53"/>
      <c r="S272" s="71"/>
      <c r="T272" s="53"/>
      <c r="U272" s="13"/>
      <c r="V272" s="72"/>
      <c r="W272" s="71"/>
      <c r="X272" s="53"/>
      <c r="Y272" s="71"/>
      <c r="Z272" s="53"/>
      <c r="AA272" s="13"/>
    </row>
    <row r="273" spans="10:27" x14ac:dyDescent="0.3">
      <c r="J273" s="65">
        <v>41982</v>
      </c>
      <c r="K273" s="180">
        <v>40.909999999999997</v>
      </c>
      <c r="L273" s="66">
        <f t="shared" si="12"/>
        <v>7.234594640388213E-2</v>
      </c>
      <c r="M273" s="180">
        <v>2059.820068</v>
      </c>
      <c r="N273" s="67">
        <f t="shared" si="13"/>
        <v>-2.3782391289092772E-4</v>
      </c>
      <c r="P273" s="72"/>
      <c r="Q273" s="71"/>
      <c r="R273" s="53"/>
      <c r="S273" s="71"/>
      <c r="T273" s="53"/>
      <c r="U273" s="13"/>
      <c r="V273" s="72"/>
      <c r="W273" s="71"/>
      <c r="X273" s="53"/>
      <c r="Y273" s="71"/>
      <c r="Z273" s="53"/>
      <c r="AA273" s="13"/>
    </row>
    <row r="274" spans="10:27" x14ac:dyDescent="0.3">
      <c r="J274" s="65">
        <v>41981</v>
      </c>
      <c r="K274" s="180">
        <v>38.150002000000001</v>
      </c>
      <c r="L274" s="66">
        <f t="shared" si="12"/>
        <v>-7.1776061886912962E-2</v>
      </c>
      <c r="M274" s="180">
        <v>2060.3100589999999</v>
      </c>
      <c r="N274" s="67">
        <f t="shared" si="13"/>
        <v>-7.2565649262454068E-3</v>
      </c>
      <c r="P274" s="72"/>
      <c r="Q274" s="71"/>
      <c r="R274" s="53"/>
      <c r="S274" s="71"/>
      <c r="T274" s="53"/>
      <c r="U274" s="13"/>
      <c r="V274" s="72"/>
      <c r="W274" s="71"/>
      <c r="X274" s="53"/>
      <c r="Y274" s="71"/>
      <c r="Z274" s="53"/>
      <c r="AA274" s="13"/>
    </row>
    <row r="275" spans="10:27" x14ac:dyDescent="0.3">
      <c r="J275" s="65">
        <v>41978</v>
      </c>
      <c r="K275" s="180">
        <v>41.099997999999999</v>
      </c>
      <c r="L275" s="66">
        <f t="shared" si="12"/>
        <v>1.2315271542624214E-2</v>
      </c>
      <c r="M275" s="180">
        <v>2075.3701169999999</v>
      </c>
      <c r="N275" s="67">
        <f t="shared" si="13"/>
        <v>1.6652163837825649E-3</v>
      </c>
      <c r="P275" s="72"/>
      <c r="Q275" s="71"/>
      <c r="R275" s="53"/>
      <c r="S275" s="71"/>
      <c r="T275" s="53"/>
      <c r="U275" s="13"/>
      <c r="V275" s="72"/>
      <c r="W275" s="71"/>
      <c r="X275" s="53"/>
      <c r="Y275" s="71"/>
      <c r="Z275" s="53"/>
      <c r="AA275" s="13"/>
    </row>
    <row r="276" spans="10:27" x14ac:dyDescent="0.3">
      <c r="J276" s="65">
        <v>41977</v>
      </c>
      <c r="K276" s="180">
        <v>40.599997999999999</v>
      </c>
      <c r="L276" s="66">
        <f t="shared" si="12"/>
        <v>-5.6252952115295296E-2</v>
      </c>
      <c r="M276" s="180">
        <v>2071.919922</v>
      </c>
      <c r="N276" s="67">
        <f t="shared" si="13"/>
        <v>-1.1618960866265351E-3</v>
      </c>
      <c r="P276" s="72"/>
      <c r="Q276" s="71"/>
      <c r="R276" s="53"/>
      <c r="S276" s="71"/>
      <c r="T276" s="53"/>
      <c r="U276" s="13"/>
      <c r="V276" s="72"/>
      <c r="W276" s="71"/>
      <c r="X276" s="53"/>
      <c r="Y276" s="71"/>
      <c r="Z276" s="53"/>
      <c r="AA276" s="13"/>
    </row>
    <row r="277" spans="10:27" x14ac:dyDescent="0.3">
      <c r="J277" s="65">
        <v>41976</v>
      </c>
      <c r="K277" s="180">
        <v>43.02</v>
      </c>
      <c r="L277" s="66">
        <f t="shared" si="12"/>
        <v>5.5705521472392716E-2</v>
      </c>
      <c r="M277" s="180">
        <v>2074.330078</v>
      </c>
      <c r="N277" s="67">
        <f t="shared" si="13"/>
        <v>3.7647425978213091E-3</v>
      </c>
      <c r="P277" s="72"/>
      <c r="Q277" s="71"/>
      <c r="R277" s="53"/>
      <c r="S277" s="71"/>
      <c r="T277" s="53"/>
      <c r="U277" s="13"/>
      <c r="V277" s="72"/>
      <c r="W277" s="71"/>
      <c r="X277" s="53"/>
      <c r="Y277" s="71"/>
      <c r="Z277" s="53"/>
      <c r="AA277" s="13"/>
    </row>
    <row r="278" spans="10:27" x14ac:dyDescent="0.3">
      <c r="J278" s="65">
        <v>41975</v>
      </c>
      <c r="K278" s="180">
        <v>40.75</v>
      </c>
      <c r="L278" s="66">
        <f t="shared" si="12"/>
        <v>4.3801202771485678E-2</v>
      </c>
      <c r="M278" s="180">
        <v>2066.5500489999999</v>
      </c>
      <c r="N278" s="67">
        <f t="shared" si="13"/>
        <v>6.3844613802609652E-3</v>
      </c>
      <c r="P278" s="72"/>
      <c r="Q278" s="71"/>
      <c r="R278" s="53"/>
      <c r="S278" s="71"/>
      <c r="T278" s="53"/>
      <c r="U278" s="13"/>
      <c r="V278" s="72"/>
      <c r="W278" s="71"/>
      <c r="X278" s="53"/>
      <c r="Y278" s="71"/>
      <c r="Z278" s="53"/>
      <c r="AA278" s="13"/>
    </row>
    <row r="279" spans="10:27" x14ac:dyDescent="0.3">
      <c r="J279" s="65">
        <v>41974</v>
      </c>
      <c r="K279" s="180">
        <v>39.040000999999997</v>
      </c>
      <c r="L279" s="66">
        <f t="shared" si="12"/>
        <v>-5.517906582768644E-2</v>
      </c>
      <c r="M279" s="180">
        <v>2053.4399410000001</v>
      </c>
      <c r="N279" s="67">
        <f t="shared" si="13"/>
        <v>-6.8293629191256405E-3</v>
      </c>
      <c r="P279" s="72"/>
      <c r="Q279" s="71"/>
      <c r="R279" s="53"/>
      <c r="S279" s="71"/>
      <c r="T279" s="53"/>
      <c r="U279" s="13"/>
      <c r="V279" s="72"/>
      <c r="W279" s="71"/>
      <c r="X279" s="53"/>
      <c r="Y279" s="71"/>
      <c r="Z279" s="53"/>
      <c r="AA279" s="13"/>
    </row>
    <row r="280" spans="10:27" x14ac:dyDescent="0.3">
      <c r="J280" s="65">
        <v>41971</v>
      </c>
      <c r="K280" s="180">
        <v>41.32</v>
      </c>
      <c r="L280" s="66">
        <f t="shared" si="12"/>
        <v>-4.2632066728452191E-2</v>
      </c>
      <c r="M280" s="180">
        <v>2067.5600589999999</v>
      </c>
      <c r="N280" s="67">
        <f t="shared" si="13"/>
        <v>-2.5424269243935816E-3</v>
      </c>
      <c r="P280" s="72"/>
      <c r="Q280" s="71"/>
      <c r="R280" s="53"/>
      <c r="S280" s="71"/>
      <c r="T280" s="53"/>
      <c r="U280" s="13"/>
      <c r="V280" s="72"/>
      <c r="W280" s="71"/>
      <c r="X280" s="53"/>
      <c r="Y280" s="71"/>
      <c r="Z280" s="53"/>
      <c r="AA280" s="13"/>
    </row>
    <row r="281" spans="10:27" x14ac:dyDescent="0.3">
      <c r="J281" s="65">
        <v>41969</v>
      </c>
      <c r="K281" s="180">
        <v>43.16</v>
      </c>
      <c r="L281" s="66">
        <f t="shared" si="12"/>
        <v>1.3383423338811767E-2</v>
      </c>
      <c r="M281" s="180">
        <v>2072.830078</v>
      </c>
      <c r="N281" s="67">
        <f t="shared" si="13"/>
        <v>2.8059819734723092E-3</v>
      </c>
      <c r="P281" s="72"/>
      <c r="Q281" s="71"/>
      <c r="R281" s="53"/>
      <c r="S281" s="71"/>
      <c r="T281" s="53"/>
      <c r="U281" s="13"/>
      <c r="V281" s="72"/>
      <c r="W281" s="71"/>
      <c r="X281" s="53"/>
      <c r="Y281" s="71"/>
      <c r="Z281" s="53"/>
      <c r="AA281" s="13"/>
    </row>
    <row r="282" spans="10:27" x14ac:dyDescent="0.3">
      <c r="J282" s="65">
        <v>41968</v>
      </c>
      <c r="K282" s="180">
        <v>42.59</v>
      </c>
      <c r="L282" s="66">
        <f t="shared" si="12"/>
        <v>-9.4022509849925953E-2</v>
      </c>
      <c r="M282" s="180">
        <v>2067.030029</v>
      </c>
      <c r="N282" s="67">
        <f t="shared" si="13"/>
        <v>-1.1500297675195747E-3</v>
      </c>
      <c r="P282" s="72"/>
      <c r="Q282" s="71"/>
      <c r="R282" s="53"/>
      <c r="S282" s="71"/>
      <c r="T282" s="53"/>
      <c r="U282" s="13"/>
      <c r="V282" s="72"/>
      <c r="W282" s="71"/>
      <c r="X282" s="53"/>
      <c r="Y282" s="71"/>
      <c r="Z282" s="53"/>
      <c r="AA282" s="13"/>
    </row>
    <row r="283" spans="10:27" x14ac:dyDescent="0.3">
      <c r="J283" s="65">
        <v>41967</v>
      </c>
      <c r="K283" s="180">
        <v>47.009998000000003</v>
      </c>
      <c r="L283" s="66">
        <f t="shared" si="12"/>
        <v>9.8107846341792967E-2</v>
      </c>
      <c r="M283" s="180">
        <v>2069.4099120000001</v>
      </c>
      <c r="N283" s="67">
        <f t="shared" si="13"/>
        <v>2.8640232614490315E-3</v>
      </c>
      <c r="P283" s="72"/>
      <c r="Q283" s="71"/>
      <c r="R283" s="53"/>
      <c r="S283" s="71"/>
      <c r="T283" s="53"/>
      <c r="U283" s="13"/>
      <c r="V283" s="72"/>
      <c r="W283" s="71"/>
      <c r="X283" s="53"/>
      <c r="Y283" s="71"/>
      <c r="Z283" s="53"/>
      <c r="AA283" s="13"/>
    </row>
    <row r="284" spans="10:27" x14ac:dyDescent="0.3">
      <c r="J284" s="65">
        <v>41964</v>
      </c>
      <c r="K284" s="180">
        <v>42.810001</v>
      </c>
      <c r="L284" s="66">
        <f t="shared" si="12"/>
        <v>3.9869137895616894E-3</v>
      </c>
      <c r="M284" s="180">
        <v>2063.5</v>
      </c>
      <c r="N284" s="67">
        <f t="shared" si="13"/>
        <v>5.2368773596395083E-3</v>
      </c>
      <c r="P284" s="72"/>
      <c r="Q284" s="71"/>
      <c r="R284" s="53"/>
      <c r="S284" s="71"/>
      <c r="T284" s="53"/>
      <c r="U284" s="13"/>
      <c r="V284" s="72"/>
      <c r="W284" s="71"/>
      <c r="X284" s="53"/>
      <c r="Y284" s="71"/>
      <c r="Z284" s="53"/>
      <c r="AA284" s="13"/>
    </row>
    <row r="285" spans="10:27" x14ac:dyDescent="0.3">
      <c r="J285" s="65">
        <v>41963</v>
      </c>
      <c r="K285" s="180">
        <v>42.639999000000003</v>
      </c>
      <c r="L285" s="66">
        <f t="shared" si="12"/>
        <v>5.4232256543269635E-3</v>
      </c>
      <c r="M285" s="180">
        <v>2052.75</v>
      </c>
      <c r="N285" s="67">
        <f t="shared" si="13"/>
        <v>1.9670960682991326E-3</v>
      </c>
      <c r="P285" s="72"/>
      <c r="Q285" s="71"/>
      <c r="R285" s="53"/>
      <c r="S285" s="71"/>
      <c r="T285" s="53"/>
      <c r="U285" s="13"/>
      <c r="V285" s="72"/>
      <c r="W285" s="71"/>
      <c r="X285" s="53"/>
      <c r="Y285" s="71"/>
      <c r="Z285" s="53"/>
      <c r="AA285" s="13"/>
    </row>
    <row r="286" spans="10:27" x14ac:dyDescent="0.3">
      <c r="J286" s="65">
        <v>41962</v>
      </c>
      <c r="K286" s="180">
        <v>42.41</v>
      </c>
      <c r="L286" s="66">
        <f t="shared" si="12"/>
        <v>-6.0932273772312589E-3</v>
      </c>
      <c r="M286" s="180">
        <v>2048.719971</v>
      </c>
      <c r="N286" s="67">
        <f t="shared" si="13"/>
        <v>-1.501158946507052E-3</v>
      </c>
      <c r="P286" s="72"/>
      <c r="Q286" s="71"/>
      <c r="R286" s="53"/>
      <c r="S286" s="71"/>
      <c r="T286" s="53"/>
      <c r="U286" s="13"/>
      <c r="V286" s="72"/>
      <c r="W286" s="71"/>
      <c r="X286" s="53"/>
      <c r="Y286" s="71"/>
      <c r="Z286" s="53"/>
      <c r="AA286" s="13"/>
    </row>
    <row r="287" spans="10:27" x14ac:dyDescent="0.3">
      <c r="J287" s="65">
        <v>41961</v>
      </c>
      <c r="K287" s="180">
        <v>42.669998</v>
      </c>
      <c r="L287" s="66">
        <f t="shared" si="12"/>
        <v>-1.7951737216300653E-2</v>
      </c>
      <c r="M287" s="180">
        <v>2051.8000489999999</v>
      </c>
      <c r="N287" s="67">
        <f t="shared" si="13"/>
        <v>5.1339835387077884E-3</v>
      </c>
      <c r="P287" s="72"/>
      <c r="Q287" s="71"/>
      <c r="R287" s="53"/>
      <c r="S287" s="71"/>
      <c r="T287" s="53"/>
      <c r="U287" s="13"/>
      <c r="V287" s="72"/>
      <c r="W287" s="71"/>
      <c r="X287" s="53"/>
      <c r="Y287" s="71"/>
      <c r="Z287" s="53"/>
      <c r="AA287" s="13"/>
    </row>
    <row r="288" spans="10:27" x14ac:dyDescent="0.3">
      <c r="J288" s="65">
        <v>41960</v>
      </c>
      <c r="K288" s="180">
        <v>43.450001</v>
      </c>
      <c r="L288" s="66">
        <f t="shared" si="12"/>
        <v>-2.0734686065690459E-2</v>
      </c>
      <c r="M288" s="180">
        <v>2041.3199460000001</v>
      </c>
      <c r="N288" s="67">
        <f t="shared" si="13"/>
        <v>7.353590217320093E-4</v>
      </c>
      <c r="P288" s="72"/>
      <c r="Q288" s="71"/>
      <c r="R288" s="53"/>
      <c r="S288" s="71"/>
      <c r="T288" s="53"/>
      <c r="U288" s="13"/>
      <c r="V288" s="72"/>
      <c r="W288" s="71"/>
      <c r="X288" s="53"/>
      <c r="Y288" s="71"/>
      <c r="Z288" s="53"/>
      <c r="AA288" s="13"/>
    </row>
    <row r="289" spans="10:27" x14ac:dyDescent="0.3">
      <c r="J289" s="65">
        <v>41957</v>
      </c>
      <c r="K289" s="180">
        <v>44.369999</v>
      </c>
      <c r="L289" s="66">
        <f t="shared" si="12"/>
        <v>3.378380865721383E-2</v>
      </c>
      <c r="M289" s="180">
        <v>2039.8199460000001</v>
      </c>
      <c r="N289" s="67">
        <f t="shared" si="13"/>
        <v>2.4027009388961985E-4</v>
      </c>
      <c r="P289" s="72"/>
      <c r="Q289" s="71"/>
      <c r="R289" s="53"/>
      <c r="S289" s="71"/>
      <c r="T289" s="53"/>
      <c r="U289" s="13"/>
      <c r="V289" s="72"/>
      <c r="W289" s="71"/>
      <c r="X289" s="53"/>
      <c r="Y289" s="71"/>
      <c r="Z289" s="53"/>
      <c r="AA289" s="13"/>
    </row>
    <row r="290" spans="10:27" x14ac:dyDescent="0.3">
      <c r="J290" s="65">
        <v>41956</v>
      </c>
      <c r="K290" s="180">
        <v>42.919998</v>
      </c>
      <c r="L290" s="66">
        <f t="shared" si="12"/>
        <v>0.27359040731185735</v>
      </c>
      <c r="M290" s="180">
        <v>2039.329956</v>
      </c>
      <c r="N290" s="67">
        <f t="shared" si="13"/>
        <v>5.2984471973508568E-4</v>
      </c>
      <c r="P290" s="72"/>
      <c r="Q290" s="71"/>
      <c r="R290" s="53"/>
      <c r="S290" s="71"/>
      <c r="T290" s="53"/>
      <c r="U290" s="13"/>
      <c r="V290" s="72"/>
      <c r="W290" s="71"/>
      <c r="X290" s="53"/>
      <c r="Y290" s="71"/>
      <c r="Z290" s="53"/>
      <c r="AA290" s="13"/>
    </row>
    <row r="291" spans="10:27" x14ac:dyDescent="0.3">
      <c r="J291" s="65">
        <v>41955</v>
      </c>
      <c r="K291" s="180">
        <v>33.700001</v>
      </c>
      <c r="L291" s="66">
        <f t="shared" si="12"/>
        <v>-5.6063147124909259E-3</v>
      </c>
      <c r="M291" s="180">
        <v>2038.25</v>
      </c>
      <c r="N291" s="67">
        <f t="shared" si="13"/>
        <v>-7.0111682329562428E-4</v>
      </c>
      <c r="P291" s="72"/>
      <c r="Q291" s="71"/>
      <c r="R291" s="53"/>
      <c r="S291" s="71"/>
      <c r="T291" s="53"/>
      <c r="U291" s="13"/>
      <c r="V291" s="72"/>
      <c r="W291" s="71"/>
      <c r="X291" s="53"/>
      <c r="Y291" s="71"/>
      <c r="Z291" s="53"/>
      <c r="AA291" s="13"/>
    </row>
    <row r="292" spans="10:27" x14ac:dyDescent="0.3">
      <c r="J292" s="65">
        <v>41954</v>
      </c>
      <c r="K292" s="180">
        <v>33.889999000000003</v>
      </c>
      <c r="L292" s="66">
        <f t="shared" si="12"/>
        <v>-2.8383084048650024E-2</v>
      </c>
      <c r="M292" s="180">
        <v>2039.6800539999999</v>
      </c>
      <c r="N292" s="67">
        <f t="shared" si="13"/>
        <v>6.9669423578592495E-4</v>
      </c>
      <c r="P292" s="72"/>
      <c r="Q292" s="71"/>
      <c r="R292" s="53"/>
      <c r="S292" s="71"/>
      <c r="T292" s="53"/>
      <c r="U292" s="13"/>
      <c r="V292" s="72"/>
      <c r="W292" s="71"/>
      <c r="X292" s="53"/>
      <c r="Y292" s="71"/>
      <c r="Z292" s="53"/>
      <c r="AA292" s="13"/>
    </row>
    <row r="293" spans="10:27" x14ac:dyDescent="0.3">
      <c r="J293" s="65">
        <v>41953</v>
      </c>
      <c r="K293" s="180">
        <v>34.880001</v>
      </c>
      <c r="L293" s="66">
        <f t="shared" si="12"/>
        <v>6.6340631804971822E-2</v>
      </c>
      <c r="M293" s="180">
        <v>2038.26001</v>
      </c>
      <c r="N293" s="67">
        <f t="shared" si="13"/>
        <v>3.1201847822315215E-3</v>
      </c>
      <c r="P293" s="72"/>
      <c r="Q293" s="71"/>
      <c r="R293" s="53"/>
      <c r="S293" s="71"/>
      <c r="T293" s="53"/>
      <c r="U293" s="13"/>
      <c r="V293" s="72"/>
      <c r="W293" s="71"/>
      <c r="X293" s="53"/>
      <c r="Y293" s="71"/>
      <c r="Z293" s="53"/>
      <c r="AA293" s="13"/>
    </row>
    <row r="294" spans="10:27" x14ac:dyDescent="0.3">
      <c r="J294" s="65">
        <v>41950</v>
      </c>
      <c r="K294" s="180">
        <v>32.709999000000003</v>
      </c>
      <c r="L294" s="66">
        <f t="shared" si="12"/>
        <v>-9.6881625700319645E-3</v>
      </c>
      <c r="M294" s="180">
        <v>2031.920044</v>
      </c>
      <c r="N294" s="67">
        <f t="shared" si="13"/>
        <v>3.4958621394823915E-4</v>
      </c>
      <c r="P294" s="72"/>
      <c r="Q294" s="71"/>
      <c r="R294" s="53"/>
      <c r="S294" s="71"/>
      <c r="T294" s="53"/>
      <c r="U294" s="13"/>
      <c r="V294" s="72"/>
      <c r="W294" s="71"/>
      <c r="X294" s="53"/>
      <c r="Y294" s="71"/>
      <c r="Z294" s="53"/>
      <c r="AA294" s="13"/>
    </row>
    <row r="295" spans="10:27" x14ac:dyDescent="0.3">
      <c r="J295" s="65">
        <v>41949</v>
      </c>
      <c r="K295" s="180">
        <v>33.029998999999997</v>
      </c>
      <c r="L295" s="66">
        <f t="shared" si="12"/>
        <v>-2.2781065762753516E-2</v>
      </c>
      <c r="M295" s="180">
        <v>2031.209961</v>
      </c>
      <c r="N295" s="67">
        <f t="shared" si="13"/>
        <v>3.775513179122867E-3</v>
      </c>
      <c r="P295" s="72"/>
      <c r="Q295" s="71"/>
      <c r="R295" s="53"/>
      <c r="S295" s="71"/>
      <c r="T295" s="53"/>
      <c r="U295" s="13"/>
      <c r="V295" s="72"/>
      <c r="W295" s="71"/>
      <c r="X295" s="53"/>
      <c r="Y295" s="71"/>
      <c r="Z295" s="53"/>
      <c r="AA295" s="13"/>
    </row>
    <row r="296" spans="10:27" x14ac:dyDescent="0.3">
      <c r="J296" s="65">
        <v>41948</v>
      </c>
      <c r="K296" s="180">
        <v>33.799999</v>
      </c>
      <c r="L296" s="66">
        <f t="shared" si="12"/>
        <v>-7.4733098131209832E-2</v>
      </c>
      <c r="M296" s="180">
        <v>2023.5699460000001</v>
      </c>
      <c r="N296" s="67">
        <f t="shared" si="13"/>
        <v>5.7004970611858417E-3</v>
      </c>
      <c r="P296" s="72"/>
      <c r="Q296" s="71"/>
      <c r="R296" s="53"/>
      <c r="S296" s="71"/>
      <c r="T296" s="53"/>
      <c r="U296" s="13"/>
      <c r="V296" s="72"/>
      <c r="W296" s="71"/>
      <c r="X296" s="53"/>
      <c r="Y296" s="71"/>
      <c r="Z296" s="53"/>
      <c r="AA296" s="13"/>
    </row>
    <row r="297" spans="10:27" x14ac:dyDescent="0.3">
      <c r="J297" s="65">
        <v>41947</v>
      </c>
      <c r="K297" s="180">
        <v>36.529998999999997</v>
      </c>
      <c r="L297" s="66">
        <f t="shared" si="12"/>
        <v>-1.3669490778049655E-3</v>
      </c>
      <c r="M297" s="180">
        <v>2012.099976</v>
      </c>
      <c r="N297" s="67">
        <f t="shared" si="13"/>
        <v>-2.8298416763913757E-3</v>
      </c>
      <c r="P297" s="72"/>
      <c r="Q297" s="71"/>
      <c r="R297" s="53"/>
      <c r="S297" s="71"/>
      <c r="T297" s="53"/>
      <c r="U297" s="13"/>
      <c r="V297" s="72"/>
      <c r="W297" s="71"/>
      <c r="X297" s="53"/>
      <c r="Y297" s="71"/>
      <c r="Z297" s="53"/>
      <c r="AA297" s="13"/>
    </row>
    <row r="298" spans="10:27" x14ac:dyDescent="0.3">
      <c r="J298" s="65">
        <v>41946</v>
      </c>
      <c r="K298" s="180">
        <v>36.580002</v>
      </c>
      <c r="L298" s="66">
        <f t="shared" si="12"/>
        <v>3.6848158640820937E-2</v>
      </c>
      <c r="M298" s="180">
        <v>2017.8100589999999</v>
      </c>
      <c r="N298" s="67">
        <f t="shared" si="13"/>
        <v>-1.1892172848684109E-4</v>
      </c>
      <c r="P298" s="72"/>
      <c r="Q298" s="71"/>
      <c r="R298" s="53"/>
      <c r="S298" s="71"/>
      <c r="T298" s="53"/>
      <c r="U298" s="13"/>
      <c r="V298" s="72"/>
      <c r="W298" s="71"/>
      <c r="X298" s="53"/>
      <c r="Y298" s="71"/>
      <c r="Z298" s="53"/>
      <c r="AA298" s="13"/>
    </row>
    <row r="299" spans="10:27" x14ac:dyDescent="0.3">
      <c r="J299" s="65">
        <v>41943</v>
      </c>
      <c r="K299" s="180">
        <v>35.279998999999997</v>
      </c>
      <c r="L299" s="66">
        <f t="shared" si="12"/>
        <v>1.6421780939837916E-2</v>
      </c>
      <c r="M299" s="180">
        <v>2018.0500489999999</v>
      </c>
      <c r="N299" s="67">
        <f t="shared" si="13"/>
        <v>1.1731393837739183E-2</v>
      </c>
      <c r="P299" s="72"/>
      <c r="Q299" s="71"/>
      <c r="R299" s="53"/>
      <c r="S299" s="71"/>
      <c r="T299" s="53"/>
      <c r="U299" s="13"/>
      <c r="V299" s="72"/>
      <c r="W299" s="71"/>
      <c r="X299" s="53"/>
      <c r="Y299" s="71"/>
      <c r="Z299" s="53"/>
      <c r="AA299" s="13"/>
    </row>
    <row r="300" spans="10:27" x14ac:dyDescent="0.3">
      <c r="J300" s="65">
        <v>41942</v>
      </c>
      <c r="K300" s="180">
        <v>34.709999000000003</v>
      </c>
      <c r="L300" s="66">
        <f t="shared" si="12"/>
        <v>-5.729046118590468E-3</v>
      </c>
      <c r="M300" s="180">
        <v>1994.650024</v>
      </c>
      <c r="N300" s="67">
        <f t="shared" si="13"/>
        <v>6.2301239442687853E-3</v>
      </c>
      <c r="P300" s="72"/>
      <c r="Q300" s="71"/>
      <c r="R300" s="53"/>
      <c r="S300" s="71"/>
      <c r="T300" s="53"/>
      <c r="U300" s="13"/>
      <c r="V300" s="72"/>
      <c r="W300" s="71"/>
      <c r="X300" s="53"/>
      <c r="Y300" s="71"/>
      <c r="Z300" s="53"/>
      <c r="AA300" s="13"/>
    </row>
    <row r="301" spans="10:27" x14ac:dyDescent="0.3">
      <c r="J301" s="65">
        <v>41941</v>
      </c>
      <c r="K301" s="180">
        <v>34.909999999999997</v>
      </c>
      <c r="L301" s="66">
        <f t="shared" si="12"/>
        <v>8.0136138613861277E-2</v>
      </c>
      <c r="M301" s="180">
        <v>1982.3000489999999</v>
      </c>
      <c r="N301" s="67">
        <f t="shared" si="13"/>
        <v>-1.3853554984094006E-3</v>
      </c>
      <c r="P301" s="72"/>
      <c r="Q301" s="71"/>
      <c r="R301" s="53"/>
      <c r="S301" s="71"/>
      <c r="T301" s="53"/>
      <c r="U301" s="13"/>
      <c r="V301" s="72"/>
      <c r="W301" s="71"/>
      <c r="X301" s="53"/>
      <c r="Y301" s="71"/>
      <c r="Z301" s="53"/>
      <c r="AA301" s="13"/>
    </row>
    <row r="302" spans="10:27" x14ac:dyDescent="0.3">
      <c r="J302" s="65">
        <v>41940</v>
      </c>
      <c r="K302" s="180">
        <v>32.32</v>
      </c>
      <c r="L302" s="66">
        <f t="shared" si="12"/>
        <v>-7.8677361534928075E-2</v>
      </c>
      <c r="M302" s="180">
        <v>1985.0500489999999</v>
      </c>
      <c r="N302" s="67">
        <f t="shared" si="13"/>
        <v>1.1939073087332778E-2</v>
      </c>
      <c r="P302" s="72"/>
      <c r="Q302" s="71"/>
      <c r="R302" s="53"/>
      <c r="S302" s="71"/>
      <c r="T302" s="53"/>
      <c r="U302" s="13"/>
      <c r="V302" s="72"/>
      <c r="W302" s="71"/>
      <c r="X302" s="53"/>
      <c r="Y302" s="71"/>
      <c r="Z302" s="53"/>
      <c r="AA302" s="13"/>
    </row>
    <row r="303" spans="10:27" x14ac:dyDescent="0.3">
      <c r="J303" s="65">
        <v>41939</v>
      </c>
      <c r="K303" s="180">
        <v>35.080002</v>
      </c>
      <c r="L303" s="66">
        <f t="shared" si="12"/>
        <v>0.16005297619047626</v>
      </c>
      <c r="M303" s="180">
        <v>1961.630005</v>
      </c>
      <c r="N303" s="67">
        <f t="shared" si="13"/>
        <v>-1.5015683077650496E-3</v>
      </c>
      <c r="P303" s="72"/>
      <c r="Q303" s="71"/>
      <c r="R303" s="53"/>
      <c r="S303" s="71"/>
      <c r="T303" s="53"/>
      <c r="U303" s="13"/>
      <c r="V303" s="72"/>
      <c r="W303" s="71"/>
      <c r="X303" s="53"/>
      <c r="Y303" s="71"/>
      <c r="Z303" s="53"/>
      <c r="AA303" s="13"/>
    </row>
    <row r="304" spans="10:27" x14ac:dyDescent="0.3">
      <c r="J304" s="65">
        <v>41936</v>
      </c>
      <c r="K304" s="180">
        <v>30.24</v>
      </c>
      <c r="L304" s="66">
        <f t="shared" si="12"/>
        <v>3.526193205278777E-2</v>
      </c>
      <c r="M304" s="180">
        <v>1964.579956</v>
      </c>
      <c r="N304" s="67">
        <f t="shared" si="13"/>
        <v>7.0534495139921872E-3</v>
      </c>
      <c r="P304" s="72"/>
      <c r="Q304" s="71"/>
      <c r="R304" s="53"/>
      <c r="S304" s="71"/>
      <c r="T304" s="53"/>
      <c r="U304" s="13"/>
      <c r="V304" s="72"/>
      <c r="W304" s="71"/>
      <c r="X304" s="53"/>
      <c r="Y304" s="71"/>
      <c r="Z304" s="53"/>
      <c r="AA304" s="13"/>
    </row>
    <row r="305" spans="10:27" x14ac:dyDescent="0.3">
      <c r="J305" s="65">
        <v>41935</v>
      </c>
      <c r="K305" s="180">
        <v>29.209999</v>
      </c>
      <c r="L305" s="66">
        <f t="shared" si="12"/>
        <v>2.1328636363636307E-2</v>
      </c>
      <c r="M305" s="180">
        <v>1950.8199460000001</v>
      </c>
      <c r="N305" s="67">
        <f t="shared" si="13"/>
        <v>1.2303377173358386E-2</v>
      </c>
      <c r="P305" s="72"/>
      <c r="Q305" s="71"/>
      <c r="R305" s="53"/>
      <c r="S305" s="71"/>
      <c r="T305" s="53"/>
      <c r="U305" s="13"/>
      <c r="V305" s="72"/>
      <c r="W305" s="71"/>
      <c r="X305" s="53"/>
      <c r="Y305" s="71"/>
      <c r="Z305" s="53"/>
      <c r="AA305" s="13"/>
    </row>
    <row r="306" spans="10:27" x14ac:dyDescent="0.3">
      <c r="J306" s="65">
        <v>41934</v>
      </c>
      <c r="K306" s="180">
        <v>28.6</v>
      </c>
      <c r="L306" s="66">
        <f t="shared" si="12"/>
        <v>-2.9850746268656681E-2</v>
      </c>
      <c r="M306" s="180">
        <v>1927.1099850000001</v>
      </c>
      <c r="N306" s="67">
        <f t="shared" si="13"/>
        <v>-7.2993302297037956E-3</v>
      </c>
      <c r="P306" s="72"/>
      <c r="Q306" s="71"/>
      <c r="R306" s="53"/>
      <c r="S306" s="71"/>
      <c r="T306" s="53"/>
      <c r="U306" s="13"/>
      <c r="V306" s="72"/>
      <c r="W306" s="71"/>
      <c r="X306" s="53"/>
      <c r="Y306" s="71"/>
      <c r="Z306" s="53"/>
      <c r="AA306" s="13"/>
    </row>
    <row r="307" spans="10:27" x14ac:dyDescent="0.3">
      <c r="J307" s="65">
        <v>41933</v>
      </c>
      <c r="K307" s="180">
        <v>29.48</v>
      </c>
      <c r="L307" s="66">
        <f t="shared" si="12"/>
        <v>-1.3386847837578611E-2</v>
      </c>
      <c r="M307" s="180">
        <v>1941.280029</v>
      </c>
      <c r="N307" s="67">
        <f t="shared" si="13"/>
        <v>1.9574486900938114E-2</v>
      </c>
      <c r="P307" s="72"/>
      <c r="Q307" s="71"/>
      <c r="R307" s="53"/>
      <c r="S307" s="71"/>
      <c r="T307" s="53"/>
      <c r="U307" s="13"/>
      <c r="V307" s="72"/>
      <c r="W307" s="71"/>
      <c r="X307" s="53"/>
      <c r="Y307" s="71"/>
      <c r="Z307" s="53"/>
      <c r="AA307" s="13"/>
    </row>
    <row r="308" spans="10:27" x14ac:dyDescent="0.3">
      <c r="J308" s="65">
        <v>41932</v>
      </c>
      <c r="K308" s="180">
        <v>29.879999000000002</v>
      </c>
      <c r="L308" s="66">
        <f t="shared" si="12"/>
        <v>-1.3535885984288962E-2</v>
      </c>
      <c r="M308" s="180">
        <v>1904.01001</v>
      </c>
      <c r="N308" s="67">
        <f t="shared" si="13"/>
        <v>9.1426572052478467E-3</v>
      </c>
      <c r="P308" s="72"/>
      <c r="Q308" s="71"/>
      <c r="R308" s="53"/>
      <c r="S308" s="71"/>
      <c r="T308" s="53"/>
      <c r="U308" s="13"/>
      <c r="V308" s="72"/>
      <c r="W308" s="71"/>
      <c r="X308" s="53"/>
      <c r="Y308" s="71"/>
      <c r="Z308" s="53"/>
      <c r="AA308" s="13"/>
    </row>
    <row r="309" spans="10:27" x14ac:dyDescent="0.3">
      <c r="J309" s="65">
        <v>41929</v>
      </c>
      <c r="K309" s="180">
        <v>30.290001</v>
      </c>
      <c r="L309" s="66">
        <f t="shared" si="12"/>
        <v>2.8522919235214963E-2</v>
      </c>
      <c r="M309" s="180">
        <v>1886.76001</v>
      </c>
      <c r="N309" s="67">
        <f t="shared" si="13"/>
        <v>1.2884107384289403E-2</v>
      </c>
      <c r="P309" s="72"/>
      <c r="Q309" s="71"/>
      <c r="R309" s="53"/>
      <c r="S309" s="71"/>
      <c r="T309" s="53"/>
      <c r="U309" s="13"/>
      <c r="V309" s="72"/>
      <c r="W309" s="71"/>
      <c r="X309" s="53"/>
      <c r="Y309" s="71"/>
      <c r="Z309" s="53"/>
      <c r="AA309" s="13"/>
    </row>
    <row r="310" spans="10:27" x14ac:dyDescent="0.3">
      <c r="J310" s="65">
        <v>41928</v>
      </c>
      <c r="K310" s="180">
        <v>29.450001</v>
      </c>
      <c r="L310" s="66">
        <f t="shared" si="12"/>
        <v>2.3991689847009692E-2</v>
      </c>
      <c r="M310" s="180">
        <v>1862.76001</v>
      </c>
      <c r="N310" s="67">
        <f t="shared" si="13"/>
        <v>1.4497796039157843E-4</v>
      </c>
      <c r="P310" s="72"/>
      <c r="Q310" s="71"/>
      <c r="R310" s="53"/>
      <c r="S310" s="71"/>
      <c r="T310" s="53"/>
      <c r="U310" s="13"/>
      <c r="V310" s="72"/>
      <c r="W310" s="71"/>
      <c r="X310" s="53"/>
      <c r="Y310" s="71"/>
      <c r="Z310" s="53"/>
      <c r="AA310" s="13"/>
    </row>
    <row r="311" spans="10:27" x14ac:dyDescent="0.3">
      <c r="J311" s="65">
        <v>41927</v>
      </c>
      <c r="K311" s="180">
        <v>28.76</v>
      </c>
      <c r="L311" s="66">
        <f t="shared" si="12"/>
        <v>-2.8378378378378373E-2</v>
      </c>
      <c r="M311" s="180">
        <v>1862.48999</v>
      </c>
      <c r="N311" s="67">
        <f t="shared" si="13"/>
        <v>-8.1003149581485075E-3</v>
      </c>
      <c r="P311" s="72"/>
      <c r="Q311" s="71"/>
      <c r="R311" s="53"/>
      <c r="S311" s="71"/>
      <c r="T311" s="53"/>
      <c r="U311" s="13"/>
      <c r="V311" s="72"/>
      <c r="W311" s="71"/>
      <c r="X311" s="53"/>
      <c r="Y311" s="71"/>
      <c r="Z311" s="53"/>
      <c r="AA311" s="13"/>
    </row>
    <row r="312" spans="10:27" x14ac:dyDescent="0.3">
      <c r="J312" s="65">
        <v>41926</v>
      </c>
      <c r="K312" s="180">
        <v>29.6</v>
      </c>
      <c r="L312" s="66">
        <f t="shared" si="12"/>
        <v>-5.2799999999999951E-2</v>
      </c>
      <c r="M312" s="180">
        <v>1877.6999510000001</v>
      </c>
      <c r="N312" s="67">
        <f t="shared" si="13"/>
        <v>1.57886481100775E-3</v>
      </c>
      <c r="P312" s="72"/>
      <c r="Q312" s="71"/>
      <c r="R312" s="53"/>
      <c r="S312" s="71"/>
      <c r="T312" s="53"/>
      <c r="U312" s="13"/>
      <c r="V312" s="72"/>
      <c r="W312" s="71"/>
      <c r="X312" s="53"/>
      <c r="Y312" s="71"/>
      <c r="Z312" s="53"/>
      <c r="AA312" s="13"/>
    </row>
    <row r="313" spans="10:27" x14ac:dyDescent="0.3">
      <c r="J313" s="65">
        <v>41925</v>
      </c>
      <c r="K313" s="180">
        <v>31.25</v>
      </c>
      <c r="L313" s="66">
        <f t="shared" si="12"/>
        <v>4.7252010723860594E-2</v>
      </c>
      <c r="M313" s="180">
        <v>1874.73999</v>
      </c>
      <c r="N313" s="67">
        <f t="shared" si="13"/>
        <v>-1.6467929741235017E-2</v>
      </c>
      <c r="P313" s="72"/>
      <c r="Q313" s="71"/>
      <c r="R313" s="53"/>
      <c r="S313" s="71"/>
      <c r="T313" s="53"/>
      <c r="U313" s="13"/>
      <c r="V313" s="72"/>
      <c r="W313" s="71"/>
      <c r="X313" s="53"/>
      <c r="Y313" s="71"/>
      <c r="Z313" s="53"/>
      <c r="AA313" s="13"/>
    </row>
    <row r="314" spans="10:27" x14ac:dyDescent="0.3">
      <c r="J314" s="65">
        <v>41922</v>
      </c>
      <c r="K314" s="180">
        <v>29.84</v>
      </c>
      <c r="L314" s="66">
        <f t="shared" si="12"/>
        <v>5.8155990845532225E-2</v>
      </c>
      <c r="M314" s="180">
        <v>1906.130005</v>
      </c>
      <c r="N314" s="67">
        <f t="shared" si="13"/>
        <v>-1.1451012310168249E-2</v>
      </c>
      <c r="P314" s="72"/>
      <c r="Q314" s="71"/>
      <c r="R314" s="53"/>
      <c r="S314" s="71"/>
      <c r="T314" s="53"/>
      <c r="U314" s="13"/>
      <c r="V314" s="72"/>
      <c r="W314" s="71"/>
      <c r="X314" s="53"/>
      <c r="Y314" s="71"/>
      <c r="Z314" s="53"/>
      <c r="AA314" s="13"/>
    </row>
    <row r="315" spans="10:27" x14ac:dyDescent="0.3">
      <c r="J315" s="65">
        <v>41921</v>
      </c>
      <c r="K315" s="180">
        <v>28.200001</v>
      </c>
      <c r="L315" s="66">
        <f t="shared" si="12"/>
        <v>-4.0163309740071845E-2</v>
      </c>
      <c r="M315" s="180">
        <v>1928.209961</v>
      </c>
      <c r="N315" s="67">
        <f t="shared" si="13"/>
        <v>-2.0661415157819229E-2</v>
      </c>
      <c r="P315" s="72"/>
      <c r="Q315" s="71"/>
      <c r="R315" s="53"/>
      <c r="S315" s="71"/>
      <c r="T315" s="53"/>
      <c r="U315" s="13"/>
      <c r="V315" s="72"/>
      <c r="W315" s="71"/>
      <c r="X315" s="53"/>
      <c r="Y315" s="71"/>
      <c r="Z315" s="53"/>
      <c r="AA315" s="13"/>
    </row>
    <row r="316" spans="10:27" x14ac:dyDescent="0.3">
      <c r="J316" s="65">
        <v>41920</v>
      </c>
      <c r="K316" s="180">
        <v>29.379999000000002</v>
      </c>
      <c r="L316" s="66">
        <f t="shared" si="12"/>
        <v>1.0221124361158469E-3</v>
      </c>
      <c r="M316" s="180">
        <v>1968.8900149999999</v>
      </c>
      <c r="N316" s="67">
        <f t="shared" si="13"/>
        <v>1.7461650260492782E-2</v>
      </c>
      <c r="P316" s="72"/>
      <c r="Q316" s="71"/>
      <c r="R316" s="53"/>
      <c r="S316" s="71"/>
      <c r="T316" s="53"/>
      <c r="U316" s="13"/>
      <c r="V316" s="72"/>
      <c r="W316" s="71"/>
      <c r="X316" s="53"/>
      <c r="Y316" s="71"/>
      <c r="Z316" s="53"/>
      <c r="AA316" s="13"/>
    </row>
    <row r="317" spans="10:27" x14ac:dyDescent="0.3">
      <c r="J317" s="65">
        <v>41919</v>
      </c>
      <c r="K317" s="180">
        <v>29.35</v>
      </c>
      <c r="L317" s="66">
        <f t="shared" si="12"/>
        <v>-1.905080213903744E-2</v>
      </c>
      <c r="M317" s="180">
        <v>1935.099976</v>
      </c>
      <c r="N317" s="67">
        <f t="shared" si="13"/>
        <v>-1.5126052674955948E-2</v>
      </c>
      <c r="P317" s="72"/>
      <c r="Q317" s="71"/>
      <c r="R317" s="53"/>
      <c r="S317" s="71"/>
      <c r="T317" s="53"/>
      <c r="U317" s="13"/>
      <c r="V317" s="72"/>
      <c r="W317" s="71"/>
      <c r="X317" s="53"/>
      <c r="Y317" s="71"/>
      <c r="Z317" s="53"/>
      <c r="AA317" s="13"/>
    </row>
    <row r="318" spans="10:27" x14ac:dyDescent="0.3">
      <c r="J318" s="65">
        <v>41918</v>
      </c>
      <c r="K318" s="180">
        <v>29.92</v>
      </c>
      <c r="L318" s="66">
        <f t="shared" si="12"/>
        <v>-1.5141508069174057E-2</v>
      </c>
      <c r="M318" s="180">
        <v>1964.8199460000001</v>
      </c>
      <c r="N318" s="67">
        <f t="shared" si="13"/>
        <v>-1.5651597959429454E-3</v>
      </c>
      <c r="P318" s="72"/>
      <c r="Q318" s="71"/>
      <c r="R318" s="53"/>
      <c r="S318" s="71"/>
      <c r="T318" s="53"/>
      <c r="U318" s="13"/>
      <c r="V318" s="72"/>
      <c r="W318" s="71"/>
      <c r="X318" s="53"/>
      <c r="Y318" s="71"/>
      <c r="Z318" s="53"/>
      <c r="AA318" s="13"/>
    </row>
    <row r="319" spans="10:27" x14ac:dyDescent="0.3">
      <c r="J319" s="65">
        <v>41915</v>
      </c>
      <c r="K319" s="180">
        <v>30.379999000000002</v>
      </c>
      <c r="L319" s="66">
        <f t="shared" si="12"/>
        <v>5.8905470236825817E-2</v>
      </c>
      <c r="M319" s="180">
        <v>1967.900024</v>
      </c>
      <c r="N319" s="67">
        <f t="shared" si="13"/>
        <v>1.1165509440962328E-2</v>
      </c>
      <c r="P319" s="72"/>
      <c r="Q319" s="71"/>
      <c r="R319" s="53"/>
      <c r="S319" s="71"/>
      <c r="T319" s="53"/>
      <c r="U319" s="13"/>
      <c r="V319" s="72"/>
      <c r="W319" s="71"/>
      <c r="X319" s="53"/>
      <c r="Y319" s="71"/>
      <c r="Z319" s="53"/>
      <c r="AA319" s="13"/>
    </row>
    <row r="320" spans="10:27" x14ac:dyDescent="0.3">
      <c r="J320" s="65">
        <v>41914</v>
      </c>
      <c r="K320" s="180">
        <v>28.690000999999999</v>
      </c>
      <c r="L320" s="66">
        <f t="shared" si="12"/>
        <v>-3.1397703193865513E-2</v>
      </c>
      <c r="M320" s="180">
        <v>1946.170044</v>
      </c>
      <c r="N320" s="67">
        <f t="shared" si="13"/>
        <v>5.1434619070826407E-6</v>
      </c>
      <c r="P320" s="72"/>
      <c r="Q320" s="71"/>
      <c r="R320" s="53"/>
      <c r="S320" s="71"/>
      <c r="T320" s="53"/>
      <c r="U320" s="13"/>
      <c r="V320" s="72"/>
      <c r="W320" s="71"/>
      <c r="X320" s="53"/>
      <c r="Y320" s="71"/>
      <c r="Z320" s="53"/>
      <c r="AA320" s="13"/>
    </row>
    <row r="321" spans="10:27" x14ac:dyDescent="0.3">
      <c r="J321" s="65">
        <v>41913</v>
      </c>
      <c r="K321" s="180">
        <v>29.620000999999998</v>
      </c>
      <c r="L321" s="66">
        <f t="shared" si="12"/>
        <v>-7.4664078392007532E-2</v>
      </c>
      <c r="M321" s="180">
        <v>1946.160034</v>
      </c>
      <c r="N321" s="67">
        <f t="shared" si="13"/>
        <v>-1.3248561055071061E-2</v>
      </c>
      <c r="P321" s="72"/>
      <c r="Q321" s="71"/>
      <c r="R321" s="53"/>
      <c r="S321" s="71"/>
      <c r="T321" s="53"/>
      <c r="U321" s="13"/>
      <c r="V321" s="72"/>
      <c r="W321" s="71"/>
      <c r="X321" s="53"/>
      <c r="Y321" s="71"/>
      <c r="Z321" s="53"/>
      <c r="AA321" s="13"/>
    </row>
    <row r="322" spans="10:27" x14ac:dyDescent="0.3">
      <c r="J322" s="65">
        <v>41912</v>
      </c>
      <c r="K322" s="180">
        <v>32.009998000000003</v>
      </c>
      <c r="L322" s="66">
        <f t="shared" si="12"/>
        <v>0.16867466844376314</v>
      </c>
      <c r="M322" s="180">
        <v>1972.290039</v>
      </c>
      <c r="N322" s="67">
        <f t="shared" si="13"/>
        <v>-2.7859287407672453E-3</v>
      </c>
      <c r="P322" s="72"/>
      <c r="Q322" s="71"/>
      <c r="R322" s="53"/>
      <c r="S322" s="71"/>
      <c r="T322" s="53"/>
      <c r="U322" s="13"/>
      <c r="V322" s="72"/>
      <c r="W322" s="71"/>
      <c r="X322" s="53"/>
      <c r="Y322" s="71"/>
      <c r="Z322" s="53"/>
      <c r="AA322" s="13"/>
    </row>
    <row r="323" spans="10:27" x14ac:dyDescent="0.3">
      <c r="J323" s="65">
        <v>41911</v>
      </c>
      <c r="K323" s="180">
        <v>27.389999</v>
      </c>
      <c r="L323" s="66">
        <f t="shared" si="12"/>
        <v>-8.0872485935318331E-2</v>
      </c>
      <c r="M323" s="180">
        <v>1977.8000489999999</v>
      </c>
      <c r="N323" s="67">
        <f t="shared" si="13"/>
        <v>-2.5468023608055486E-3</v>
      </c>
      <c r="P323" s="72"/>
      <c r="Q323" s="71"/>
      <c r="R323" s="53"/>
      <c r="S323" s="71"/>
      <c r="T323" s="53"/>
      <c r="U323" s="13"/>
      <c r="V323" s="72"/>
      <c r="W323" s="71"/>
      <c r="X323" s="53"/>
      <c r="Y323" s="71"/>
      <c r="Z323" s="53"/>
      <c r="AA323" s="13"/>
    </row>
    <row r="324" spans="10:27" x14ac:dyDescent="0.3">
      <c r="J324" s="65">
        <v>41908</v>
      </c>
      <c r="K324" s="180">
        <v>29.799999</v>
      </c>
      <c r="L324" s="66">
        <f t="shared" si="12"/>
        <v>-5.0653075841130157E-2</v>
      </c>
      <c r="M324" s="180">
        <v>1982.849976</v>
      </c>
      <c r="N324" s="67">
        <f t="shared" si="13"/>
        <v>8.5758249460873067E-3</v>
      </c>
      <c r="P324" s="72"/>
      <c r="Q324" s="71"/>
      <c r="R324" s="53"/>
      <c r="S324" s="71"/>
      <c r="T324" s="53"/>
      <c r="U324" s="13"/>
      <c r="V324" s="72"/>
      <c r="W324" s="71"/>
      <c r="X324" s="53"/>
      <c r="Y324" s="71"/>
      <c r="Z324" s="53"/>
      <c r="AA324" s="13"/>
    </row>
    <row r="325" spans="10:27" x14ac:dyDescent="0.3">
      <c r="J325" s="65">
        <v>41907</v>
      </c>
      <c r="K325" s="180">
        <v>31.389999</v>
      </c>
      <c r="L325" s="66">
        <f t="shared" si="12"/>
        <v>4.8780454393585027E-2</v>
      </c>
      <c r="M325" s="180">
        <v>1965.98999</v>
      </c>
      <c r="N325" s="67">
        <f t="shared" si="13"/>
        <v>-1.616877256054149E-2</v>
      </c>
      <c r="P325" s="72"/>
      <c r="Q325" s="71"/>
      <c r="R325" s="53"/>
      <c r="S325" s="71"/>
      <c r="T325" s="53"/>
      <c r="U325" s="13"/>
      <c r="V325" s="72"/>
      <c r="W325" s="71"/>
      <c r="X325" s="53"/>
      <c r="Y325" s="71"/>
      <c r="Z325" s="53"/>
      <c r="AA325" s="13"/>
    </row>
    <row r="326" spans="10:27" x14ac:dyDescent="0.3">
      <c r="J326" s="65">
        <v>41906</v>
      </c>
      <c r="K326" s="180">
        <v>29.93</v>
      </c>
      <c r="L326" s="196"/>
      <c r="M326" s="180">
        <v>1998.3000489999999</v>
      </c>
      <c r="N326" s="202"/>
      <c r="P326" s="72"/>
      <c r="Q326" s="71"/>
      <c r="R326" s="53"/>
      <c r="S326" s="71"/>
      <c r="T326" s="53"/>
      <c r="U326" s="13"/>
      <c r="V326" s="72"/>
      <c r="W326" s="71"/>
      <c r="X326" s="53"/>
      <c r="Y326" s="71"/>
      <c r="Z326" s="53"/>
      <c r="AA326" s="13"/>
    </row>
    <row r="327" spans="10:27" x14ac:dyDescent="0.3">
      <c r="J327" s="197"/>
      <c r="K327" s="198"/>
      <c r="L327" s="196"/>
      <c r="M327" s="198"/>
      <c r="N327" s="202"/>
      <c r="P327" s="72"/>
      <c r="Q327" s="71"/>
      <c r="R327" s="53"/>
      <c r="S327" s="71"/>
      <c r="T327" s="53"/>
      <c r="U327" s="13"/>
      <c r="V327" s="72"/>
      <c r="W327" s="71"/>
      <c r="X327" s="53"/>
      <c r="Y327" s="71"/>
      <c r="Z327" s="53"/>
      <c r="AA327" s="13"/>
    </row>
    <row r="328" spans="10:27" x14ac:dyDescent="0.3">
      <c r="J328" s="197"/>
      <c r="K328" s="198"/>
      <c r="L328" s="196"/>
      <c r="M328" s="198"/>
      <c r="N328" s="202"/>
      <c r="P328" s="72"/>
      <c r="Q328" s="71"/>
      <c r="R328" s="53"/>
      <c r="S328" s="71"/>
      <c r="T328" s="53"/>
      <c r="U328" s="13"/>
      <c r="V328" s="72"/>
      <c r="W328" s="71"/>
      <c r="X328" s="53"/>
      <c r="Y328" s="71"/>
      <c r="Z328" s="53"/>
      <c r="AA328" s="13"/>
    </row>
    <row r="329" spans="10:27" x14ac:dyDescent="0.3">
      <c r="J329" s="197"/>
      <c r="K329" s="198"/>
      <c r="L329" s="196"/>
      <c r="M329" s="198"/>
      <c r="N329" s="202"/>
      <c r="P329" s="72"/>
      <c r="Q329" s="71"/>
      <c r="R329" s="53"/>
      <c r="S329" s="71"/>
      <c r="T329" s="53"/>
      <c r="U329" s="13"/>
      <c r="V329" s="72"/>
      <c r="W329" s="71"/>
      <c r="X329" s="53"/>
      <c r="Y329" s="71"/>
      <c r="Z329" s="53"/>
      <c r="AA329" s="13"/>
    </row>
    <row r="330" spans="10:27" x14ac:dyDescent="0.3">
      <c r="J330" s="197"/>
      <c r="K330" s="198"/>
      <c r="L330" s="196"/>
      <c r="M330" s="198"/>
      <c r="N330" s="202"/>
      <c r="P330" s="72"/>
      <c r="Q330" s="71"/>
      <c r="R330" s="53"/>
      <c r="S330" s="71"/>
      <c r="T330" s="53"/>
      <c r="U330" s="13"/>
      <c r="V330" s="72"/>
      <c r="W330" s="71"/>
      <c r="X330" s="53"/>
      <c r="Y330" s="71"/>
      <c r="Z330" s="53"/>
      <c r="AA330" s="13"/>
    </row>
    <row r="331" spans="10:27" x14ac:dyDescent="0.3">
      <c r="J331" s="197"/>
      <c r="K331" s="198"/>
      <c r="L331" s="196"/>
      <c r="M331" s="198"/>
      <c r="N331" s="202"/>
      <c r="P331" s="72"/>
      <c r="Q331" s="71"/>
      <c r="R331" s="53"/>
      <c r="S331" s="71"/>
      <c r="T331" s="53"/>
      <c r="U331" s="13"/>
      <c r="V331" s="72"/>
      <c r="W331" s="71"/>
      <c r="X331" s="53"/>
      <c r="Y331" s="71"/>
      <c r="Z331" s="53"/>
      <c r="AA331" s="13"/>
    </row>
    <row r="332" spans="10:27" x14ac:dyDescent="0.3">
      <c r="J332" s="197"/>
      <c r="K332" s="198"/>
      <c r="L332" s="196"/>
      <c r="M332" s="198"/>
      <c r="N332" s="202"/>
      <c r="P332" s="72"/>
      <c r="Q332" s="71"/>
      <c r="R332" s="53"/>
      <c r="S332" s="71"/>
      <c r="T332" s="53"/>
      <c r="U332" s="13"/>
      <c r="V332" s="72"/>
      <c r="W332" s="71"/>
      <c r="X332" s="53"/>
      <c r="Y332" s="71"/>
      <c r="Z332" s="53"/>
      <c r="AA332" s="13"/>
    </row>
    <row r="333" spans="10:27" x14ac:dyDescent="0.3">
      <c r="J333" s="197"/>
      <c r="K333" s="198"/>
      <c r="L333" s="196"/>
      <c r="M333" s="198"/>
      <c r="N333" s="202"/>
      <c r="P333" s="72"/>
      <c r="Q333" s="71"/>
      <c r="R333" s="53"/>
      <c r="S333" s="71"/>
      <c r="T333" s="53"/>
      <c r="U333" s="13"/>
      <c r="V333" s="72"/>
      <c r="W333" s="71"/>
      <c r="X333" s="53"/>
      <c r="Y333" s="71"/>
      <c r="Z333" s="53"/>
      <c r="AA333" s="13"/>
    </row>
    <row r="334" spans="10:27" x14ac:dyDescent="0.3">
      <c r="J334" s="197"/>
      <c r="K334" s="198"/>
      <c r="L334" s="196"/>
      <c r="M334" s="198"/>
      <c r="N334" s="202"/>
      <c r="P334" s="72"/>
      <c r="Q334" s="71"/>
      <c r="R334" s="53"/>
      <c r="S334" s="71"/>
      <c r="T334" s="53"/>
      <c r="U334" s="13"/>
      <c r="V334" s="72"/>
      <c r="W334" s="71"/>
      <c r="X334" s="53"/>
      <c r="Y334" s="71"/>
      <c r="Z334" s="53"/>
      <c r="AA334" s="13"/>
    </row>
    <row r="335" spans="10:27" x14ac:dyDescent="0.3">
      <c r="J335" s="197"/>
      <c r="K335" s="198"/>
      <c r="L335" s="196"/>
      <c r="M335" s="198"/>
      <c r="N335" s="202"/>
      <c r="P335" s="72"/>
      <c r="Q335" s="71"/>
      <c r="R335" s="53"/>
      <c r="S335" s="71"/>
      <c r="T335" s="53"/>
      <c r="U335" s="13"/>
      <c r="V335" s="72"/>
      <c r="W335" s="71"/>
      <c r="X335" s="53"/>
      <c r="Y335" s="71"/>
      <c r="Z335" s="53"/>
      <c r="AA335" s="13"/>
    </row>
    <row r="336" spans="10:27" x14ac:dyDescent="0.3">
      <c r="J336" s="197"/>
      <c r="K336" s="198"/>
      <c r="L336" s="196"/>
      <c r="M336" s="198"/>
      <c r="N336" s="202"/>
      <c r="P336" s="72"/>
      <c r="Q336" s="71"/>
      <c r="R336" s="53"/>
      <c r="S336" s="71"/>
      <c r="T336" s="53"/>
      <c r="U336" s="13"/>
      <c r="V336" s="72"/>
      <c r="W336" s="71"/>
      <c r="X336" s="53"/>
      <c r="Y336" s="71"/>
      <c r="Z336" s="53"/>
      <c r="AA336" s="13"/>
    </row>
    <row r="337" spans="10:27" x14ac:dyDescent="0.3">
      <c r="J337" s="197"/>
      <c r="K337" s="198"/>
      <c r="L337" s="196"/>
      <c r="M337" s="198"/>
      <c r="N337" s="202"/>
      <c r="P337" s="72"/>
      <c r="Q337" s="71"/>
      <c r="R337" s="53"/>
      <c r="S337" s="71"/>
      <c r="T337" s="53"/>
      <c r="U337" s="13"/>
      <c r="V337" s="72"/>
      <c r="W337" s="71"/>
      <c r="X337" s="53"/>
      <c r="Y337" s="71"/>
      <c r="Z337" s="53"/>
      <c r="AA337" s="13"/>
    </row>
    <row r="338" spans="10:27" x14ac:dyDescent="0.3">
      <c r="J338" s="197"/>
      <c r="K338" s="198"/>
      <c r="L338" s="196"/>
      <c r="M338" s="198"/>
      <c r="N338" s="202"/>
      <c r="P338" s="72"/>
      <c r="Q338" s="71"/>
      <c r="R338" s="53"/>
      <c r="S338" s="71"/>
      <c r="T338" s="53"/>
      <c r="U338" s="13"/>
      <c r="V338" s="72"/>
      <c r="W338" s="71"/>
      <c r="X338" s="53"/>
      <c r="Y338" s="71"/>
      <c r="Z338" s="53"/>
      <c r="AA338" s="13"/>
    </row>
    <row r="339" spans="10:27" x14ac:dyDescent="0.3">
      <c r="J339" s="197"/>
      <c r="K339" s="198"/>
      <c r="L339" s="196"/>
      <c r="M339" s="198"/>
      <c r="N339" s="202"/>
      <c r="P339" s="72"/>
      <c r="Q339" s="71"/>
      <c r="R339" s="53"/>
      <c r="S339" s="71"/>
      <c r="T339" s="53"/>
      <c r="U339" s="13"/>
      <c r="V339" s="72"/>
      <c r="W339" s="71"/>
      <c r="X339" s="53"/>
      <c r="Y339" s="71"/>
      <c r="Z339" s="53"/>
      <c r="AA339" s="13"/>
    </row>
    <row r="340" spans="10:27" x14ac:dyDescent="0.3">
      <c r="J340" s="197"/>
      <c r="K340" s="198"/>
      <c r="L340" s="196"/>
      <c r="M340" s="198"/>
      <c r="N340" s="202"/>
      <c r="P340" s="72"/>
      <c r="Q340" s="71"/>
      <c r="R340" s="53"/>
      <c r="S340" s="71"/>
      <c r="T340" s="53"/>
      <c r="U340" s="13"/>
      <c r="V340" s="72"/>
      <c r="W340" s="71"/>
      <c r="X340" s="53"/>
      <c r="Y340" s="71"/>
      <c r="Z340" s="53"/>
      <c r="AA340" s="13"/>
    </row>
    <row r="341" spans="10:27" x14ac:dyDescent="0.3">
      <c r="J341" s="197"/>
      <c r="K341" s="198"/>
      <c r="L341" s="196"/>
      <c r="M341" s="198"/>
      <c r="N341" s="202"/>
      <c r="P341" s="72"/>
      <c r="Q341" s="71"/>
      <c r="R341" s="53"/>
      <c r="S341" s="71"/>
      <c r="T341" s="53"/>
      <c r="U341" s="13"/>
      <c r="V341" s="72"/>
      <c r="W341" s="71"/>
      <c r="X341" s="53"/>
      <c r="Y341" s="71"/>
      <c r="Z341" s="53"/>
      <c r="AA341" s="13"/>
    </row>
    <row r="342" spans="10:27" x14ac:dyDescent="0.3">
      <c r="J342" s="197"/>
      <c r="K342" s="198"/>
      <c r="L342" s="196"/>
      <c r="M342" s="198"/>
      <c r="N342" s="202"/>
      <c r="P342" s="72"/>
      <c r="Q342" s="71"/>
      <c r="R342" s="53"/>
      <c r="S342" s="71"/>
      <c r="T342" s="53"/>
      <c r="U342" s="13"/>
      <c r="V342" s="72"/>
      <c r="W342" s="71"/>
      <c r="X342" s="53"/>
      <c r="Y342" s="71"/>
      <c r="Z342" s="53"/>
      <c r="AA342" s="13"/>
    </row>
    <row r="343" spans="10:27" x14ac:dyDescent="0.3">
      <c r="J343" s="197"/>
      <c r="K343" s="198"/>
      <c r="L343" s="196"/>
      <c r="M343" s="198"/>
      <c r="N343" s="202"/>
      <c r="P343" s="72"/>
      <c r="Q343" s="71"/>
      <c r="R343" s="53"/>
      <c r="S343" s="71"/>
      <c r="T343" s="53"/>
      <c r="U343" s="13"/>
      <c r="V343" s="72"/>
      <c r="W343" s="71"/>
      <c r="X343" s="53"/>
      <c r="Y343" s="71"/>
      <c r="Z343" s="53"/>
      <c r="AA343" s="13"/>
    </row>
    <row r="344" spans="10:27" x14ac:dyDescent="0.3">
      <c r="J344" s="197"/>
      <c r="K344" s="198"/>
      <c r="L344" s="196"/>
      <c r="M344" s="198"/>
      <c r="N344" s="202"/>
      <c r="P344" s="72"/>
      <c r="Q344" s="71"/>
      <c r="R344" s="53"/>
      <c r="S344" s="71"/>
      <c r="T344" s="53"/>
      <c r="U344" s="13"/>
      <c r="V344" s="72"/>
      <c r="W344" s="71"/>
      <c r="X344" s="53"/>
      <c r="Y344" s="71"/>
      <c r="Z344" s="53"/>
      <c r="AA344" s="13"/>
    </row>
    <row r="345" spans="10:27" x14ac:dyDescent="0.3">
      <c r="J345" s="197"/>
      <c r="K345" s="198"/>
      <c r="L345" s="196"/>
      <c r="M345" s="198"/>
      <c r="N345" s="202"/>
      <c r="P345" s="72"/>
      <c r="Q345" s="71"/>
      <c r="R345" s="53"/>
      <c r="S345" s="71"/>
      <c r="T345" s="53"/>
      <c r="U345" s="13"/>
      <c r="V345" s="72"/>
      <c r="W345" s="71"/>
      <c r="X345" s="53"/>
      <c r="Y345" s="71"/>
      <c r="Z345" s="53"/>
      <c r="AA345" s="13"/>
    </row>
    <row r="346" spans="10:27" x14ac:dyDescent="0.3">
      <c r="J346" s="197"/>
      <c r="K346" s="198"/>
      <c r="L346" s="196"/>
      <c r="M346" s="198"/>
      <c r="N346" s="202"/>
      <c r="P346" s="72"/>
      <c r="Q346" s="71"/>
      <c r="R346" s="53"/>
      <c r="S346" s="71"/>
      <c r="T346" s="53"/>
      <c r="U346" s="13"/>
      <c r="V346" s="72"/>
      <c r="W346" s="71"/>
      <c r="X346" s="53"/>
      <c r="Y346" s="71"/>
      <c r="Z346" s="53"/>
      <c r="AA346" s="13"/>
    </row>
    <row r="347" spans="10:27" x14ac:dyDescent="0.3">
      <c r="J347" s="197"/>
      <c r="K347" s="198"/>
      <c r="L347" s="196"/>
      <c r="M347" s="198"/>
      <c r="N347" s="202"/>
      <c r="P347" s="72"/>
      <c r="Q347" s="71"/>
      <c r="R347" s="53"/>
      <c r="S347" s="71"/>
      <c r="T347" s="53"/>
      <c r="U347" s="13"/>
      <c r="V347" s="72"/>
      <c r="W347" s="71"/>
      <c r="X347" s="53"/>
      <c r="Y347" s="71"/>
      <c r="Z347" s="53"/>
      <c r="AA347" s="13"/>
    </row>
    <row r="348" spans="10:27" x14ac:dyDescent="0.3">
      <c r="J348" s="197"/>
      <c r="K348" s="198"/>
      <c r="L348" s="196"/>
      <c r="M348" s="198"/>
      <c r="N348" s="202"/>
      <c r="P348" s="72"/>
      <c r="Q348" s="71"/>
      <c r="R348" s="53"/>
      <c r="S348" s="71"/>
      <c r="T348" s="53"/>
      <c r="U348" s="13"/>
      <c r="V348" s="72"/>
      <c r="W348" s="71"/>
      <c r="X348" s="53"/>
      <c r="Y348" s="71"/>
      <c r="Z348" s="53"/>
      <c r="AA348" s="13"/>
    </row>
    <row r="349" spans="10:27" x14ac:dyDescent="0.3">
      <c r="J349" s="197"/>
      <c r="K349" s="198"/>
      <c r="L349" s="196"/>
      <c r="M349" s="198"/>
      <c r="N349" s="202"/>
      <c r="P349" s="72"/>
      <c r="Q349" s="71"/>
      <c r="R349" s="53"/>
      <c r="S349" s="71"/>
      <c r="T349" s="53"/>
      <c r="U349" s="13"/>
      <c r="V349" s="72"/>
      <c r="W349" s="71"/>
      <c r="X349" s="53"/>
      <c r="Y349" s="71"/>
      <c r="Z349" s="53"/>
      <c r="AA349" s="13"/>
    </row>
    <row r="350" spans="10:27" x14ac:dyDescent="0.3">
      <c r="J350" s="197"/>
      <c r="K350" s="198"/>
      <c r="L350" s="196"/>
      <c r="M350" s="198"/>
      <c r="N350" s="202"/>
      <c r="P350" s="72"/>
      <c r="Q350" s="71"/>
      <c r="R350" s="53"/>
      <c r="S350" s="71"/>
      <c r="T350" s="53"/>
      <c r="U350" s="13"/>
      <c r="V350" s="72"/>
      <c r="W350" s="71"/>
      <c r="X350" s="53"/>
      <c r="Y350" s="71"/>
      <c r="Z350" s="53"/>
      <c r="AA350" s="13"/>
    </row>
    <row r="351" spans="10:27" x14ac:dyDescent="0.3">
      <c r="J351" s="197"/>
      <c r="K351" s="198"/>
      <c r="L351" s="196"/>
      <c r="M351" s="198"/>
      <c r="N351" s="202"/>
      <c r="P351" s="72"/>
      <c r="Q351" s="71"/>
      <c r="R351" s="53"/>
      <c r="S351" s="71"/>
      <c r="T351" s="53"/>
      <c r="U351" s="13"/>
      <c r="V351" s="72"/>
      <c r="W351" s="71"/>
      <c r="X351" s="53"/>
      <c r="Y351" s="71"/>
      <c r="Z351" s="53"/>
      <c r="AA351" s="13"/>
    </row>
    <row r="352" spans="10:27" x14ac:dyDescent="0.3">
      <c r="J352" s="197"/>
      <c r="K352" s="198"/>
      <c r="L352" s="196"/>
      <c r="M352" s="198"/>
      <c r="N352" s="202"/>
      <c r="P352" s="72"/>
      <c r="Q352" s="71"/>
      <c r="R352" s="53"/>
      <c r="S352" s="71"/>
      <c r="T352" s="53"/>
      <c r="U352" s="13"/>
      <c r="V352" s="72"/>
      <c r="W352" s="71"/>
      <c r="X352" s="53"/>
      <c r="Y352" s="71"/>
      <c r="Z352" s="53"/>
      <c r="AA352" s="13"/>
    </row>
    <row r="353" spans="10:27" x14ac:dyDescent="0.3">
      <c r="J353" s="197"/>
      <c r="K353" s="198"/>
      <c r="L353" s="196"/>
      <c r="M353" s="198"/>
      <c r="N353" s="202"/>
      <c r="P353" s="72"/>
      <c r="Q353" s="71"/>
      <c r="R353" s="53"/>
      <c r="S353" s="71"/>
      <c r="T353" s="53"/>
      <c r="U353" s="13"/>
      <c r="V353" s="72"/>
      <c r="W353" s="71"/>
      <c r="X353" s="53"/>
      <c r="Y353" s="71"/>
      <c r="Z353" s="53"/>
      <c r="AA353" s="13"/>
    </row>
    <row r="354" spans="10:27" x14ac:dyDescent="0.3">
      <c r="J354" s="197"/>
      <c r="K354" s="198"/>
      <c r="L354" s="196"/>
      <c r="M354" s="198"/>
      <c r="N354" s="202"/>
      <c r="P354" s="72"/>
      <c r="Q354" s="71"/>
      <c r="R354" s="53"/>
      <c r="S354" s="71"/>
      <c r="T354" s="53"/>
      <c r="U354" s="13"/>
      <c r="V354" s="72"/>
      <c r="W354" s="71"/>
      <c r="X354" s="53"/>
      <c r="Y354" s="71"/>
      <c r="Z354" s="53"/>
      <c r="AA354" s="13"/>
    </row>
    <row r="355" spans="10:27" x14ac:dyDescent="0.3">
      <c r="J355" s="197"/>
      <c r="K355" s="198"/>
      <c r="L355" s="196"/>
      <c r="M355" s="198"/>
      <c r="N355" s="202"/>
      <c r="P355" s="72"/>
      <c r="Q355" s="71"/>
      <c r="R355" s="53"/>
      <c r="S355" s="71"/>
      <c r="T355" s="53"/>
      <c r="U355" s="13"/>
      <c r="V355" s="72"/>
      <c r="W355" s="71"/>
      <c r="X355" s="53"/>
      <c r="Y355" s="71"/>
      <c r="Z355" s="53"/>
      <c r="AA355" s="13"/>
    </row>
    <row r="356" spans="10:27" x14ac:dyDescent="0.3">
      <c r="J356" s="197"/>
      <c r="K356" s="198"/>
      <c r="L356" s="196"/>
      <c r="M356" s="198"/>
      <c r="N356" s="202"/>
      <c r="P356" s="72"/>
      <c r="Q356" s="71"/>
      <c r="R356" s="53"/>
      <c r="S356" s="71"/>
      <c r="T356" s="53"/>
      <c r="U356" s="13"/>
      <c r="V356" s="72"/>
      <c r="W356" s="71"/>
      <c r="X356" s="53"/>
      <c r="Y356" s="71"/>
      <c r="Z356" s="53"/>
      <c r="AA356" s="13"/>
    </row>
    <row r="357" spans="10:27" x14ac:dyDescent="0.3">
      <c r="J357" s="197"/>
      <c r="K357" s="198"/>
      <c r="L357" s="196"/>
      <c r="M357" s="198"/>
      <c r="N357" s="202"/>
      <c r="P357" s="72"/>
      <c r="Q357" s="71"/>
      <c r="R357" s="53"/>
      <c r="S357" s="71"/>
      <c r="T357" s="53"/>
      <c r="U357" s="13"/>
      <c r="V357" s="72"/>
      <c r="W357" s="71"/>
      <c r="X357" s="53"/>
      <c r="Y357" s="71"/>
      <c r="Z357" s="53"/>
      <c r="AA357" s="13"/>
    </row>
    <row r="358" spans="10:27" x14ac:dyDescent="0.3">
      <c r="J358" s="197"/>
      <c r="K358" s="198"/>
      <c r="L358" s="196"/>
      <c r="M358" s="198"/>
      <c r="N358" s="202"/>
      <c r="P358" s="72"/>
      <c r="Q358" s="71"/>
      <c r="R358" s="53"/>
      <c r="S358" s="71"/>
      <c r="T358" s="53"/>
      <c r="U358" s="13"/>
      <c r="V358" s="72"/>
      <c r="W358" s="71"/>
      <c r="X358" s="53"/>
      <c r="Y358" s="71"/>
      <c r="Z358" s="53"/>
      <c r="AA358" s="13"/>
    </row>
    <row r="359" spans="10:27" x14ac:dyDescent="0.3">
      <c r="J359" s="197"/>
      <c r="K359" s="198"/>
      <c r="L359" s="196"/>
      <c r="M359" s="198"/>
      <c r="N359" s="202"/>
      <c r="P359" s="72"/>
      <c r="Q359" s="71"/>
      <c r="R359" s="53"/>
      <c r="S359" s="71"/>
      <c r="T359" s="53"/>
      <c r="U359" s="13"/>
      <c r="V359" s="72"/>
      <c r="W359" s="71"/>
      <c r="X359" s="53"/>
      <c r="Y359" s="71"/>
      <c r="Z359" s="53"/>
      <c r="AA359" s="13"/>
    </row>
    <row r="360" spans="10:27" x14ac:dyDescent="0.3">
      <c r="J360" s="197"/>
      <c r="K360" s="198"/>
      <c r="L360" s="196"/>
      <c r="M360" s="198"/>
      <c r="N360" s="202"/>
      <c r="P360" s="72"/>
      <c r="Q360" s="71"/>
      <c r="R360" s="53"/>
      <c r="S360" s="71"/>
      <c r="T360" s="53"/>
      <c r="U360" s="13"/>
      <c r="V360" s="72"/>
      <c r="W360" s="71"/>
      <c r="X360" s="53"/>
      <c r="Y360" s="71"/>
      <c r="Z360" s="53"/>
      <c r="AA360" s="13"/>
    </row>
    <row r="361" spans="10:27" x14ac:dyDescent="0.3">
      <c r="J361" s="197"/>
      <c r="K361" s="198"/>
      <c r="L361" s="196"/>
      <c r="M361" s="198"/>
      <c r="N361" s="202"/>
      <c r="P361" s="72"/>
      <c r="Q361" s="71"/>
      <c r="R361" s="53"/>
      <c r="S361" s="71"/>
      <c r="T361" s="53"/>
      <c r="U361" s="13"/>
      <c r="V361" s="72"/>
      <c r="W361" s="71"/>
      <c r="X361" s="53"/>
      <c r="Y361" s="71"/>
      <c r="Z361" s="53"/>
      <c r="AA361" s="13"/>
    </row>
    <row r="362" spans="10:27" x14ac:dyDescent="0.3">
      <c r="J362" s="197"/>
      <c r="K362" s="198"/>
      <c r="L362" s="196"/>
      <c r="M362" s="198"/>
      <c r="N362" s="202"/>
      <c r="P362" s="72"/>
      <c r="Q362" s="71"/>
      <c r="R362" s="53"/>
      <c r="S362" s="71"/>
      <c r="T362" s="53"/>
      <c r="U362" s="13"/>
      <c r="V362" s="72"/>
      <c r="W362" s="71"/>
      <c r="X362" s="53"/>
      <c r="Y362" s="71"/>
      <c r="Z362" s="53"/>
      <c r="AA362" s="13"/>
    </row>
    <row r="363" spans="10:27" x14ac:dyDescent="0.3">
      <c r="J363" s="197"/>
      <c r="K363" s="198"/>
      <c r="L363" s="196"/>
      <c r="M363" s="198"/>
      <c r="N363" s="202"/>
      <c r="P363" s="72"/>
      <c r="Q363" s="71"/>
      <c r="R363" s="53"/>
      <c r="S363" s="71"/>
      <c r="T363" s="53"/>
      <c r="U363" s="13"/>
      <c r="V363" s="72"/>
      <c r="W363" s="71"/>
      <c r="X363" s="53"/>
      <c r="Y363" s="71"/>
      <c r="Z363" s="53"/>
      <c r="AA363" s="13"/>
    </row>
    <row r="364" spans="10:27" x14ac:dyDescent="0.3">
      <c r="J364" s="197"/>
      <c r="K364" s="198"/>
      <c r="L364" s="196"/>
      <c r="M364" s="198"/>
      <c r="N364" s="202"/>
      <c r="P364" s="72"/>
      <c r="Q364" s="71"/>
      <c r="R364" s="53"/>
      <c r="S364" s="71"/>
      <c r="T364" s="53"/>
      <c r="U364" s="13"/>
      <c r="V364" s="72"/>
      <c r="W364" s="71"/>
      <c r="X364" s="53"/>
      <c r="Y364" s="71"/>
      <c r="Z364" s="53"/>
      <c r="AA364" s="13"/>
    </row>
    <row r="365" spans="10:27" x14ac:dyDescent="0.3">
      <c r="J365" s="197"/>
      <c r="K365" s="198"/>
      <c r="L365" s="196"/>
      <c r="M365" s="198"/>
      <c r="N365" s="202"/>
      <c r="P365" s="72"/>
      <c r="Q365" s="71"/>
      <c r="R365" s="53"/>
      <c r="S365" s="71"/>
      <c r="T365" s="53"/>
      <c r="U365" s="13"/>
      <c r="V365" s="72"/>
      <c r="W365" s="71"/>
      <c r="X365" s="53"/>
      <c r="Y365" s="71"/>
      <c r="Z365" s="53"/>
      <c r="AA365" s="13"/>
    </row>
    <row r="366" spans="10:27" x14ac:dyDescent="0.3">
      <c r="J366" s="197"/>
      <c r="K366" s="198"/>
      <c r="L366" s="196"/>
      <c r="M366" s="198"/>
      <c r="N366" s="202"/>
      <c r="P366" s="72"/>
      <c r="Q366" s="71"/>
      <c r="R366" s="53"/>
      <c r="S366" s="71"/>
      <c r="T366" s="53"/>
      <c r="U366" s="13"/>
      <c r="V366" s="72"/>
      <c r="W366" s="71"/>
      <c r="X366" s="53"/>
      <c r="Y366" s="71"/>
      <c r="Z366" s="53"/>
      <c r="AA366" s="13"/>
    </row>
    <row r="367" spans="10:27" x14ac:dyDescent="0.3">
      <c r="J367" s="197"/>
      <c r="K367" s="198"/>
      <c r="L367" s="196"/>
      <c r="M367" s="198"/>
      <c r="N367" s="202"/>
      <c r="P367" s="72"/>
      <c r="Q367" s="71"/>
      <c r="R367" s="53"/>
      <c r="S367" s="71"/>
      <c r="T367" s="53"/>
      <c r="U367" s="13"/>
      <c r="V367" s="72"/>
      <c r="W367" s="71"/>
      <c r="X367" s="53"/>
      <c r="Y367" s="71"/>
      <c r="Z367" s="53"/>
      <c r="AA367" s="13"/>
    </row>
    <row r="368" spans="10:27" x14ac:dyDescent="0.3">
      <c r="J368" s="197"/>
      <c r="K368" s="198"/>
      <c r="L368" s="196"/>
      <c r="M368" s="198"/>
      <c r="N368" s="202"/>
      <c r="P368" s="72"/>
      <c r="Q368" s="71"/>
      <c r="R368" s="53"/>
      <c r="S368" s="71"/>
      <c r="T368" s="53"/>
      <c r="U368" s="13"/>
      <c r="V368" s="72"/>
      <c r="W368" s="71"/>
      <c r="X368" s="53"/>
      <c r="Y368" s="71"/>
      <c r="Z368" s="53"/>
      <c r="AA368" s="13"/>
    </row>
    <row r="369" spans="10:27" x14ac:dyDescent="0.3">
      <c r="J369" s="197"/>
      <c r="K369" s="198"/>
      <c r="L369" s="196"/>
      <c r="M369" s="198"/>
      <c r="N369" s="202"/>
      <c r="P369" s="72"/>
      <c r="Q369" s="71"/>
      <c r="R369" s="53"/>
      <c r="S369" s="71"/>
      <c r="T369" s="53"/>
      <c r="U369" s="13"/>
      <c r="V369" s="72"/>
      <c r="W369" s="71"/>
      <c r="X369" s="53"/>
      <c r="Y369" s="71"/>
      <c r="Z369" s="53"/>
      <c r="AA369" s="13"/>
    </row>
    <row r="370" spans="10:27" x14ac:dyDescent="0.3">
      <c r="J370" s="197"/>
      <c r="K370" s="198"/>
      <c r="L370" s="196"/>
      <c r="M370" s="198"/>
      <c r="N370" s="202"/>
      <c r="P370" s="72"/>
      <c r="Q370" s="71"/>
      <c r="R370" s="53"/>
      <c r="S370" s="71"/>
      <c r="T370" s="53"/>
      <c r="U370" s="13"/>
      <c r="V370" s="72"/>
      <c r="W370" s="71"/>
      <c r="X370" s="53"/>
      <c r="Y370" s="71"/>
      <c r="Z370" s="53"/>
      <c r="AA370" s="13"/>
    </row>
    <row r="371" spans="10:27" x14ac:dyDescent="0.3">
      <c r="J371" s="197"/>
      <c r="K371" s="198"/>
      <c r="L371" s="196"/>
      <c r="M371" s="198"/>
      <c r="N371" s="202"/>
      <c r="P371" s="72"/>
      <c r="Q371" s="71"/>
      <c r="R371" s="53"/>
      <c r="S371" s="71"/>
      <c r="T371" s="53"/>
      <c r="U371" s="13"/>
      <c r="V371" s="72"/>
      <c r="W371" s="71"/>
      <c r="X371" s="53"/>
      <c r="Y371" s="71"/>
      <c r="Z371" s="53"/>
      <c r="AA371" s="13"/>
    </row>
    <row r="372" spans="10:27" x14ac:dyDescent="0.3">
      <c r="J372" s="197"/>
      <c r="K372" s="198"/>
      <c r="L372" s="196"/>
      <c r="M372" s="198"/>
      <c r="N372" s="202"/>
      <c r="P372" s="72"/>
      <c r="Q372" s="71"/>
      <c r="R372" s="53"/>
      <c r="S372" s="71"/>
      <c r="T372" s="53"/>
      <c r="U372" s="13"/>
      <c r="V372" s="72"/>
      <c r="W372" s="71"/>
      <c r="X372" s="53"/>
      <c r="Y372" s="71"/>
      <c r="Z372" s="53"/>
      <c r="AA372" s="13"/>
    </row>
    <row r="373" spans="10:27" x14ac:dyDescent="0.3">
      <c r="J373" s="197"/>
      <c r="K373" s="198"/>
      <c r="L373" s="196"/>
      <c r="M373" s="198"/>
      <c r="N373" s="202"/>
      <c r="P373" s="72"/>
      <c r="Q373" s="71"/>
      <c r="R373" s="53"/>
      <c r="S373" s="71"/>
      <c r="T373" s="53"/>
      <c r="U373" s="13"/>
      <c r="V373" s="72"/>
      <c r="W373" s="71"/>
      <c r="X373" s="53"/>
      <c r="Y373" s="71"/>
      <c r="Z373" s="53"/>
      <c r="AA373" s="13"/>
    </row>
    <row r="374" spans="10:27" x14ac:dyDescent="0.3">
      <c r="J374" s="197"/>
      <c r="K374" s="198"/>
      <c r="L374" s="196"/>
      <c r="M374" s="198"/>
      <c r="N374" s="202"/>
      <c r="P374" s="72"/>
      <c r="Q374" s="71"/>
      <c r="R374" s="53"/>
      <c r="S374" s="71"/>
      <c r="T374" s="53"/>
      <c r="U374" s="13"/>
      <c r="V374" s="72"/>
      <c r="W374" s="71"/>
      <c r="X374" s="53"/>
      <c r="Y374" s="71"/>
      <c r="Z374" s="53"/>
      <c r="AA374" s="13"/>
    </row>
    <row r="375" spans="10:27" x14ac:dyDescent="0.3">
      <c r="J375" s="197"/>
      <c r="K375" s="198"/>
      <c r="L375" s="196"/>
      <c r="M375" s="198"/>
      <c r="N375" s="202"/>
      <c r="P375" s="72"/>
      <c r="Q375" s="71"/>
      <c r="R375" s="53"/>
      <c r="S375" s="71"/>
      <c r="T375" s="53"/>
      <c r="U375" s="13"/>
      <c r="V375" s="72"/>
      <c r="W375" s="71"/>
      <c r="X375" s="53"/>
      <c r="Y375" s="71"/>
      <c r="Z375" s="53"/>
      <c r="AA375" s="13"/>
    </row>
    <row r="376" spans="10:27" x14ac:dyDescent="0.3">
      <c r="J376" s="197"/>
      <c r="K376" s="198"/>
      <c r="L376" s="196"/>
      <c r="M376" s="198"/>
      <c r="N376" s="202"/>
      <c r="P376" s="72"/>
      <c r="Q376" s="71"/>
      <c r="R376" s="53"/>
      <c r="S376" s="71"/>
      <c r="T376" s="53"/>
      <c r="U376" s="13"/>
      <c r="V376" s="72"/>
      <c r="W376" s="71"/>
      <c r="X376" s="53"/>
      <c r="Y376" s="71"/>
      <c r="Z376" s="53"/>
      <c r="AA376" s="13"/>
    </row>
    <row r="377" spans="10:27" x14ac:dyDescent="0.3">
      <c r="J377" s="197"/>
      <c r="K377" s="198"/>
      <c r="L377" s="196"/>
      <c r="M377" s="198"/>
      <c r="N377" s="202"/>
      <c r="P377" s="72"/>
      <c r="Q377" s="71"/>
      <c r="R377" s="53"/>
      <c r="S377" s="71"/>
      <c r="T377" s="53"/>
      <c r="U377" s="13"/>
      <c r="V377" s="72"/>
      <c r="W377" s="71"/>
      <c r="X377" s="53"/>
      <c r="Y377" s="71"/>
      <c r="Z377" s="53"/>
      <c r="AA377" s="13"/>
    </row>
    <row r="378" spans="10:27" x14ac:dyDescent="0.3">
      <c r="J378" s="197"/>
      <c r="K378" s="198"/>
      <c r="L378" s="196"/>
      <c r="M378" s="198"/>
      <c r="N378" s="202"/>
      <c r="P378" s="72"/>
      <c r="Q378" s="71"/>
      <c r="R378" s="53"/>
      <c r="S378" s="71"/>
      <c r="T378" s="53"/>
      <c r="U378" s="13"/>
      <c r="V378" s="72"/>
      <c r="W378" s="71"/>
      <c r="X378" s="53"/>
      <c r="Y378" s="71"/>
      <c r="Z378" s="53"/>
      <c r="AA378" s="13"/>
    </row>
    <row r="379" spans="10:27" x14ac:dyDescent="0.3">
      <c r="J379" s="197"/>
      <c r="K379" s="198"/>
      <c r="L379" s="196"/>
      <c r="M379" s="198"/>
      <c r="N379" s="202"/>
      <c r="P379" s="72"/>
      <c r="Q379" s="71"/>
      <c r="R379" s="53"/>
      <c r="S379" s="71"/>
      <c r="T379" s="53"/>
      <c r="U379" s="13"/>
      <c r="V379" s="72"/>
      <c r="W379" s="71"/>
      <c r="X379" s="53"/>
      <c r="Y379" s="71"/>
      <c r="Z379" s="53"/>
      <c r="AA379" s="13"/>
    </row>
    <row r="380" spans="10:27" x14ac:dyDescent="0.3">
      <c r="J380" s="197"/>
      <c r="K380" s="198"/>
      <c r="L380" s="196"/>
      <c r="M380" s="198"/>
      <c r="N380" s="202"/>
      <c r="P380" s="72"/>
      <c r="Q380" s="71"/>
      <c r="R380" s="53"/>
      <c r="S380" s="71"/>
      <c r="T380" s="53"/>
      <c r="U380" s="13"/>
      <c r="V380" s="72"/>
      <c r="W380" s="71"/>
      <c r="X380" s="53"/>
      <c r="Y380" s="71"/>
      <c r="Z380" s="53"/>
      <c r="AA380" s="13"/>
    </row>
    <row r="381" spans="10:27" x14ac:dyDescent="0.3">
      <c r="J381" s="197"/>
      <c r="K381" s="198"/>
      <c r="L381" s="196"/>
      <c r="M381" s="198"/>
      <c r="N381" s="202"/>
      <c r="P381" s="72"/>
      <c r="Q381" s="71"/>
      <c r="R381" s="53"/>
      <c r="S381" s="71"/>
      <c r="T381" s="53"/>
      <c r="U381" s="13"/>
      <c r="V381" s="72"/>
      <c r="W381" s="71"/>
      <c r="X381" s="53"/>
      <c r="Y381" s="71"/>
      <c r="Z381" s="53"/>
      <c r="AA381" s="13"/>
    </row>
    <row r="382" spans="10:27" x14ac:dyDescent="0.3">
      <c r="J382" s="197"/>
      <c r="K382" s="198"/>
      <c r="L382" s="196"/>
      <c r="M382" s="198"/>
      <c r="N382" s="202"/>
      <c r="P382" s="72"/>
      <c r="Q382" s="71"/>
      <c r="R382" s="53"/>
      <c r="S382" s="71"/>
      <c r="T382" s="53"/>
      <c r="U382" s="13"/>
      <c r="V382" s="72"/>
      <c r="W382" s="71"/>
      <c r="X382" s="53"/>
      <c r="Y382" s="71"/>
      <c r="Z382" s="53"/>
      <c r="AA382" s="13"/>
    </row>
    <row r="383" spans="10:27" x14ac:dyDescent="0.3">
      <c r="J383" s="197"/>
      <c r="K383" s="198"/>
      <c r="L383" s="196"/>
      <c r="M383" s="198"/>
      <c r="N383" s="202"/>
      <c r="P383" s="72"/>
      <c r="Q383" s="71"/>
      <c r="R383" s="53"/>
      <c r="S383" s="71"/>
      <c r="T383" s="53"/>
      <c r="U383" s="13"/>
      <c r="V383" s="72"/>
      <c r="W383" s="71"/>
      <c r="X383" s="53"/>
      <c r="Y383" s="71"/>
      <c r="Z383" s="53"/>
      <c r="AA383" s="13"/>
    </row>
    <row r="384" spans="10:27" x14ac:dyDescent="0.3">
      <c r="J384" s="197"/>
      <c r="K384" s="198"/>
      <c r="L384" s="196"/>
      <c r="M384" s="198"/>
      <c r="N384" s="202"/>
      <c r="P384" s="72"/>
      <c r="Q384" s="71"/>
      <c r="R384" s="53"/>
      <c r="S384" s="71"/>
      <c r="T384" s="53"/>
      <c r="U384" s="13"/>
      <c r="V384" s="72"/>
      <c r="W384" s="71"/>
      <c r="X384" s="53"/>
      <c r="Y384" s="71"/>
      <c r="Z384" s="53"/>
      <c r="AA384" s="13"/>
    </row>
    <row r="385" spans="10:27" x14ac:dyDescent="0.3">
      <c r="J385" s="197"/>
      <c r="K385" s="198"/>
      <c r="L385" s="196"/>
      <c r="M385" s="198"/>
      <c r="N385" s="202"/>
      <c r="P385" s="72"/>
      <c r="Q385" s="71"/>
      <c r="R385" s="53"/>
      <c r="S385" s="71"/>
      <c r="T385" s="53"/>
      <c r="U385" s="13"/>
      <c r="V385" s="72"/>
      <c r="W385" s="71"/>
      <c r="X385" s="53"/>
      <c r="Y385" s="71"/>
      <c r="Z385" s="53"/>
      <c r="AA385" s="13"/>
    </row>
    <row r="386" spans="10:27" x14ac:dyDescent="0.3">
      <c r="J386" s="197"/>
      <c r="K386" s="198"/>
      <c r="L386" s="196"/>
      <c r="M386" s="198"/>
      <c r="N386" s="202"/>
      <c r="P386" s="72"/>
      <c r="Q386" s="71"/>
      <c r="R386" s="53"/>
      <c r="S386" s="71"/>
      <c r="T386" s="53"/>
      <c r="U386" s="13"/>
      <c r="V386" s="72"/>
      <c r="W386" s="71"/>
      <c r="X386" s="53"/>
      <c r="Y386" s="71"/>
      <c r="Z386" s="53"/>
      <c r="AA386" s="13"/>
    </row>
    <row r="387" spans="10:27" x14ac:dyDescent="0.3">
      <c r="J387" s="197"/>
      <c r="K387" s="198"/>
      <c r="L387" s="196"/>
      <c r="M387" s="198"/>
      <c r="N387" s="202"/>
      <c r="P387" s="72"/>
      <c r="Q387" s="71"/>
      <c r="R387" s="53"/>
      <c r="S387" s="71"/>
      <c r="T387" s="53"/>
      <c r="U387" s="13"/>
      <c r="V387" s="72"/>
      <c r="W387" s="71"/>
      <c r="X387" s="53"/>
      <c r="Y387" s="71"/>
      <c r="Z387" s="53"/>
      <c r="AA387" s="13"/>
    </row>
    <row r="388" spans="10:27" x14ac:dyDescent="0.3">
      <c r="J388" s="197"/>
      <c r="K388" s="198"/>
      <c r="L388" s="196"/>
      <c r="M388" s="198"/>
      <c r="N388" s="202"/>
      <c r="P388" s="72"/>
      <c r="Q388" s="71"/>
      <c r="R388" s="53"/>
      <c r="S388" s="71"/>
      <c r="T388" s="53"/>
      <c r="U388" s="13"/>
      <c r="V388" s="72"/>
      <c r="W388" s="71"/>
      <c r="X388" s="53"/>
      <c r="Y388" s="71"/>
      <c r="Z388" s="53"/>
      <c r="AA388" s="13"/>
    </row>
    <row r="389" spans="10:27" x14ac:dyDescent="0.3">
      <c r="J389" s="197"/>
      <c r="K389" s="198"/>
      <c r="L389" s="196"/>
      <c r="M389" s="198"/>
      <c r="N389" s="202"/>
      <c r="P389" s="72"/>
      <c r="Q389" s="71"/>
      <c r="R389" s="53"/>
      <c r="S389" s="71"/>
      <c r="T389" s="53"/>
      <c r="U389" s="13"/>
      <c r="V389" s="72"/>
      <c r="W389" s="71"/>
      <c r="X389" s="53"/>
      <c r="Y389" s="71"/>
      <c r="Z389" s="53"/>
      <c r="AA389" s="13"/>
    </row>
    <row r="390" spans="10:27" x14ac:dyDescent="0.3">
      <c r="J390" s="197"/>
      <c r="K390" s="198"/>
      <c r="L390" s="196"/>
      <c r="M390" s="198"/>
      <c r="N390" s="202"/>
      <c r="P390" s="72"/>
      <c r="Q390" s="71"/>
      <c r="R390" s="53"/>
      <c r="S390" s="71"/>
      <c r="T390" s="53"/>
      <c r="U390" s="13"/>
      <c r="V390" s="72"/>
      <c r="W390" s="71"/>
      <c r="X390" s="53"/>
      <c r="Y390" s="71"/>
      <c r="Z390" s="53"/>
      <c r="AA390" s="13"/>
    </row>
    <row r="391" spans="10:27" x14ac:dyDescent="0.3">
      <c r="J391" s="197"/>
      <c r="K391" s="198"/>
      <c r="L391" s="196"/>
      <c r="M391" s="198"/>
      <c r="N391" s="202"/>
      <c r="P391" s="72"/>
      <c r="Q391" s="71"/>
      <c r="R391" s="53"/>
      <c r="S391" s="71"/>
      <c r="T391" s="53"/>
      <c r="U391" s="13"/>
      <c r="V391" s="72"/>
      <c r="W391" s="71"/>
      <c r="X391" s="53"/>
      <c r="Y391" s="71"/>
      <c r="Z391" s="53"/>
      <c r="AA391" s="13"/>
    </row>
    <row r="392" spans="10:27" x14ac:dyDescent="0.3">
      <c r="J392" s="197"/>
      <c r="K392" s="198"/>
      <c r="L392" s="196"/>
      <c r="M392" s="198"/>
      <c r="N392" s="202"/>
      <c r="P392" s="72"/>
      <c r="Q392" s="71"/>
      <c r="R392" s="53"/>
      <c r="S392" s="71"/>
      <c r="T392" s="53"/>
      <c r="U392" s="13"/>
      <c r="V392" s="72"/>
      <c r="W392" s="71"/>
      <c r="X392" s="53"/>
      <c r="Y392" s="71"/>
      <c r="Z392" s="53"/>
      <c r="AA392" s="13"/>
    </row>
    <row r="393" spans="10:27" x14ac:dyDescent="0.3">
      <c r="J393" s="197"/>
      <c r="K393" s="198"/>
      <c r="L393" s="196"/>
      <c r="M393" s="198"/>
      <c r="N393" s="202"/>
      <c r="P393" s="72"/>
      <c r="Q393" s="71"/>
      <c r="R393" s="53"/>
      <c r="S393" s="71"/>
      <c r="T393" s="53"/>
      <c r="U393" s="13"/>
      <c r="V393" s="72"/>
      <c r="W393" s="71"/>
      <c r="X393" s="53"/>
      <c r="Y393" s="71"/>
      <c r="Z393" s="53"/>
      <c r="AA393" s="13"/>
    </row>
    <row r="394" spans="10:27" x14ac:dyDescent="0.3">
      <c r="J394" s="197"/>
      <c r="K394" s="198"/>
      <c r="L394" s="196"/>
      <c r="M394" s="198"/>
      <c r="N394" s="202"/>
      <c r="P394" s="72"/>
      <c r="Q394" s="71"/>
      <c r="R394" s="53"/>
      <c r="S394" s="71"/>
      <c r="T394" s="53"/>
      <c r="U394" s="13"/>
      <c r="V394" s="72"/>
      <c r="W394" s="71"/>
      <c r="X394" s="53"/>
      <c r="Y394" s="71"/>
      <c r="Z394" s="53"/>
      <c r="AA394" s="13"/>
    </row>
    <row r="395" spans="10:27" x14ac:dyDescent="0.3">
      <c r="J395" s="197"/>
      <c r="K395" s="198"/>
      <c r="L395" s="196"/>
      <c r="M395" s="198"/>
      <c r="N395" s="202"/>
      <c r="P395" s="72"/>
      <c r="Q395" s="71"/>
      <c r="R395" s="53"/>
      <c r="S395" s="71"/>
      <c r="T395" s="53"/>
      <c r="U395" s="13"/>
      <c r="V395" s="72"/>
      <c r="W395" s="71"/>
      <c r="X395" s="53"/>
      <c r="Y395" s="71"/>
      <c r="Z395" s="53"/>
      <c r="AA395" s="13"/>
    </row>
    <row r="396" spans="10:27" x14ac:dyDescent="0.3">
      <c r="J396" s="197"/>
      <c r="K396" s="198"/>
      <c r="L396" s="196"/>
      <c r="M396" s="198"/>
      <c r="N396" s="202"/>
      <c r="P396" s="72"/>
      <c r="Q396" s="71"/>
      <c r="R396" s="53"/>
      <c r="S396" s="71"/>
      <c r="T396" s="53"/>
      <c r="U396" s="13"/>
      <c r="V396" s="72"/>
      <c r="W396" s="71"/>
      <c r="X396" s="53"/>
      <c r="Y396" s="71"/>
      <c r="Z396" s="53"/>
      <c r="AA396" s="13"/>
    </row>
    <row r="397" spans="10:27" x14ac:dyDescent="0.3">
      <c r="J397" s="197"/>
      <c r="K397" s="198"/>
      <c r="L397" s="196"/>
      <c r="M397" s="198"/>
      <c r="N397" s="202"/>
      <c r="P397" s="72"/>
      <c r="Q397" s="71"/>
      <c r="R397" s="53"/>
      <c r="S397" s="71"/>
      <c r="T397" s="53"/>
      <c r="U397" s="13"/>
      <c r="V397" s="72"/>
      <c r="W397" s="71"/>
      <c r="X397" s="53"/>
      <c r="Y397" s="71"/>
      <c r="Z397" s="53"/>
      <c r="AA397" s="13"/>
    </row>
    <row r="398" spans="10:27" x14ac:dyDescent="0.3">
      <c r="J398" s="197"/>
      <c r="K398" s="198"/>
      <c r="L398" s="196"/>
      <c r="M398" s="198"/>
      <c r="N398" s="202"/>
      <c r="P398" s="72"/>
      <c r="Q398" s="71"/>
      <c r="R398" s="53"/>
      <c r="S398" s="71"/>
      <c r="T398" s="53"/>
      <c r="U398" s="13"/>
      <c r="V398" s="72"/>
      <c r="W398" s="71"/>
      <c r="X398" s="53"/>
      <c r="Y398" s="71"/>
      <c r="Z398" s="53"/>
      <c r="AA398" s="13"/>
    </row>
    <row r="399" spans="10:27" x14ac:dyDescent="0.3">
      <c r="J399" s="197"/>
      <c r="K399" s="198"/>
      <c r="L399" s="196"/>
      <c r="M399" s="198"/>
      <c r="N399" s="202"/>
      <c r="P399" s="72"/>
      <c r="Q399" s="71"/>
      <c r="R399" s="53"/>
      <c r="S399" s="71"/>
      <c r="T399" s="53"/>
      <c r="U399" s="13"/>
      <c r="V399" s="72"/>
      <c r="W399" s="71"/>
      <c r="X399" s="53"/>
      <c r="Y399" s="71"/>
      <c r="Z399" s="53"/>
      <c r="AA399" s="13"/>
    </row>
    <row r="400" spans="10:27" x14ac:dyDescent="0.3">
      <c r="J400" s="197"/>
      <c r="K400" s="198"/>
      <c r="L400" s="196"/>
      <c r="M400" s="198"/>
      <c r="N400" s="202"/>
      <c r="P400" s="72"/>
      <c r="Q400" s="71"/>
      <c r="R400" s="53"/>
      <c r="S400" s="71"/>
      <c r="T400" s="53"/>
      <c r="U400" s="13"/>
      <c r="V400" s="72"/>
      <c r="W400" s="71"/>
      <c r="X400" s="53"/>
      <c r="Y400" s="71"/>
      <c r="Z400" s="53"/>
      <c r="AA400" s="13"/>
    </row>
    <row r="401" spans="10:27" x14ac:dyDescent="0.3">
      <c r="J401" s="197"/>
      <c r="K401" s="198"/>
      <c r="L401" s="196"/>
      <c r="M401" s="198"/>
      <c r="N401" s="202"/>
      <c r="P401" s="72"/>
      <c r="Q401" s="71"/>
      <c r="R401" s="53"/>
      <c r="S401" s="71"/>
      <c r="T401" s="53"/>
      <c r="U401" s="13"/>
      <c r="V401" s="72"/>
      <c r="W401" s="71"/>
      <c r="X401" s="53"/>
      <c r="Y401" s="71"/>
      <c r="Z401" s="53"/>
      <c r="AA401" s="13"/>
    </row>
    <row r="402" spans="10:27" x14ac:dyDescent="0.3">
      <c r="J402" s="197"/>
      <c r="K402" s="198"/>
      <c r="L402" s="196"/>
      <c r="M402" s="198"/>
      <c r="N402" s="202"/>
      <c r="P402" s="72"/>
      <c r="Q402" s="71"/>
      <c r="R402" s="53"/>
      <c r="S402" s="71"/>
      <c r="T402" s="53"/>
      <c r="U402" s="13"/>
      <c r="V402" s="72"/>
      <c r="W402" s="71"/>
      <c r="X402" s="53"/>
      <c r="Y402" s="71"/>
      <c r="Z402" s="53"/>
      <c r="AA402" s="13"/>
    </row>
    <row r="403" spans="10:27" x14ac:dyDescent="0.3">
      <c r="J403" s="197"/>
      <c r="K403" s="198"/>
      <c r="L403" s="196"/>
      <c r="M403" s="198"/>
      <c r="N403" s="202"/>
      <c r="P403" s="72"/>
      <c r="Q403" s="71"/>
      <c r="R403" s="53"/>
      <c r="S403" s="71"/>
      <c r="T403" s="53"/>
      <c r="U403" s="13"/>
      <c r="V403" s="72"/>
      <c r="W403" s="71"/>
      <c r="X403" s="53"/>
      <c r="Y403" s="71"/>
      <c r="Z403" s="53"/>
      <c r="AA403" s="13"/>
    </row>
    <row r="404" spans="10:27" x14ac:dyDescent="0.3">
      <c r="J404" s="197"/>
      <c r="K404" s="198"/>
      <c r="L404" s="196"/>
      <c r="M404" s="198"/>
      <c r="N404" s="202"/>
      <c r="P404" s="72"/>
      <c r="Q404" s="71"/>
      <c r="R404" s="53"/>
      <c r="S404" s="71"/>
      <c r="T404" s="53"/>
      <c r="U404" s="13"/>
      <c r="V404" s="72"/>
      <c r="W404" s="71"/>
      <c r="X404" s="53"/>
      <c r="Y404" s="71"/>
      <c r="Z404" s="53"/>
      <c r="AA404" s="13"/>
    </row>
    <row r="405" spans="10:27" x14ac:dyDescent="0.3">
      <c r="J405" s="197"/>
      <c r="K405" s="198"/>
      <c r="L405" s="196"/>
      <c r="M405" s="198"/>
      <c r="N405" s="202"/>
      <c r="P405" s="72"/>
      <c r="Q405" s="71"/>
      <c r="R405" s="53"/>
      <c r="S405" s="71"/>
      <c r="T405" s="53"/>
      <c r="U405" s="13"/>
      <c r="V405" s="72"/>
      <c r="W405" s="71"/>
      <c r="X405" s="53"/>
      <c r="Y405" s="71"/>
      <c r="Z405" s="53"/>
      <c r="AA405" s="13"/>
    </row>
    <row r="406" spans="10:27" x14ac:dyDescent="0.3">
      <c r="J406" s="197"/>
      <c r="K406" s="198"/>
      <c r="L406" s="196"/>
      <c r="M406" s="198"/>
      <c r="N406" s="202"/>
      <c r="P406" s="72"/>
      <c r="Q406" s="71"/>
      <c r="R406" s="53"/>
      <c r="S406" s="71"/>
      <c r="T406" s="53"/>
      <c r="U406" s="13"/>
      <c r="V406" s="72"/>
      <c r="W406" s="71"/>
      <c r="X406" s="53"/>
      <c r="Y406" s="71"/>
      <c r="Z406" s="53"/>
      <c r="AA406" s="13"/>
    </row>
    <row r="407" spans="10:27" x14ac:dyDescent="0.3">
      <c r="J407" s="197"/>
      <c r="K407" s="198"/>
      <c r="L407" s="196"/>
      <c r="M407" s="198"/>
      <c r="N407" s="202"/>
      <c r="P407" s="72"/>
      <c r="Q407" s="71"/>
      <c r="R407" s="53"/>
      <c r="S407" s="71"/>
      <c r="T407" s="53"/>
      <c r="U407" s="13"/>
      <c r="V407" s="72"/>
      <c r="W407" s="71"/>
      <c r="X407" s="53"/>
      <c r="Y407" s="71"/>
      <c r="Z407" s="53"/>
      <c r="AA407" s="13"/>
    </row>
    <row r="408" spans="10:27" x14ac:dyDescent="0.3">
      <c r="J408" s="197"/>
      <c r="K408" s="198"/>
      <c r="L408" s="196"/>
      <c r="M408" s="198"/>
      <c r="N408" s="202"/>
      <c r="P408" s="72"/>
      <c r="Q408" s="71"/>
      <c r="R408" s="53"/>
      <c r="S408" s="71"/>
      <c r="T408" s="53"/>
      <c r="U408" s="13"/>
      <c r="V408" s="72"/>
      <c r="W408" s="71"/>
      <c r="X408" s="53"/>
      <c r="Y408" s="71"/>
      <c r="Z408" s="53"/>
      <c r="AA408" s="13"/>
    </row>
    <row r="409" spans="10:27" x14ac:dyDescent="0.3">
      <c r="J409" s="197"/>
      <c r="K409" s="198"/>
      <c r="L409" s="196"/>
      <c r="M409" s="198"/>
      <c r="N409" s="202"/>
      <c r="P409" s="72"/>
      <c r="Q409" s="71"/>
      <c r="R409" s="53"/>
      <c r="S409" s="71"/>
      <c r="T409" s="53"/>
      <c r="U409" s="13"/>
      <c r="V409" s="72"/>
      <c r="W409" s="71"/>
      <c r="X409" s="53"/>
      <c r="Y409" s="71"/>
      <c r="Z409" s="53"/>
      <c r="AA409" s="13"/>
    </row>
    <row r="410" spans="10:27" x14ac:dyDescent="0.3">
      <c r="J410" s="197"/>
      <c r="K410" s="198"/>
      <c r="L410" s="196"/>
      <c r="M410" s="198"/>
      <c r="N410" s="202"/>
      <c r="P410" s="72"/>
      <c r="Q410" s="71"/>
      <c r="R410" s="53"/>
      <c r="S410" s="71"/>
      <c r="T410" s="53"/>
      <c r="U410" s="13"/>
      <c r="V410" s="72"/>
      <c r="W410" s="71"/>
      <c r="X410" s="53"/>
      <c r="Y410" s="71"/>
      <c r="Z410" s="53"/>
      <c r="AA410" s="13"/>
    </row>
    <row r="411" spans="10:27" x14ac:dyDescent="0.3">
      <c r="J411" s="197"/>
      <c r="K411" s="198"/>
      <c r="L411" s="196"/>
      <c r="M411" s="198"/>
      <c r="N411" s="202"/>
      <c r="P411" s="72"/>
      <c r="Q411" s="71"/>
      <c r="R411" s="53"/>
      <c r="S411" s="71"/>
      <c r="T411" s="53"/>
      <c r="U411" s="13"/>
      <c r="V411" s="72"/>
      <c r="W411" s="71"/>
      <c r="X411" s="53"/>
      <c r="Y411" s="71"/>
      <c r="Z411" s="53"/>
      <c r="AA411" s="13"/>
    </row>
    <row r="412" spans="10:27" x14ac:dyDescent="0.3">
      <c r="J412" s="197"/>
      <c r="K412" s="198"/>
      <c r="L412" s="196"/>
      <c r="M412" s="198"/>
      <c r="N412" s="202"/>
      <c r="P412" s="72"/>
      <c r="Q412" s="71"/>
      <c r="R412" s="53"/>
      <c r="S412" s="71"/>
      <c r="T412" s="53"/>
      <c r="U412" s="13"/>
      <c r="V412" s="72"/>
      <c r="W412" s="71"/>
      <c r="X412" s="53"/>
      <c r="Y412" s="71"/>
      <c r="Z412" s="53"/>
      <c r="AA412" s="13"/>
    </row>
    <row r="413" spans="10:27" x14ac:dyDescent="0.3">
      <c r="J413" s="197"/>
      <c r="K413" s="198"/>
      <c r="L413" s="196"/>
      <c r="M413" s="198"/>
      <c r="N413" s="202"/>
      <c r="P413" s="72"/>
      <c r="Q413" s="71"/>
      <c r="R413" s="53"/>
      <c r="S413" s="71"/>
      <c r="T413" s="53"/>
      <c r="U413" s="13"/>
      <c r="V413" s="72"/>
      <c r="W413" s="71"/>
      <c r="X413" s="53"/>
      <c r="Y413" s="71"/>
      <c r="Z413" s="53"/>
      <c r="AA413" s="13"/>
    </row>
    <row r="414" spans="10:27" x14ac:dyDescent="0.3">
      <c r="J414" s="197"/>
      <c r="K414" s="198"/>
      <c r="L414" s="196"/>
      <c r="M414" s="198"/>
      <c r="N414" s="202"/>
      <c r="P414" s="72"/>
      <c r="Q414" s="71"/>
      <c r="R414" s="53"/>
      <c r="S414" s="71"/>
      <c r="T414" s="53"/>
      <c r="U414" s="13"/>
      <c r="V414" s="72"/>
      <c r="W414" s="71"/>
      <c r="X414" s="53"/>
      <c r="Y414" s="71"/>
      <c r="Z414" s="53"/>
      <c r="AA414" s="13"/>
    </row>
    <row r="415" spans="10:27" x14ac:dyDescent="0.3">
      <c r="J415" s="197"/>
      <c r="K415" s="198"/>
      <c r="L415" s="196"/>
      <c r="M415" s="198"/>
      <c r="N415" s="202"/>
      <c r="P415" s="72"/>
      <c r="Q415" s="71"/>
      <c r="R415" s="53"/>
      <c r="S415" s="71"/>
      <c r="T415" s="53"/>
      <c r="U415" s="13"/>
      <c r="V415" s="72"/>
      <c r="W415" s="71"/>
      <c r="X415" s="53"/>
      <c r="Y415" s="71"/>
      <c r="Z415" s="53"/>
      <c r="AA415" s="13"/>
    </row>
    <row r="416" spans="10:27" x14ac:dyDescent="0.3">
      <c r="J416" s="197"/>
      <c r="K416" s="198"/>
      <c r="L416" s="196"/>
      <c r="M416" s="198"/>
      <c r="N416" s="202"/>
      <c r="P416" s="72"/>
      <c r="Q416" s="71"/>
      <c r="R416" s="53"/>
      <c r="S416" s="71"/>
      <c r="T416" s="53"/>
      <c r="U416" s="13"/>
      <c r="V416" s="72"/>
      <c r="W416" s="71"/>
      <c r="X416" s="53"/>
      <c r="Y416" s="71"/>
      <c r="Z416" s="53"/>
      <c r="AA416" s="13"/>
    </row>
    <row r="417" spans="10:27" x14ac:dyDescent="0.3">
      <c r="J417" s="197"/>
      <c r="K417" s="198"/>
      <c r="L417" s="196"/>
      <c r="M417" s="198"/>
      <c r="N417" s="202"/>
      <c r="P417" s="72"/>
      <c r="Q417" s="71"/>
      <c r="R417" s="53"/>
      <c r="S417" s="71"/>
      <c r="T417" s="53"/>
      <c r="U417" s="13"/>
      <c r="V417" s="72"/>
      <c r="W417" s="71"/>
      <c r="X417" s="53"/>
      <c r="Y417" s="71"/>
      <c r="Z417" s="53"/>
      <c r="AA417" s="13"/>
    </row>
    <row r="418" spans="10:27" x14ac:dyDescent="0.3">
      <c r="J418" s="197"/>
      <c r="K418" s="198"/>
      <c r="L418" s="196"/>
      <c r="M418" s="198"/>
      <c r="N418" s="202"/>
      <c r="P418" s="72"/>
      <c r="Q418" s="71"/>
      <c r="R418" s="53"/>
      <c r="S418" s="71"/>
      <c r="T418" s="53"/>
      <c r="U418" s="13"/>
      <c r="V418" s="72"/>
      <c r="W418" s="71"/>
      <c r="X418" s="53"/>
      <c r="Y418" s="71"/>
      <c r="Z418" s="53"/>
      <c r="AA418" s="13"/>
    </row>
    <row r="419" spans="10:27" x14ac:dyDescent="0.3">
      <c r="J419" s="197"/>
      <c r="K419" s="198"/>
      <c r="L419" s="196"/>
      <c r="M419" s="198"/>
      <c r="N419" s="202"/>
      <c r="P419" s="72"/>
      <c r="Q419" s="71"/>
      <c r="R419" s="53"/>
      <c r="S419" s="71"/>
      <c r="T419" s="53"/>
      <c r="U419" s="13"/>
      <c r="V419" s="72"/>
      <c r="W419" s="71"/>
      <c r="X419" s="53"/>
      <c r="Y419" s="71"/>
      <c r="Z419" s="53"/>
      <c r="AA419" s="13"/>
    </row>
    <row r="420" spans="10:27" x14ac:dyDescent="0.3">
      <c r="J420" s="197"/>
      <c r="K420" s="198"/>
      <c r="L420" s="196"/>
      <c r="M420" s="198"/>
      <c r="N420" s="202"/>
      <c r="P420" s="72"/>
      <c r="Q420" s="71"/>
      <c r="R420" s="53"/>
      <c r="S420" s="71"/>
      <c r="T420" s="53"/>
      <c r="U420" s="13"/>
      <c r="V420" s="72"/>
      <c r="W420" s="71"/>
      <c r="X420" s="53"/>
      <c r="Y420" s="71"/>
      <c r="Z420" s="53"/>
      <c r="AA420" s="13"/>
    </row>
    <row r="421" spans="10:27" x14ac:dyDescent="0.3">
      <c r="J421" s="197"/>
      <c r="K421" s="198"/>
      <c r="L421" s="196"/>
      <c r="M421" s="198"/>
      <c r="N421" s="202"/>
      <c r="P421" s="72"/>
      <c r="Q421" s="71"/>
      <c r="R421" s="53"/>
      <c r="S421" s="71"/>
      <c r="T421" s="53"/>
      <c r="U421" s="13"/>
      <c r="V421" s="72"/>
      <c r="W421" s="71"/>
      <c r="X421" s="53"/>
      <c r="Y421" s="71"/>
      <c r="Z421" s="53"/>
      <c r="AA421" s="13"/>
    </row>
    <row r="422" spans="10:27" x14ac:dyDescent="0.3">
      <c r="J422" s="197"/>
      <c r="K422" s="198"/>
      <c r="L422" s="196"/>
      <c r="M422" s="198"/>
      <c r="N422" s="202"/>
      <c r="P422" s="72"/>
      <c r="Q422" s="71"/>
      <c r="R422" s="53"/>
      <c r="S422" s="71"/>
      <c r="T422" s="53"/>
      <c r="U422" s="13"/>
      <c r="V422" s="72"/>
      <c r="W422" s="71"/>
      <c r="X422" s="53"/>
      <c r="Y422" s="71"/>
      <c r="Z422" s="53"/>
      <c r="AA422" s="13"/>
    </row>
    <row r="423" spans="10:27" x14ac:dyDescent="0.3">
      <c r="J423" s="197"/>
      <c r="K423" s="198"/>
      <c r="L423" s="196"/>
      <c r="M423" s="198"/>
      <c r="N423" s="202"/>
      <c r="P423" s="72"/>
      <c r="Q423" s="71"/>
      <c r="R423" s="53"/>
      <c r="S423" s="71"/>
      <c r="T423" s="53"/>
      <c r="U423" s="13"/>
      <c r="V423" s="72"/>
      <c r="W423" s="71"/>
      <c r="X423" s="53"/>
      <c r="Y423" s="71"/>
      <c r="Z423" s="53"/>
      <c r="AA423" s="13"/>
    </row>
    <row r="424" spans="10:27" x14ac:dyDescent="0.3">
      <c r="J424" s="197"/>
      <c r="K424" s="198"/>
      <c r="L424" s="196"/>
      <c r="M424" s="198"/>
      <c r="N424" s="202"/>
      <c r="P424" s="72"/>
      <c r="Q424" s="71"/>
      <c r="R424" s="53"/>
      <c r="S424" s="71"/>
      <c r="T424" s="53"/>
      <c r="U424" s="13"/>
      <c r="V424" s="72"/>
      <c r="W424" s="71"/>
      <c r="X424" s="53"/>
      <c r="Y424" s="71"/>
      <c r="Z424" s="53"/>
      <c r="AA424" s="13"/>
    </row>
    <row r="425" spans="10:27" x14ac:dyDescent="0.3">
      <c r="J425" s="197"/>
      <c r="K425" s="198"/>
      <c r="L425" s="196"/>
      <c r="M425" s="198"/>
      <c r="N425" s="202"/>
      <c r="P425" s="72"/>
      <c r="Q425" s="71"/>
      <c r="R425" s="53"/>
      <c r="S425" s="71"/>
      <c r="T425" s="53"/>
      <c r="U425" s="13"/>
      <c r="V425" s="72"/>
      <c r="W425" s="71"/>
      <c r="X425" s="53"/>
      <c r="Y425" s="71"/>
      <c r="Z425" s="53"/>
      <c r="AA425" s="13"/>
    </row>
    <row r="426" spans="10:27" x14ac:dyDescent="0.3">
      <c r="J426" s="197"/>
      <c r="K426" s="198"/>
      <c r="L426" s="196"/>
      <c r="M426" s="198"/>
      <c r="N426" s="202"/>
      <c r="P426" s="72"/>
      <c r="Q426" s="71"/>
      <c r="R426" s="53"/>
      <c r="S426" s="71"/>
      <c r="T426" s="53"/>
      <c r="U426" s="13"/>
      <c r="V426" s="72"/>
      <c r="W426" s="71"/>
      <c r="X426" s="53"/>
      <c r="Y426" s="71"/>
      <c r="Z426" s="53"/>
      <c r="AA426" s="13"/>
    </row>
    <row r="427" spans="10:27" x14ac:dyDescent="0.3">
      <c r="J427" s="197"/>
      <c r="K427" s="198"/>
      <c r="L427" s="196"/>
      <c r="M427" s="198"/>
      <c r="N427" s="202"/>
      <c r="P427" s="72"/>
      <c r="Q427" s="71"/>
      <c r="R427" s="53"/>
      <c r="S427" s="71"/>
      <c r="T427" s="53"/>
      <c r="U427" s="13"/>
      <c r="V427" s="72"/>
      <c r="W427" s="71"/>
      <c r="X427" s="53"/>
      <c r="Y427" s="71"/>
      <c r="Z427" s="53"/>
      <c r="AA427" s="13"/>
    </row>
    <row r="428" spans="10:27" x14ac:dyDescent="0.3">
      <c r="J428" s="197"/>
      <c r="K428" s="198"/>
      <c r="L428" s="196"/>
      <c r="M428" s="198"/>
      <c r="N428" s="202"/>
      <c r="P428" s="72"/>
      <c r="Q428" s="71"/>
      <c r="R428" s="53"/>
      <c r="S428" s="71"/>
      <c r="T428" s="53"/>
      <c r="U428" s="13"/>
      <c r="V428" s="72"/>
      <c r="W428" s="71"/>
      <c r="X428" s="53"/>
      <c r="Y428" s="71"/>
      <c r="Z428" s="53"/>
      <c r="AA428" s="13"/>
    </row>
    <row r="429" spans="10:27" x14ac:dyDescent="0.3">
      <c r="J429" s="197"/>
      <c r="K429" s="198"/>
      <c r="L429" s="196"/>
      <c r="M429" s="198"/>
      <c r="N429" s="202"/>
      <c r="P429" s="72"/>
      <c r="Q429" s="71"/>
      <c r="R429" s="53"/>
      <c r="S429" s="71"/>
      <c r="T429" s="53"/>
      <c r="U429" s="13"/>
      <c r="V429" s="72"/>
      <c r="W429" s="71"/>
      <c r="X429" s="53"/>
      <c r="Y429" s="71"/>
      <c r="Z429" s="53"/>
      <c r="AA429" s="13"/>
    </row>
    <row r="430" spans="10:27" x14ac:dyDescent="0.3">
      <c r="J430" s="197"/>
      <c r="K430" s="198"/>
      <c r="L430" s="196"/>
      <c r="M430" s="198"/>
      <c r="N430" s="202"/>
      <c r="P430" s="72"/>
      <c r="Q430" s="71"/>
      <c r="R430" s="53"/>
      <c r="S430" s="71"/>
      <c r="T430" s="53"/>
      <c r="U430" s="13"/>
      <c r="V430" s="72"/>
      <c r="W430" s="71"/>
      <c r="X430" s="53"/>
      <c r="Y430" s="71"/>
      <c r="Z430" s="53"/>
      <c r="AA430" s="13"/>
    </row>
    <row r="431" spans="10:27" x14ac:dyDescent="0.3">
      <c r="J431" s="197"/>
      <c r="K431" s="198"/>
      <c r="L431" s="196"/>
      <c r="M431" s="198"/>
      <c r="N431" s="202"/>
      <c r="P431" s="72"/>
      <c r="Q431" s="71"/>
      <c r="R431" s="53"/>
      <c r="S431" s="71"/>
      <c r="T431" s="53"/>
      <c r="U431" s="13"/>
      <c r="V431" s="72"/>
      <c r="W431" s="71"/>
      <c r="X431" s="53"/>
      <c r="Y431" s="71"/>
      <c r="Z431" s="53"/>
      <c r="AA431" s="13"/>
    </row>
    <row r="432" spans="10:27" x14ac:dyDescent="0.3">
      <c r="J432" s="197"/>
      <c r="K432" s="198"/>
      <c r="L432" s="196"/>
      <c r="M432" s="198"/>
      <c r="N432" s="202"/>
      <c r="P432" s="72"/>
      <c r="Q432" s="71"/>
      <c r="R432" s="53"/>
      <c r="S432" s="71"/>
      <c r="T432" s="53"/>
      <c r="U432" s="13"/>
      <c r="V432" s="72"/>
      <c r="W432" s="71"/>
      <c r="X432" s="53"/>
      <c r="Y432" s="71"/>
      <c r="Z432" s="53"/>
      <c r="AA432" s="13"/>
    </row>
    <row r="433" spans="10:27" x14ac:dyDescent="0.3">
      <c r="J433" s="197"/>
      <c r="K433" s="198"/>
      <c r="L433" s="196"/>
      <c r="M433" s="198"/>
      <c r="N433" s="202"/>
      <c r="P433" s="72"/>
      <c r="Q433" s="71"/>
      <c r="R433" s="53"/>
      <c r="S433" s="71"/>
      <c r="T433" s="53"/>
      <c r="U433" s="13"/>
      <c r="V433" s="72"/>
      <c r="W433" s="71"/>
      <c r="X433" s="53"/>
      <c r="Y433" s="71"/>
      <c r="Z433" s="53"/>
      <c r="AA433" s="13"/>
    </row>
    <row r="434" spans="10:27" x14ac:dyDescent="0.3">
      <c r="J434" s="197"/>
      <c r="K434" s="198"/>
      <c r="L434" s="196"/>
      <c r="M434" s="198"/>
      <c r="N434" s="202"/>
      <c r="P434" s="72"/>
      <c r="Q434" s="71"/>
      <c r="R434" s="53"/>
      <c r="S434" s="71"/>
      <c r="T434" s="53"/>
      <c r="U434" s="13"/>
      <c r="V434" s="72"/>
      <c r="W434" s="71"/>
      <c r="X434" s="53"/>
      <c r="Y434" s="71"/>
      <c r="Z434" s="53"/>
      <c r="AA434" s="13"/>
    </row>
    <row r="435" spans="10:27" x14ac:dyDescent="0.3">
      <c r="J435" s="197"/>
      <c r="K435" s="198"/>
      <c r="L435" s="196"/>
      <c r="M435" s="198"/>
      <c r="N435" s="202"/>
      <c r="P435" s="72"/>
      <c r="Q435" s="71"/>
      <c r="R435" s="53"/>
      <c r="S435" s="71"/>
      <c r="T435" s="53"/>
      <c r="U435" s="13"/>
      <c r="V435" s="72"/>
      <c r="W435" s="71"/>
      <c r="X435" s="53"/>
      <c r="Y435" s="71"/>
      <c r="Z435" s="53"/>
      <c r="AA435" s="13"/>
    </row>
    <row r="436" spans="10:27" x14ac:dyDescent="0.3">
      <c r="J436" s="197"/>
      <c r="K436" s="198"/>
      <c r="L436" s="196"/>
      <c r="M436" s="198"/>
      <c r="N436" s="202"/>
      <c r="P436" s="72"/>
      <c r="Q436" s="71"/>
      <c r="R436" s="53"/>
      <c r="S436" s="71"/>
      <c r="T436" s="53"/>
      <c r="U436" s="13"/>
      <c r="V436" s="72"/>
      <c r="W436" s="71"/>
      <c r="X436" s="53"/>
      <c r="Y436" s="71"/>
      <c r="Z436" s="53"/>
      <c r="AA436" s="13"/>
    </row>
    <row r="437" spans="10:27" x14ac:dyDescent="0.3">
      <c r="J437" s="197"/>
      <c r="K437" s="198"/>
      <c r="L437" s="196"/>
      <c r="M437" s="198"/>
      <c r="N437" s="202"/>
      <c r="P437" s="72"/>
      <c r="Q437" s="71"/>
      <c r="R437" s="53"/>
      <c r="S437" s="71"/>
      <c r="T437" s="53"/>
      <c r="U437" s="13"/>
      <c r="V437" s="72"/>
      <c r="W437" s="71"/>
      <c r="X437" s="53"/>
      <c r="Y437" s="71"/>
      <c r="Z437" s="53"/>
      <c r="AA437" s="13"/>
    </row>
    <row r="438" spans="10:27" x14ac:dyDescent="0.3">
      <c r="J438" s="197"/>
      <c r="K438" s="198"/>
      <c r="L438" s="196"/>
      <c r="M438" s="198"/>
      <c r="N438" s="202"/>
      <c r="P438" s="72"/>
      <c r="Q438" s="71"/>
      <c r="R438" s="53"/>
      <c r="S438" s="71"/>
      <c r="T438" s="53"/>
      <c r="U438" s="13"/>
      <c r="V438" s="72"/>
      <c r="W438" s="71"/>
      <c r="X438" s="53"/>
      <c r="Y438" s="71"/>
      <c r="Z438" s="53"/>
      <c r="AA438" s="13"/>
    </row>
    <row r="439" spans="10:27" x14ac:dyDescent="0.3">
      <c r="J439" s="197"/>
      <c r="K439" s="198"/>
      <c r="L439" s="196"/>
      <c r="M439" s="198"/>
      <c r="N439" s="202"/>
      <c r="P439" s="72"/>
      <c r="Q439" s="71"/>
      <c r="R439" s="53"/>
      <c r="S439" s="71"/>
      <c r="T439" s="53"/>
      <c r="U439" s="13"/>
      <c r="V439" s="72"/>
      <c r="W439" s="71"/>
      <c r="X439" s="53"/>
      <c r="Y439" s="71"/>
      <c r="Z439" s="53"/>
      <c r="AA439" s="13"/>
    </row>
    <row r="440" spans="10:27" x14ac:dyDescent="0.3">
      <c r="J440" s="197"/>
      <c r="K440" s="198"/>
      <c r="L440" s="196"/>
      <c r="M440" s="198"/>
      <c r="N440" s="202"/>
      <c r="P440" s="72"/>
      <c r="Q440" s="71"/>
      <c r="R440" s="53"/>
      <c r="S440" s="71"/>
      <c r="T440" s="53"/>
      <c r="U440" s="13"/>
      <c r="V440" s="72"/>
      <c r="W440" s="71"/>
      <c r="X440" s="53"/>
      <c r="Y440" s="71"/>
      <c r="Z440" s="53"/>
      <c r="AA440" s="13"/>
    </row>
    <row r="441" spans="10:27" x14ac:dyDescent="0.3">
      <c r="J441" s="197"/>
      <c r="K441" s="198"/>
      <c r="L441" s="196"/>
      <c r="M441" s="198"/>
      <c r="N441" s="202"/>
      <c r="P441" s="72"/>
      <c r="Q441" s="71"/>
      <c r="R441" s="53"/>
      <c r="S441" s="71"/>
      <c r="T441" s="53"/>
      <c r="U441" s="13"/>
      <c r="V441" s="72"/>
      <c r="W441" s="71"/>
      <c r="X441" s="53"/>
      <c r="Y441" s="71"/>
      <c r="Z441" s="53"/>
      <c r="AA441" s="13"/>
    </row>
    <row r="442" spans="10:27" x14ac:dyDescent="0.3">
      <c r="J442" s="197"/>
      <c r="K442" s="198"/>
      <c r="L442" s="196"/>
      <c r="M442" s="198"/>
      <c r="N442" s="202"/>
      <c r="P442" s="72"/>
      <c r="Q442" s="71"/>
      <c r="R442" s="53"/>
      <c r="S442" s="71"/>
      <c r="T442" s="53"/>
      <c r="U442" s="13"/>
      <c r="V442" s="72"/>
      <c r="W442" s="71"/>
      <c r="X442" s="53"/>
      <c r="Y442" s="71"/>
      <c r="Z442" s="53"/>
      <c r="AA442" s="13"/>
    </row>
    <row r="443" spans="10:27" x14ac:dyDescent="0.3">
      <c r="J443" s="197"/>
      <c r="K443" s="198"/>
      <c r="L443" s="196"/>
      <c r="M443" s="198"/>
      <c r="N443" s="202"/>
      <c r="P443" s="72"/>
      <c r="Q443" s="71"/>
      <c r="R443" s="53"/>
      <c r="S443" s="71"/>
      <c r="T443" s="53"/>
      <c r="U443" s="13"/>
      <c r="V443" s="72"/>
      <c r="W443" s="71"/>
      <c r="X443" s="53"/>
      <c r="Y443" s="71"/>
      <c r="Z443" s="53"/>
      <c r="AA443" s="13"/>
    </row>
    <row r="444" spans="10:27" x14ac:dyDescent="0.3">
      <c r="J444" s="197"/>
      <c r="K444" s="198"/>
      <c r="L444" s="196"/>
      <c r="M444" s="198"/>
      <c r="N444" s="202"/>
      <c r="P444" s="72"/>
      <c r="Q444" s="71"/>
      <c r="R444" s="53"/>
      <c r="S444" s="71"/>
      <c r="T444" s="53"/>
      <c r="U444" s="13"/>
      <c r="V444" s="72"/>
      <c r="W444" s="71"/>
      <c r="X444" s="53"/>
      <c r="Y444" s="71"/>
      <c r="Z444" s="53"/>
      <c r="AA444" s="13"/>
    </row>
    <row r="445" spans="10:27" x14ac:dyDescent="0.3">
      <c r="J445" s="197"/>
      <c r="K445" s="198"/>
      <c r="L445" s="196"/>
      <c r="M445" s="198"/>
      <c r="N445" s="202"/>
      <c r="P445" s="72"/>
      <c r="Q445" s="71"/>
      <c r="R445" s="53"/>
      <c r="S445" s="71"/>
      <c r="T445" s="53"/>
      <c r="U445" s="13"/>
      <c r="V445" s="72"/>
      <c r="W445" s="71"/>
      <c r="X445" s="53"/>
      <c r="Y445" s="71"/>
      <c r="Z445" s="53"/>
      <c r="AA445" s="13"/>
    </row>
    <row r="446" spans="10:27" x14ac:dyDescent="0.3">
      <c r="J446" s="197"/>
      <c r="K446" s="198"/>
      <c r="L446" s="196"/>
      <c r="M446" s="198"/>
      <c r="N446" s="202"/>
      <c r="P446" s="72"/>
      <c r="Q446" s="71"/>
      <c r="R446" s="53"/>
      <c r="S446" s="71"/>
      <c r="T446" s="53"/>
      <c r="U446" s="13"/>
      <c r="V446" s="72"/>
      <c r="W446" s="71"/>
      <c r="X446" s="53"/>
      <c r="Y446" s="71"/>
      <c r="Z446" s="53"/>
      <c r="AA446" s="13"/>
    </row>
    <row r="447" spans="10:27" x14ac:dyDescent="0.3">
      <c r="J447" s="197"/>
      <c r="K447" s="198"/>
      <c r="L447" s="196"/>
      <c r="M447" s="198"/>
      <c r="N447" s="202"/>
      <c r="P447" s="72"/>
      <c r="Q447" s="71"/>
      <c r="R447" s="53"/>
      <c r="S447" s="71"/>
      <c r="T447" s="53"/>
      <c r="U447" s="13"/>
      <c r="V447" s="72"/>
      <c r="W447" s="71"/>
      <c r="X447" s="53"/>
      <c r="Y447" s="71"/>
      <c r="Z447" s="53"/>
      <c r="AA447" s="13"/>
    </row>
    <row r="448" spans="10:27" x14ac:dyDescent="0.3">
      <c r="J448" s="197"/>
      <c r="K448" s="198"/>
      <c r="L448" s="196"/>
      <c r="M448" s="198"/>
      <c r="N448" s="202"/>
      <c r="P448" s="72"/>
      <c r="Q448" s="71"/>
      <c r="R448" s="53"/>
      <c r="S448" s="71"/>
      <c r="T448" s="53"/>
      <c r="U448" s="13"/>
      <c r="V448" s="72"/>
      <c r="W448" s="71"/>
      <c r="X448" s="53"/>
      <c r="Y448" s="71"/>
      <c r="Z448" s="53"/>
      <c r="AA448" s="13"/>
    </row>
    <row r="449" spans="10:27" x14ac:dyDescent="0.3">
      <c r="J449" s="197"/>
      <c r="K449" s="198"/>
      <c r="L449" s="196"/>
      <c r="M449" s="198"/>
      <c r="N449" s="202"/>
      <c r="P449" s="72"/>
      <c r="Q449" s="71"/>
      <c r="R449" s="53"/>
      <c r="S449" s="71"/>
      <c r="T449" s="53"/>
      <c r="U449" s="13"/>
      <c r="V449" s="72"/>
      <c r="W449" s="71"/>
      <c r="X449" s="53"/>
      <c r="Y449" s="71"/>
      <c r="Z449" s="53"/>
      <c r="AA449" s="13"/>
    </row>
    <row r="450" spans="10:27" x14ac:dyDescent="0.3">
      <c r="J450" s="197"/>
      <c r="K450" s="198"/>
      <c r="L450" s="196"/>
      <c r="M450" s="198"/>
      <c r="N450" s="202"/>
      <c r="P450" s="72"/>
      <c r="Q450" s="71"/>
      <c r="R450" s="53"/>
      <c r="S450" s="71"/>
      <c r="T450" s="53"/>
      <c r="U450" s="13"/>
      <c r="V450" s="72"/>
      <c r="W450" s="71"/>
      <c r="X450" s="53"/>
      <c r="Y450" s="71"/>
      <c r="Z450" s="53"/>
      <c r="AA450" s="13"/>
    </row>
    <row r="451" spans="10:27" x14ac:dyDescent="0.3">
      <c r="J451" s="197"/>
      <c r="K451" s="198"/>
      <c r="L451" s="196"/>
      <c r="M451" s="198"/>
      <c r="N451" s="202"/>
      <c r="P451" s="72"/>
      <c r="Q451" s="71"/>
      <c r="R451" s="53"/>
      <c r="S451" s="71"/>
      <c r="T451" s="53"/>
      <c r="U451" s="13"/>
      <c r="V451" s="72"/>
      <c r="W451" s="71"/>
      <c r="X451" s="53"/>
      <c r="Y451" s="71"/>
      <c r="Z451" s="53"/>
      <c r="AA451" s="13"/>
    </row>
    <row r="452" spans="10:27" x14ac:dyDescent="0.3">
      <c r="J452" s="197"/>
      <c r="K452" s="198"/>
      <c r="L452" s="196"/>
      <c r="M452" s="198"/>
      <c r="N452" s="202"/>
      <c r="P452" s="72"/>
      <c r="Q452" s="71"/>
      <c r="R452" s="53"/>
      <c r="S452" s="71"/>
      <c r="T452" s="53"/>
      <c r="U452" s="13"/>
      <c r="V452" s="72"/>
      <c r="W452" s="71"/>
      <c r="X452" s="53"/>
      <c r="Y452" s="71"/>
      <c r="Z452" s="53"/>
      <c r="AA452" s="13"/>
    </row>
    <row r="453" spans="10:27" x14ac:dyDescent="0.3">
      <c r="J453" s="197"/>
      <c r="K453" s="198"/>
      <c r="L453" s="196"/>
      <c r="M453" s="198"/>
      <c r="N453" s="202"/>
      <c r="P453" s="72"/>
      <c r="Q453" s="71"/>
      <c r="R453" s="53"/>
      <c r="S453" s="71"/>
      <c r="T453" s="53"/>
      <c r="U453" s="13"/>
      <c r="V453" s="72"/>
      <c r="W453" s="71"/>
      <c r="X453" s="53"/>
      <c r="Y453" s="71"/>
      <c r="Z453" s="53"/>
      <c r="AA453" s="13"/>
    </row>
    <row r="454" spans="10:27" x14ac:dyDescent="0.3">
      <c r="J454" s="197"/>
      <c r="K454" s="198"/>
      <c r="L454" s="196"/>
      <c r="M454" s="198"/>
      <c r="N454" s="202"/>
      <c r="P454" s="72"/>
      <c r="Q454" s="71"/>
      <c r="R454" s="53"/>
      <c r="S454" s="71"/>
      <c r="T454" s="53"/>
      <c r="U454" s="13"/>
      <c r="V454" s="72"/>
      <c r="W454" s="71"/>
      <c r="X454" s="53"/>
      <c r="Y454" s="71"/>
      <c r="Z454" s="53"/>
      <c r="AA454" s="13"/>
    </row>
    <row r="455" spans="10:27" x14ac:dyDescent="0.3">
      <c r="J455" s="197"/>
      <c r="K455" s="198"/>
      <c r="L455" s="196"/>
      <c r="M455" s="198"/>
      <c r="N455" s="202"/>
      <c r="P455" s="72"/>
      <c r="Q455" s="71"/>
      <c r="R455" s="53"/>
      <c r="S455" s="71"/>
      <c r="T455" s="53"/>
      <c r="U455" s="13"/>
      <c r="V455" s="72"/>
      <c r="W455" s="71"/>
      <c r="X455" s="53"/>
      <c r="Y455" s="71"/>
      <c r="Z455" s="53"/>
      <c r="AA455" s="13"/>
    </row>
    <row r="456" spans="10:27" x14ac:dyDescent="0.3">
      <c r="J456" s="197"/>
      <c r="K456" s="198"/>
      <c r="L456" s="196"/>
      <c r="M456" s="198"/>
      <c r="N456" s="202"/>
      <c r="P456" s="72"/>
      <c r="Q456" s="71"/>
      <c r="R456" s="53"/>
      <c r="S456" s="71"/>
      <c r="T456" s="53"/>
      <c r="U456" s="13"/>
      <c r="V456" s="72"/>
      <c r="W456" s="71"/>
      <c r="X456" s="53"/>
      <c r="Y456" s="71"/>
      <c r="Z456" s="53"/>
      <c r="AA456" s="13"/>
    </row>
    <row r="457" spans="10:27" x14ac:dyDescent="0.3">
      <c r="J457" s="197"/>
      <c r="K457" s="198"/>
      <c r="L457" s="196"/>
      <c r="M457" s="198"/>
      <c r="N457" s="202"/>
      <c r="P457" s="72"/>
      <c r="Q457" s="71"/>
      <c r="R457" s="53"/>
      <c r="S457" s="71"/>
      <c r="T457" s="53"/>
      <c r="U457" s="13"/>
      <c r="V457" s="72"/>
      <c r="W457" s="71"/>
      <c r="X457" s="53"/>
      <c r="Y457" s="71"/>
      <c r="Z457" s="53"/>
      <c r="AA457" s="13"/>
    </row>
    <row r="458" spans="10:27" x14ac:dyDescent="0.3">
      <c r="J458" s="197"/>
      <c r="K458" s="198"/>
      <c r="L458" s="196"/>
      <c r="M458" s="198"/>
      <c r="N458" s="202"/>
      <c r="P458" s="72"/>
      <c r="Q458" s="71"/>
      <c r="R458" s="53"/>
      <c r="S458" s="71"/>
      <c r="T458" s="53"/>
      <c r="U458" s="13"/>
      <c r="V458" s="72"/>
      <c r="W458" s="71"/>
      <c r="X458" s="53"/>
      <c r="Y458" s="71"/>
      <c r="Z458" s="53"/>
      <c r="AA458" s="13"/>
    </row>
    <row r="459" spans="10:27" x14ac:dyDescent="0.3">
      <c r="J459" s="197"/>
      <c r="K459" s="198"/>
      <c r="L459" s="196"/>
      <c r="M459" s="198"/>
      <c r="N459" s="202"/>
      <c r="P459" s="72"/>
      <c r="Q459" s="71"/>
      <c r="R459" s="53"/>
      <c r="S459" s="71"/>
      <c r="T459" s="53"/>
      <c r="U459" s="13"/>
      <c r="V459" s="72"/>
      <c r="W459" s="71"/>
      <c r="X459" s="53"/>
      <c r="Y459" s="71"/>
      <c r="Z459" s="53"/>
      <c r="AA459" s="13"/>
    </row>
    <row r="460" spans="10:27" x14ac:dyDescent="0.3">
      <c r="J460" s="197"/>
      <c r="K460" s="198"/>
      <c r="L460" s="196"/>
      <c r="M460" s="198"/>
      <c r="N460" s="202"/>
      <c r="P460" s="72"/>
      <c r="Q460" s="71"/>
      <c r="R460" s="53"/>
      <c r="S460" s="71"/>
      <c r="T460" s="53"/>
      <c r="U460" s="13"/>
      <c r="V460" s="72"/>
      <c r="W460" s="71"/>
      <c r="X460" s="53"/>
      <c r="Y460" s="71"/>
      <c r="Z460" s="53"/>
      <c r="AA460" s="13"/>
    </row>
    <row r="461" spans="10:27" x14ac:dyDescent="0.3">
      <c r="J461" s="197"/>
      <c r="K461" s="198"/>
      <c r="L461" s="196"/>
      <c r="M461" s="198"/>
      <c r="N461" s="202"/>
      <c r="P461" s="72"/>
      <c r="Q461" s="71"/>
      <c r="R461" s="53"/>
      <c r="S461" s="71"/>
      <c r="T461" s="53"/>
      <c r="U461" s="13"/>
      <c r="V461" s="72"/>
      <c r="W461" s="71"/>
      <c r="X461" s="53"/>
      <c r="Y461" s="71"/>
      <c r="Z461" s="53"/>
      <c r="AA461" s="13"/>
    </row>
    <row r="462" spans="10:27" x14ac:dyDescent="0.3">
      <c r="J462" s="197"/>
      <c r="K462" s="198"/>
      <c r="L462" s="196"/>
      <c r="M462" s="198"/>
      <c r="N462" s="202"/>
      <c r="P462" s="72"/>
      <c r="Q462" s="71"/>
      <c r="R462" s="53"/>
      <c r="S462" s="71"/>
      <c r="T462" s="53"/>
      <c r="U462" s="13"/>
      <c r="V462" s="72"/>
      <c r="W462" s="71"/>
      <c r="X462" s="53"/>
      <c r="Y462" s="71"/>
      <c r="Z462" s="53"/>
      <c r="AA462" s="13"/>
    </row>
    <row r="463" spans="10:27" x14ac:dyDescent="0.3">
      <c r="J463" s="197"/>
      <c r="K463" s="198"/>
      <c r="L463" s="196"/>
      <c r="M463" s="198"/>
      <c r="N463" s="202"/>
      <c r="P463" s="72"/>
      <c r="Q463" s="71"/>
      <c r="R463" s="53"/>
      <c r="S463" s="71"/>
      <c r="T463" s="53"/>
      <c r="U463" s="13"/>
      <c r="V463" s="72"/>
      <c r="W463" s="71"/>
      <c r="X463" s="53"/>
      <c r="Y463" s="71"/>
      <c r="Z463" s="53"/>
      <c r="AA463" s="13"/>
    </row>
    <row r="464" spans="10:27" x14ac:dyDescent="0.3">
      <c r="J464" s="197"/>
      <c r="K464" s="198"/>
      <c r="L464" s="196"/>
      <c r="M464" s="198"/>
      <c r="N464" s="202"/>
      <c r="P464" s="72"/>
      <c r="Q464" s="71"/>
      <c r="R464" s="53"/>
      <c r="S464" s="71"/>
      <c r="T464" s="53"/>
      <c r="U464" s="13"/>
      <c r="V464" s="72"/>
      <c r="W464" s="71"/>
      <c r="X464" s="53"/>
      <c r="Y464" s="71"/>
      <c r="Z464" s="53"/>
      <c r="AA464" s="13"/>
    </row>
    <row r="465" spans="10:27" x14ac:dyDescent="0.3">
      <c r="J465" s="197"/>
      <c r="K465" s="198"/>
      <c r="L465" s="196"/>
      <c r="M465" s="198"/>
      <c r="N465" s="202"/>
      <c r="P465" s="72"/>
      <c r="Q465" s="71"/>
      <c r="R465" s="53"/>
      <c r="S465" s="71"/>
      <c r="T465" s="53"/>
      <c r="U465" s="13"/>
      <c r="V465" s="72"/>
      <c r="W465" s="71"/>
      <c r="X465" s="53"/>
      <c r="Y465" s="71"/>
      <c r="Z465" s="53"/>
      <c r="AA465" s="13"/>
    </row>
    <row r="466" spans="10:27" x14ac:dyDescent="0.3">
      <c r="J466" s="197"/>
      <c r="K466" s="198"/>
      <c r="L466" s="196"/>
      <c r="M466" s="198"/>
      <c r="N466" s="202"/>
      <c r="P466" s="72"/>
      <c r="Q466" s="71"/>
      <c r="R466" s="53"/>
      <c r="S466" s="71"/>
      <c r="T466" s="53"/>
      <c r="U466" s="13"/>
      <c r="V466" s="72"/>
      <c r="W466" s="71"/>
      <c r="X466" s="53"/>
      <c r="Y466" s="71"/>
      <c r="Z466" s="53"/>
      <c r="AA466" s="13"/>
    </row>
    <row r="467" spans="10:27" x14ac:dyDescent="0.3">
      <c r="J467" s="197"/>
      <c r="K467" s="198"/>
      <c r="L467" s="196"/>
      <c r="M467" s="198"/>
      <c r="N467" s="202"/>
      <c r="P467" s="72"/>
      <c r="Q467" s="71"/>
      <c r="R467" s="53"/>
      <c r="S467" s="71"/>
      <c r="T467" s="53"/>
      <c r="U467" s="13"/>
      <c r="V467" s="72"/>
      <c r="W467" s="71"/>
      <c r="X467" s="53"/>
      <c r="Y467" s="71"/>
      <c r="Z467" s="53"/>
      <c r="AA467" s="13"/>
    </row>
    <row r="468" spans="10:27" x14ac:dyDescent="0.3">
      <c r="J468" s="197"/>
      <c r="K468" s="198"/>
      <c r="L468" s="196"/>
      <c r="M468" s="198"/>
      <c r="N468" s="202"/>
      <c r="P468" s="72"/>
      <c r="Q468" s="71"/>
      <c r="R468" s="53"/>
      <c r="S468" s="71"/>
      <c r="T468" s="53"/>
      <c r="U468" s="13"/>
      <c r="V468" s="72"/>
      <c r="W468" s="71"/>
      <c r="X468" s="53"/>
      <c r="Y468" s="71"/>
      <c r="Z468" s="53"/>
      <c r="AA468" s="13"/>
    </row>
    <row r="469" spans="10:27" x14ac:dyDescent="0.3">
      <c r="J469" s="197"/>
      <c r="K469" s="198"/>
      <c r="L469" s="196"/>
      <c r="M469" s="198"/>
      <c r="N469" s="202"/>
      <c r="P469" s="72"/>
      <c r="Q469" s="71"/>
      <c r="R469" s="53"/>
      <c r="S469" s="71"/>
      <c r="T469" s="53"/>
      <c r="U469" s="13"/>
      <c r="V469" s="72"/>
      <c r="W469" s="71"/>
      <c r="X469" s="53"/>
      <c r="Y469" s="71"/>
      <c r="Z469" s="53"/>
      <c r="AA469" s="13"/>
    </row>
    <row r="470" spans="10:27" x14ac:dyDescent="0.3">
      <c r="J470" s="197"/>
      <c r="K470" s="198"/>
      <c r="L470" s="196"/>
      <c r="M470" s="198"/>
      <c r="N470" s="202"/>
      <c r="P470" s="72"/>
      <c r="Q470" s="71"/>
      <c r="R470" s="53"/>
      <c r="S470" s="71"/>
      <c r="T470" s="53"/>
      <c r="U470" s="13"/>
      <c r="V470" s="72"/>
      <c r="W470" s="71"/>
      <c r="X470" s="53"/>
      <c r="Y470" s="71"/>
      <c r="Z470" s="53"/>
      <c r="AA470" s="13"/>
    </row>
    <row r="471" spans="10:27" x14ac:dyDescent="0.3">
      <c r="J471" s="197"/>
      <c r="K471" s="198"/>
      <c r="L471" s="196"/>
      <c r="M471" s="198"/>
      <c r="N471" s="202"/>
      <c r="P471" s="72"/>
      <c r="Q471" s="71"/>
      <c r="R471" s="53"/>
      <c r="S471" s="71"/>
      <c r="T471" s="53"/>
      <c r="U471" s="13"/>
      <c r="V471" s="72"/>
      <c r="W471" s="71"/>
      <c r="X471" s="53"/>
      <c r="Y471" s="71"/>
      <c r="Z471" s="53"/>
      <c r="AA471" s="13"/>
    </row>
    <row r="472" spans="10:27" x14ac:dyDescent="0.3">
      <c r="J472" s="197"/>
      <c r="K472" s="198"/>
      <c r="L472" s="196"/>
      <c r="M472" s="198"/>
      <c r="N472" s="202"/>
      <c r="P472" s="72"/>
      <c r="Q472" s="71"/>
      <c r="R472" s="53"/>
      <c r="S472" s="71"/>
      <c r="T472" s="53"/>
      <c r="U472" s="13"/>
      <c r="V472" s="72"/>
      <c r="W472" s="71"/>
      <c r="X472" s="53"/>
      <c r="Y472" s="71"/>
      <c r="Z472" s="53"/>
      <c r="AA472" s="13"/>
    </row>
    <row r="473" spans="10:27" x14ac:dyDescent="0.3">
      <c r="J473" s="197"/>
      <c r="K473" s="198"/>
      <c r="L473" s="196"/>
      <c r="M473" s="198"/>
      <c r="N473" s="202"/>
      <c r="P473" s="72"/>
      <c r="Q473" s="71"/>
      <c r="R473" s="53"/>
      <c r="S473" s="71"/>
      <c r="T473" s="53"/>
      <c r="U473" s="13"/>
      <c r="V473" s="72"/>
      <c r="W473" s="71"/>
      <c r="X473" s="53"/>
      <c r="Y473" s="71"/>
      <c r="Z473" s="53"/>
      <c r="AA473" s="13"/>
    </row>
    <row r="474" spans="10:27" x14ac:dyDescent="0.3">
      <c r="J474" s="197"/>
      <c r="K474" s="198"/>
      <c r="L474" s="196"/>
      <c r="M474" s="198"/>
      <c r="N474" s="202"/>
      <c r="P474" s="72"/>
      <c r="Q474" s="71"/>
      <c r="R474" s="53"/>
      <c r="S474" s="71"/>
      <c r="T474" s="53"/>
      <c r="U474" s="13"/>
      <c r="V474" s="72"/>
      <c r="W474" s="71"/>
      <c r="X474" s="53"/>
      <c r="Y474" s="71"/>
      <c r="Z474" s="53"/>
      <c r="AA474" s="13"/>
    </row>
    <row r="475" spans="10:27" x14ac:dyDescent="0.3">
      <c r="J475" s="197"/>
      <c r="K475" s="198"/>
      <c r="L475" s="196"/>
      <c r="M475" s="198"/>
      <c r="N475" s="202"/>
      <c r="P475" s="72"/>
      <c r="Q475" s="71"/>
      <c r="R475" s="53"/>
      <c r="S475" s="71"/>
      <c r="T475" s="53"/>
      <c r="U475" s="13"/>
      <c r="V475" s="72"/>
      <c r="W475" s="71"/>
      <c r="X475" s="53"/>
      <c r="Y475" s="71"/>
      <c r="Z475" s="53"/>
      <c r="AA475" s="13"/>
    </row>
    <row r="476" spans="10:27" x14ac:dyDescent="0.3">
      <c r="J476" s="197"/>
      <c r="K476" s="198"/>
      <c r="L476" s="196"/>
      <c r="M476" s="198"/>
      <c r="N476" s="202"/>
      <c r="P476" s="72"/>
      <c r="Q476" s="71"/>
      <c r="R476" s="53"/>
      <c r="S476" s="71"/>
      <c r="T476" s="53"/>
      <c r="U476" s="13"/>
      <c r="V476" s="72"/>
      <c r="W476" s="71"/>
      <c r="X476" s="53"/>
      <c r="Y476" s="71"/>
      <c r="Z476" s="53"/>
      <c r="AA476" s="13"/>
    </row>
    <row r="477" spans="10:27" x14ac:dyDescent="0.3">
      <c r="J477" s="197"/>
      <c r="K477" s="198"/>
      <c r="L477" s="196"/>
      <c r="M477" s="198"/>
      <c r="N477" s="202"/>
      <c r="P477" s="72"/>
      <c r="Q477" s="71"/>
      <c r="R477" s="53"/>
      <c r="S477" s="71"/>
      <c r="T477" s="53"/>
      <c r="U477" s="13"/>
      <c r="V477" s="72"/>
      <c r="W477" s="71"/>
      <c r="X477" s="53"/>
      <c r="Y477" s="71"/>
      <c r="Z477" s="53"/>
      <c r="AA477" s="13"/>
    </row>
    <row r="478" spans="10:27" x14ac:dyDescent="0.3">
      <c r="J478" s="197"/>
      <c r="K478" s="198"/>
      <c r="L478" s="196"/>
      <c r="M478" s="198"/>
      <c r="N478" s="202"/>
      <c r="P478" s="72"/>
      <c r="Q478" s="71"/>
      <c r="R478" s="53"/>
      <c r="S478" s="71"/>
      <c r="T478" s="53"/>
      <c r="U478" s="13"/>
      <c r="V478" s="72"/>
      <c r="W478" s="71"/>
      <c r="X478" s="53"/>
      <c r="Y478" s="71"/>
      <c r="Z478" s="53"/>
      <c r="AA478" s="13"/>
    </row>
    <row r="479" spans="10:27" x14ac:dyDescent="0.3">
      <c r="J479" s="197"/>
      <c r="K479" s="198"/>
      <c r="L479" s="196"/>
      <c r="M479" s="198"/>
      <c r="N479" s="202"/>
      <c r="P479" s="72"/>
      <c r="Q479" s="71"/>
      <c r="R479" s="53"/>
      <c r="S479" s="71"/>
      <c r="T479" s="53"/>
      <c r="U479" s="13"/>
      <c r="V479" s="72"/>
      <c r="W479" s="71"/>
      <c r="X479" s="53"/>
      <c r="Y479" s="71"/>
      <c r="Z479" s="53"/>
      <c r="AA479" s="13"/>
    </row>
    <row r="480" spans="10:27" x14ac:dyDescent="0.3">
      <c r="J480" s="197"/>
      <c r="K480" s="198"/>
      <c r="L480" s="196"/>
      <c r="M480" s="198"/>
      <c r="N480" s="202"/>
      <c r="P480" s="72"/>
      <c r="Q480" s="71"/>
      <c r="R480" s="53"/>
      <c r="S480" s="71"/>
      <c r="T480" s="53"/>
      <c r="U480" s="13"/>
      <c r="V480" s="72"/>
      <c r="W480" s="71"/>
      <c r="X480" s="53"/>
      <c r="Y480" s="71"/>
      <c r="Z480" s="53"/>
      <c r="AA480" s="13"/>
    </row>
    <row r="481" spans="10:27" x14ac:dyDescent="0.3">
      <c r="J481" s="197"/>
      <c r="K481" s="198"/>
      <c r="L481" s="196"/>
      <c r="M481" s="198"/>
      <c r="N481" s="202"/>
      <c r="P481" s="72"/>
      <c r="Q481" s="71"/>
      <c r="R481" s="53"/>
      <c r="S481" s="71"/>
      <c r="T481" s="53"/>
      <c r="U481" s="13"/>
      <c r="V481" s="72"/>
      <c r="W481" s="71"/>
      <c r="X481" s="53"/>
      <c r="Y481" s="71"/>
      <c r="Z481" s="53"/>
      <c r="AA481" s="13"/>
    </row>
    <row r="482" spans="10:27" x14ac:dyDescent="0.3">
      <c r="J482" s="197"/>
      <c r="K482" s="198"/>
      <c r="L482" s="196"/>
      <c r="M482" s="198"/>
      <c r="N482" s="202"/>
      <c r="P482" s="72"/>
      <c r="Q482" s="71"/>
      <c r="R482" s="53"/>
      <c r="S482" s="71"/>
      <c r="T482" s="53"/>
      <c r="U482" s="13"/>
      <c r="V482" s="72"/>
      <c r="W482" s="71"/>
      <c r="X482" s="53"/>
      <c r="Y482" s="71"/>
      <c r="Z482" s="53"/>
      <c r="AA482" s="13"/>
    </row>
    <row r="483" spans="10:27" x14ac:dyDescent="0.3">
      <c r="J483" s="197"/>
      <c r="K483" s="198"/>
      <c r="L483" s="196"/>
      <c r="M483" s="198"/>
      <c r="N483" s="202"/>
      <c r="P483" s="72"/>
      <c r="Q483" s="71"/>
      <c r="R483" s="53"/>
      <c r="S483" s="71"/>
      <c r="T483" s="53"/>
      <c r="U483" s="13"/>
      <c r="V483" s="72"/>
      <c r="W483" s="71"/>
      <c r="X483" s="53"/>
      <c r="Y483" s="71"/>
      <c r="Z483" s="53"/>
      <c r="AA483" s="13"/>
    </row>
    <row r="484" spans="10:27" x14ac:dyDescent="0.3">
      <c r="J484" s="197"/>
      <c r="K484" s="198"/>
      <c r="L484" s="196"/>
      <c r="M484" s="198"/>
      <c r="N484" s="202"/>
      <c r="P484" s="72"/>
      <c r="Q484" s="71"/>
      <c r="R484" s="53"/>
      <c r="S484" s="71"/>
      <c r="T484" s="53"/>
      <c r="U484" s="13"/>
      <c r="V484" s="72"/>
      <c r="W484" s="71"/>
      <c r="X484" s="53"/>
      <c r="Y484" s="71"/>
      <c r="Z484" s="53"/>
      <c r="AA484" s="13"/>
    </row>
    <row r="485" spans="10:27" x14ac:dyDescent="0.3">
      <c r="J485" s="197"/>
      <c r="K485" s="198"/>
      <c r="L485" s="196"/>
      <c r="M485" s="198"/>
      <c r="N485" s="202"/>
      <c r="P485" s="72"/>
      <c r="Q485" s="71"/>
      <c r="R485" s="53"/>
      <c r="S485" s="71"/>
      <c r="T485" s="53"/>
      <c r="U485" s="13"/>
      <c r="V485" s="72"/>
      <c r="W485" s="71"/>
      <c r="X485" s="53"/>
      <c r="Y485" s="71"/>
      <c r="Z485" s="53"/>
      <c r="AA485" s="13"/>
    </row>
    <row r="486" spans="10:27" x14ac:dyDescent="0.3">
      <c r="J486" s="197"/>
      <c r="K486" s="198"/>
      <c r="L486" s="196"/>
      <c r="M486" s="198"/>
      <c r="N486" s="202"/>
      <c r="P486" s="72"/>
      <c r="Q486" s="71"/>
      <c r="R486" s="53"/>
      <c r="S486" s="71"/>
      <c r="T486" s="53"/>
      <c r="U486" s="13"/>
      <c r="V486" s="72"/>
      <c r="W486" s="71"/>
      <c r="X486" s="53"/>
      <c r="Y486" s="71"/>
      <c r="Z486" s="53"/>
      <c r="AA486" s="13"/>
    </row>
    <row r="487" spans="10:27" x14ac:dyDescent="0.3">
      <c r="J487" s="197"/>
      <c r="K487" s="198"/>
      <c r="L487" s="196"/>
      <c r="M487" s="198"/>
      <c r="N487" s="202"/>
      <c r="P487" s="72"/>
      <c r="Q487" s="71"/>
      <c r="R487" s="53"/>
      <c r="S487" s="71"/>
      <c r="T487" s="53"/>
      <c r="U487" s="13"/>
      <c r="V487" s="72"/>
      <c r="W487" s="71"/>
      <c r="X487" s="53"/>
      <c r="Y487" s="71"/>
      <c r="Z487" s="53"/>
      <c r="AA487" s="13"/>
    </row>
    <row r="488" spans="10:27" x14ac:dyDescent="0.3">
      <c r="J488" s="197"/>
      <c r="K488" s="198"/>
      <c r="L488" s="196"/>
      <c r="M488" s="198"/>
      <c r="N488" s="202"/>
      <c r="P488" s="72"/>
      <c r="Q488" s="71"/>
      <c r="R488" s="53"/>
      <c r="S488" s="71"/>
      <c r="T488" s="53"/>
      <c r="U488" s="13"/>
      <c r="V488" s="72"/>
      <c r="W488" s="71"/>
      <c r="X488" s="53"/>
      <c r="Y488" s="71"/>
      <c r="Z488" s="53"/>
      <c r="AA488" s="13"/>
    </row>
    <row r="489" spans="10:27" x14ac:dyDescent="0.3">
      <c r="J489" s="197"/>
      <c r="K489" s="198"/>
      <c r="L489" s="196"/>
      <c r="M489" s="198"/>
      <c r="N489" s="202"/>
      <c r="P489" s="72"/>
      <c r="Q489" s="71"/>
      <c r="R489" s="53"/>
      <c r="S489" s="71"/>
      <c r="T489" s="53"/>
      <c r="U489" s="13"/>
      <c r="V489" s="72"/>
      <c r="W489" s="71"/>
      <c r="X489" s="53"/>
      <c r="Y489" s="71"/>
      <c r="Z489" s="53"/>
      <c r="AA489" s="13"/>
    </row>
    <row r="490" spans="10:27" x14ac:dyDescent="0.3">
      <c r="J490" s="197"/>
      <c r="K490" s="198"/>
      <c r="L490" s="196"/>
      <c r="M490" s="198"/>
      <c r="N490" s="202"/>
      <c r="P490" s="72"/>
      <c r="Q490" s="71"/>
      <c r="R490" s="53"/>
      <c r="S490" s="71"/>
      <c r="T490" s="53"/>
      <c r="U490" s="13"/>
      <c r="V490" s="72"/>
      <c r="W490" s="71"/>
      <c r="X490" s="53"/>
      <c r="Y490" s="71"/>
      <c r="Z490" s="53"/>
      <c r="AA490" s="13"/>
    </row>
    <row r="491" spans="10:27" x14ac:dyDescent="0.3">
      <c r="J491" s="197"/>
      <c r="K491" s="198"/>
      <c r="L491" s="196"/>
      <c r="M491" s="198"/>
      <c r="N491" s="202"/>
      <c r="P491" s="72"/>
      <c r="Q491" s="71"/>
      <c r="R491" s="53"/>
      <c r="S491" s="71"/>
      <c r="T491" s="53"/>
      <c r="U491" s="13"/>
      <c r="V491" s="72"/>
      <c r="W491" s="71"/>
      <c r="X491" s="53"/>
      <c r="Y491" s="71"/>
      <c r="Z491" s="53"/>
      <c r="AA491" s="13"/>
    </row>
    <row r="492" spans="10:27" x14ac:dyDescent="0.3">
      <c r="J492" s="197"/>
      <c r="K492" s="198"/>
      <c r="L492" s="196"/>
      <c r="M492" s="198"/>
      <c r="N492" s="202"/>
      <c r="P492" s="72"/>
      <c r="Q492" s="71"/>
      <c r="R492" s="53"/>
      <c r="S492" s="71"/>
      <c r="T492" s="53"/>
      <c r="U492" s="13"/>
      <c r="V492" s="72"/>
      <c r="W492" s="71"/>
      <c r="X492" s="53"/>
      <c r="Y492" s="71"/>
      <c r="Z492" s="53"/>
      <c r="AA492" s="13"/>
    </row>
    <row r="493" spans="10:27" x14ac:dyDescent="0.3">
      <c r="J493" s="197"/>
      <c r="K493" s="198"/>
      <c r="L493" s="196"/>
      <c r="M493" s="198"/>
      <c r="N493" s="202"/>
      <c r="P493" s="72"/>
      <c r="Q493" s="71"/>
      <c r="R493" s="53"/>
      <c r="S493" s="71"/>
      <c r="T493" s="53"/>
      <c r="U493" s="13"/>
      <c r="V493" s="72"/>
      <c r="W493" s="71"/>
      <c r="X493" s="53"/>
      <c r="Y493" s="71"/>
      <c r="Z493" s="53"/>
      <c r="AA493" s="13"/>
    </row>
    <row r="494" spans="10:27" x14ac:dyDescent="0.3">
      <c r="J494" s="197"/>
      <c r="K494" s="198"/>
      <c r="L494" s="196"/>
      <c r="M494" s="198"/>
      <c r="N494" s="202"/>
      <c r="P494" s="72"/>
      <c r="Q494" s="71"/>
      <c r="R494" s="53"/>
      <c r="S494" s="71"/>
      <c r="T494" s="53"/>
      <c r="U494" s="13"/>
      <c r="V494" s="72"/>
      <c r="W494" s="71"/>
      <c r="X494" s="53"/>
      <c r="Y494" s="71"/>
      <c r="Z494" s="53"/>
      <c r="AA494" s="13"/>
    </row>
    <row r="495" spans="10:27" x14ac:dyDescent="0.3">
      <c r="J495" s="197"/>
      <c r="K495" s="198"/>
      <c r="L495" s="196"/>
      <c r="M495" s="198"/>
      <c r="N495" s="202"/>
      <c r="P495" s="72"/>
      <c r="Q495" s="71"/>
      <c r="R495" s="53"/>
      <c r="S495" s="71"/>
      <c r="T495" s="53"/>
      <c r="U495" s="13"/>
      <c r="V495" s="72"/>
      <c r="W495" s="71"/>
      <c r="X495" s="53"/>
      <c r="Y495" s="71"/>
      <c r="Z495" s="53"/>
      <c r="AA495" s="13"/>
    </row>
    <row r="496" spans="10:27" x14ac:dyDescent="0.3">
      <c r="J496" s="197"/>
      <c r="K496" s="198"/>
      <c r="L496" s="196"/>
      <c r="M496" s="198"/>
      <c r="N496" s="202"/>
      <c r="P496" s="72"/>
      <c r="Q496" s="71"/>
      <c r="R496" s="53"/>
      <c r="S496" s="71"/>
      <c r="T496" s="53"/>
      <c r="U496" s="13"/>
      <c r="V496" s="72"/>
      <c r="W496" s="71"/>
      <c r="X496" s="53"/>
      <c r="Y496" s="71"/>
      <c r="Z496" s="53"/>
      <c r="AA496" s="13"/>
    </row>
    <row r="497" spans="10:27" x14ac:dyDescent="0.3">
      <c r="J497" s="197"/>
      <c r="K497" s="198"/>
      <c r="L497" s="196"/>
      <c r="M497" s="198"/>
      <c r="N497" s="202"/>
      <c r="P497" s="72"/>
      <c r="Q497" s="71"/>
      <c r="R497" s="53"/>
      <c r="S497" s="71"/>
      <c r="T497" s="53"/>
      <c r="U497" s="13"/>
      <c r="V497" s="72"/>
      <c r="W497" s="71"/>
      <c r="X497" s="53"/>
      <c r="Y497" s="71"/>
      <c r="Z497" s="53"/>
      <c r="AA497" s="13"/>
    </row>
    <row r="498" spans="10:27" x14ac:dyDescent="0.3">
      <c r="J498" s="197"/>
      <c r="K498" s="198"/>
      <c r="L498" s="196"/>
      <c r="M498" s="198"/>
      <c r="N498" s="202"/>
      <c r="P498" s="72"/>
      <c r="Q498" s="71"/>
      <c r="R498" s="53"/>
      <c r="S498" s="71"/>
      <c r="T498" s="53"/>
      <c r="U498" s="13"/>
      <c r="V498" s="72"/>
      <c r="W498" s="71"/>
      <c r="X498" s="53"/>
      <c r="Y498" s="71"/>
      <c r="Z498" s="53"/>
      <c r="AA498" s="13"/>
    </row>
    <row r="499" spans="10:27" x14ac:dyDescent="0.3">
      <c r="J499" s="197"/>
      <c r="K499" s="198"/>
      <c r="L499" s="196"/>
      <c r="M499" s="198"/>
      <c r="N499" s="202"/>
      <c r="P499" s="72"/>
      <c r="Q499" s="71"/>
      <c r="R499" s="53"/>
      <c r="S499" s="71"/>
      <c r="T499" s="53"/>
      <c r="U499" s="13"/>
      <c r="V499" s="72"/>
      <c r="W499" s="71"/>
      <c r="X499" s="53"/>
      <c r="Y499" s="71"/>
      <c r="Z499" s="53"/>
      <c r="AA499" s="13"/>
    </row>
    <row r="500" spans="10:27" x14ac:dyDescent="0.3">
      <c r="J500" s="197"/>
      <c r="K500" s="198"/>
      <c r="L500" s="196"/>
      <c r="M500" s="198"/>
      <c r="N500" s="202"/>
      <c r="P500" s="72"/>
      <c r="Q500" s="71"/>
      <c r="R500" s="53"/>
      <c r="S500" s="71"/>
      <c r="T500" s="53"/>
      <c r="U500" s="13"/>
      <c r="V500" s="72"/>
      <c r="W500" s="71"/>
      <c r="X500" s="53"/>
      <c r="Y500" s="71"/>
      <c r="Z500" s="53"/>
      <c r="AA500" s="13"/>
    </row>
    <row r="501" spans="10:27" x14ac:dyDescent="0.3">
      <c r="J501" s="197"/>
      <c r="K501" s="198"/>
      <c r="L501" s="196"/>
      <c r="M501" s="198"/>
      <c r="N501" s="202"/>
      <c r="P501" s="72"/>
      <c r="Q501" s="71"/>
      <c r="R501" s="53"/>
      <c r="S501" s="71"/>
      <c r="T501" s="53"/>
      <c r="U501" s="13"/>
      <c r="V501" s="72"/>
      <c r="W501" s="71"/>
      <c r="X501" s="53"/>
      <c r="Y501" s="71"/>
      <c r="Z501" s="53"/>
      <c r="AA501" s="13"/>
    </row>
    <row r="502" spans="10:27" x14ac:dyDescent="0.3">
      <c r="J502" s="197"/>
      <c r="K502" s="198"/>
      <c r="L502" s="196"/>
      <c r="M502" s="198"/>
      <c r="N502" s="202"/>
      <c r="P502" s="72"/>
      <c r="Q502" s="71"/>
      <c r="R502" s="53"/>
      <c r="S502" s="71"/>
      <c r="T502" s="53"/>
      <c r="U502" s="13"/>
      <c r="V502" s="72"/>
      <c r="W502" s="71"/>
      <c r="X502" s="53"/>
      <c r="Y502" s="71"/>
      <c r="Z502" s="53"/>
      <c r="AA502" s="13"/>
    </row>
    <row r="503" spans="10:27" x14ac:dyDescent="0.3">
      <c r="J503" s="197"/>
      <c r="K503" s="198"/>
      <c r="L503" s="196"/>
      <c r="M503" s="198"/>
      <c r="N503" s="202"/>
      <c r="P503" s="72"/>
      <c r="Q503" s="71"/>
      <c r="R503" s="53"/>
      <c r="S503" s="71"/>
      <c r="T503" s="53"/>
      <c r="U503" s="13"/>
      <c r="V503" s="72"/>
      <c r="W503" s="71"/>
      <c r="X503" s="53"/>
      <c r="Y503" s="71"/>
      <c r="Z503" s="53"/>
      <c r="AA503" s="13"/>
    </row>
    <row r="504" spans="10:27" x14ac:dyDescent="0.3">
      <c r="J504" s="197"/>
      <c r="K504" s="198"/>
      <c r="L504" s="196"/>
      <c r="M504" s="198"/>
      <c r="N504" s="202"/>
      <c r="P504" s="72"/>
      <c r="Q504" s="71"/>
      <c r="R504" s="53"/>
      <c r="S504" s="71"/>
      <c r="T504" s="53"/>
      <c r="U504" s="13"/>
      <c r="V504" s="72"/>
      <c r="W504" s="71"/>
      <c r="X504" s="53"/>
      <c r="Y504" s="71"/>
      <c r="Z504" s="53"/>
      <c r="AA504" s="13"/>
    </row>
    <row r="505" spans="10:27" x14ac:dyDescent="0.3">
      <c r="J505" s="197"/>
      <c r="K505" s="198"/>
      <c r="L505" s="196"/>
      <c r="M505" s="198"/>
      <c r="N505" s="202"/>
      <c r="P505" s="72"/>
      <c r="Q505" s="71"/>
      <c r="R505" s="53"/>
      <c r="S505" s="71"/>
      <c r="T505" s="53"/>
      <c r="U505" s="13"/>
      <c r="V505" s="72"/>
      <c r="W505" s="71"/>
      <c r="X505" s="53"/>
      <c r="Y505" s="71"/>
      <c r="Z505" s="53"/>
      <c r="AA505" s="13"/>
    </row>
    <row r="506" spans="10:27" x14ac:dyDescent="0.3">
      <c r="J506" s="197"/>
      <c r="K506" s="198"/>
      <c r="L506" s="196"/>
      <c r="M506" s="198"/>
      <c r="N506" s="202"/>
      <c r="P506" s="72"/>
      <c r="Q506" s="71"/>
      <c r="R506" s="53"/>
      <c r="S506" s="71"/>
      <c r="T506" s="53"/>
      <c r="U506" s="13"/>
      <c r="V506" s="72"/>
      <c r="W506" s="71"/>
      <c r="X506" s="53"/>
      <c r="Y506" s="71"/>
      <c r="Z506" s="53"/>
      <c r="AA506" s="13"/>
    </row>
    <row r="507" spans="10:27" x14ac:dyDescent="0.3">
      <c r="J507" s="197"/>
      <c r="K507" s="198"/>
      <c r="L507" s="196"/>
      <c r="M507" s="198"/>
      <c r="N507" s="202"/>
      <c r="P507" s="72"/>
      <c r="Q507" s="71"/>
      <c r="R507" s="53"/>
      <c r="S507" s="71"/>
      <c r="T507" s="53"/>
      <c r="U507" s="13"/>
      <c r="V507" s="72"/>
      <c r="W507" s="71"/>
      <c r="X507" s="53"/>
      <c r="Y507" s="71"/>
      <c r="Z507" s="53"/>
      <c r="AA507" s="13"/>
    </row>
    <row r="508" spans="10:27" x14ac:dyDescent="0.3">
      <c r="J508" s="197"/>
      <c r="K508" s="198"/>
      <c r="L508" s="196"/>
      <c r="M508" s="198"/>
      <c r="N508" s="202"/>
      <c r="P508" s="72"/>
      <c r="Q508" s="71"/>
      <c r="R508" s="53"/>
      <c r="S508" s="71"/>
      <c r="T508" s="53"/>
      <c r="U508" s="13"/>
      <c r="V508" s="72"/>
      <c r="W508" s="71"/>
      <c r="X508" s="53"/>
      <c r="Y508" s="71"/>
      <c r="Z508" s="53"/>
      <c r="AA508" s="13"/>
    </row>
    <row r="509" spans="10:27" x14ac:dyDescent="0.3">
      <c r="J509" s="197"/>
      <c r="K509" s="198"/>
      <c r="L509" s="196"/>
      <c r="M509" s="198"/>
      <c r="N509" s="202"/>
      <c r="P509" s="72"/>
      <c r="Q509" s="71"/>
      <c r="R509" s="53"/>
      <c r="S509" s="71"/>
      <c r="T509" s="53"/>
      <c r="U509" s="13"/>
      <c r="V509" s="72"/>
      <c r="W509" s="71"/>
      <c r="X509" s="53"/>
      <c r="Y509" s="71"/>
      <c r="Z509" s="53"/>
      <c r="AA509" s="13"/>
    </row>
    <row r="510" spans="10:27" x14ac:dyDescent="0.3">
      <c r="J510" s="197"/>
      <c r="K510" s="198"/>
      <c r="L510" s="196"/>
      <c r="M510" s="198"/>
      <c r="N510" s="202"/>
      <c r="P510" s="72"/>
      <c r="Q510" s="71"/>
      <c r="R510" s="53"/>
      <c r="S510" s="71"/>
      <c r="T510" s="53"/>
      <c r="U510" s="13"/>
      <c r="V510" s="72"/>
      <c r="W510" s="71"/>
      <c r="X510" s="53"/>
      <c r="Y510" s="71"/>
      <c r="Z510" s="53"/>
      <c r="AA510" s="13"/>
    </row>
    <row r="511" spans="10:27" x14ac:dyDescent="0.3">
      <c r="J511" s="197"/>
      <c r="K511" s="198"/>
      <c r="L511" s="196"/>
      <c r="M511" s="198"/>
      <c r="N511" s="202"/>
      <c r="P511" s="72"/>
      <c r="Q511" s="71"/>
      <c r="R511" s="53"/>
      <c r="S511" s="71"/>
      <c r="T511" s="53"/>
      <c r="U511" s="13"/>
      <c r="V511" s="72"/>
      <c r="W511" s="71"/>
      <c r="X511" s="53"/>
      <c r="Y511" s="71"/>
      <c r="Z511" s="53"/>
      <c r="AA511" s="13"/>
    </row>
    <row r="512" spans="10:27" x14ac:dyDescent="0.3">
      <c r="J512" s="197"/>
      <c r="K512" s="198"/>
      <c r="L512" s="196"/>
      <c r="M512" s="198"/>
      <c r="N512" s="202"/>
      <c r="P512" s="72"/>
      <c r="Q512" s="71"/>
      <c r="R512" s="53"/>
      <c r="S512" s="71"/>
      <c r="T512" s="53"/>
      <c r="U512" s="13"/>
      <c r="V512" s="72"/>
      <c r="W512" s="71"/>
      <c r="X512" s="53"/>
      <c r="Y512" s="71"/>
      <c r="Z512" s="53"/>
      <c r="AA512" s="13"/>
    </row>
    <row r="513" spans="10:27" x14ac:dyDescent="0.3">
      <c r="J513" s="197"/>
      <c r="K513" s="198"/>
      <c r="L513" s="196"/>
      <c r="M513" s="198"/>
      <c r="N513" s="202"/>
      <c r="P513" s="72"/>
      <c r="Q513" s="71"/>
      <c r="R513" s="53"/>
      <c r="S513" s="71"/>
      <c r="T513" s="53"/>
      <c r="U513" s="13"/>
      <c r="V513" s="72"/>
      <c r="W513" s="71"/>
      <c r="X513" s="53"/>
      <c r="Y513" s="71"/>
      <c r="Z513" s="53"/>
      <c r="AA513" s="13"/>
    </row>
    <row r="514" spans="10:27" x14ac:dyDescent="0.3">
      <c r="J514" s="197"/>
      <c r="K514" s="198"/>
      <c r="L514" s="196"/>
      <c r="M514" s="198"/>
      <c r="N514" s="202"/>
      <c r="P514" s="72"/>
      <c r="Q514" s="71"/>
      <c r="R514" s="53"/>
      <c r="S514" s="71"/>
      <c r="T514" s="53"/>
      <c r="U514" s="13"/>
      <c r="V514" s="72"/>
      <c r="W514" s="71"/>
      <c r="X514" s="53"/>
      <c r="Y514" s="71"/>
      <c r="Z514" s="53"/>
      <c r="AA514" s="13"/>
    </row>
    <row r="515" spans="10:27" x14ac:dyDescent="0.3">
      <c r="J515" s="197"/>
      <c r="K515" s="198"/>
      <c r="L515" s="196"/>
      <c r="M515" s="198"/>
      <c r="N515" s="202"/>
      <c r="P515" s="72"/>
      <c r="Q515" s="71"/>
      <c r="R515" s="53"/>
      <c r="S515" s="71"/>
      <c r="T515" s="53"/>
      <c r="U515" s="13"/>
      <c r="V515" s="72"/>
      <c r="W515" s="71"/>
      <c r="X515" s="53"/>
      <c r="Y515" s="71"/>
      <c r="Z515" s="53"/>
      <c r="AA515" s="13"/>
    </row>
    <row r="516" spans="10:27" x14ac:dyDescent="0.3">
      <c r="J516" s="197"/>
      <c r="K516" s="198"/>
      <c r="L516" s="196"/>
      <c r="M516" s="198"/>
      <c r="N516" s="202"/>
      <c r="P516" s="72"/>
      <c r="Q516" s="71"/>
      <c r="R516" s="53"/>
      <c r="S516" s="71"/>
      <c r="T516" s="53"/>
      <c r="U516" s="13"/>
      <c r="V516" s="72"/>
      <c r="W516" s="71"/>
      <c r="X516" s="53"/>
      <c r="Y516" s="71"/>
      <c r="Z516" s="53"/>
      <c r="AA516" s="13"/>
    </row>
    <row r="517" spans="10:27" x14ac:dyDescent="0.3">
      <c r="J517" s="197"/>
      <c r="K517" s="198"/>
      <c r="L517" s="196"/>
      <c r="M517" s="198"/>
      <c r="N517" s="202"/>
      <c r="P517" s="72"/>
      <c r="Q517" s="71"/>
      <c r="R517" s="53"/>
      <c r="S517" s="71"/>
      <c r="T517" s="53"/>
      <c r="U517" s="13"/>
      <c r="V517" s="72"/>
      <c r="W517" s="71"/>
      <c r="X517" s="53"/>
      <c r="Y517" s="71"/>
      <c r="Z517" s="53"/>
      <c r="AA517" s="13"/>
    </row>
    <row r="518" spans="10:27" x14ac:dyDescent="0.3">
      <c r="J518" s="197"/>
      <c r="K518" s="198"/>
      <c r="L518" s="196"/>
      <c r="M518" s="198"/>
      <c r="N518" s="202"/>
      <c r="P518" s="72"/>
      <c r="Q518" s="71"/>
      <c r="R518" s="53"/>
      <c r="S518" s="71"/>
      <c r="T518" s="53"/>
      <c r="U518" s="13"/>
      <c r="V518" s="72"/>
      <c r="W518" s="71"/>
      <c r="X518" s="53"/>
      <c r="Y518" s="71"/>
      <c r="Z518" s="53"/>
      <c r="AA518" s="13"/>
    </row>
    <row r="519" spans="10:27" x14ac:dyDescent="0.3">
      <c r="J519" s="197"/>
      <c r="K519" s="198"/>
      <c r="L519" s="196"/>
      <c r="M519" s="198"/>
      <c r="N519" s="202"/>
      <c r="P519" s="72"/>
      <c r="Q519" s="71"/>
      <c r="R519" s="53"/>
      <c r="S519" s="71"/>
      <c r="T519" s="53"/>
      <c r="U519" s="13"/>
      <c r="V519" s="72"/>
      <c r="W519" s="71"/>
      <c r="X519" s="53"/>
      <c r="Y519" s="71"/>
      <c r="Z519" s="53"/>
      <c r="AA519" s="13"/>
    </row>
    <row r="520" spans="10:27" x14ac:dyDescent="0.3">
      <c r="J520" s="197"/>
      <c r="K520" s="198"/>
      <c r="L520" s="196"/>
      <c r="M520" s="198"/>
      <c r="N520" s="202"/>
      <c r="P520" s="72"/>
      <c r="Q520" s="71"/>
      <c r="R520" s="53"/>
      <c r="S520" s="71"/>
      <c r="T520" s="53"/>
      <c r="U520" s="13"/>
      <c r="V520" s="72"/>
      <c r="W520" s="71"/>
      <c r="X520" s="53"/>
      <c r="Y520" s="71"/>
      <c r="Z520" s="53"/>
      <c r="AA520" s="13"/>
    </row>
    <row r="521" spans="10:27" x14ac:dyDescent="0.3">
      <c r="J521" s="197"/>
      <c r="K521" s="198"/>
      <c r="L521" s="196"/>
      <c r="M521" s="198"/>
      <c r="N521" s="202"/>
      <c r="P521" s="72"/>
      <c r="Q521" s="71"/>
      <c r="R521" s="53"/>
      <c r="S521" s="71"/>
      <c r="T521" s="53"/>
      <c r="U521" s="13"/>
      <c r="V521" s="72"/>
      <c r="W521" s="71"/>
      <c r="X521" s="53"/>
      <c r="Y521" s="71"/>
      <c r="Z521" s="53"/>
      <c r="AA521" s="13"/>
    </row>
    <row r="522" spans="10:27" x14ac:dyDescent="0.3">
      <c r="J522" s="197"/>
      <c r="K522" s="198"/>
      <c r="L522" s="196"/>
      <c r="M522" s="198"/>
      <c r="N522" s="202"/>
      <c r="P522" s="72"/>
      <c r="Q522" s="71"/>
      <c r="R522" s="53"/>
      <c r="S522" s="71"/>
      <c r="T522" s="53"/>
      <c r="U522" s="13"/>
      <c r="V522" s="72"/>
      <c r="W522" s="71"/>
      <c r="X522" s="53"/>
      <c r="Y522" s="71"/>
      <c r="Z522" s="53"/>
      <c r="AA522" s="13"/>
    </row>
    <row r="523" spans="10:27" x14ac:dyDescent="0.3">
      <c r="J523" s="197"/>
      <c r="K523" s="198"/>
      <c r="L523" s="196"/>
      <c r="M523" s="198"/>
      <c r="N523" s="202"/>
      <c r="P523" s="72"/>
      <c r="Q523" s="71"/>
      <c r="R523" s="53"/>
      <c r="S523" s="71"/>
      <c r="T523" s="53"/>
      <c r="U523" s="13"/>
      <c r="V523" s="72"/>
      <c r="W523" s="71"/>
      <c r="X523" s="53"/>
      <c r="Y523" s="71"/>
      <c r="Z523" s="53"/>
      <c r="AA523" s="13"/>
    </row>
    <row r="524" spans="10:27" x14ac:dyDescent="0.3">
      <c r="J524" s="197"/>
      <c r="K524" s="198"/>
      <c r="L524" s="196"/>
      <c r="M524" s="198"/>
      <c r="N524" s="202"/>
      <c r="P524" s="72"/>
      <c r="Q524" s="71"/>
      <c r="R524" s="53"/>
      <c r="S524" s="71"/>
      <c r="T524" s="53"/>
      <c r="U524" s="13"/>
      <c r="V524" s="72"/>
      <c r="W524" s="71"/>
      <c r="X524" s="53"/>
      <c r="Y524" s="71"/>
      <c r="Z524" s="53"/>
      <c r="AA524" s="13"/>
    </row>
    <row r="525" spans="10:27" x14ac:dyDescent="0.3">
      <c r="J525" s="197"/>
      <c r="K525" s="198"/>
      <c r="L525" s="196"/>
      <c r="M525" s="198"/>
      <c r="N525" s="202"/>
      <c r="P525" s="72"/>
      <c r="Q525" s="71"/>
      <c r="R525" s="53"/>
      <c r="S525" s="71"/>
      <c r="T525" s="53"/>
      <c r="U525" s="13"/>
      <c r="V525" s="72"/>
      <c r="W525" s="71"/>
      <c r="X525" s="53"/>
      <c r="Y525" s="71"/>
      <c r="Z525" s="53"/>
      <c r="AA525" s="13"/>
    </row>
    <row r="526" spans="10:27" x14ac:dyDescent="0.3">
      <c r="J526" s="197"/>
      <c r="K526" s="198"/>
      <c r="L526" s="196"/>
      <c r="M526" s="198"/>
      <c r="N526" s="202"/>
      <c r="P526" s="72"/>
      <c r="Q526" s="71"/>
      <c r="R526" s="53"/>
      <c r="S526" s="71"/>
      <c r="T526" s="53"/>
      <c r="U526" s="13"/>
      <c r="V526" s="72"/>
      <c r="W526" s="71"/>
      <c r="X526" s="53"/>
      <c r="Y526" s="71"/>
      <c r="Z526" s="53"/>
      <c r="AA526" s="13"/>
    </row>
    <row r="527" spans="10:27" x14ac:dyDescent="0.3">
      <c r="J527" s="197"/>
      <c r="K527" s="198"/>
      <c r="L527" s="196"/>
      <c r="M527" s="198"/>
      <c r="N527" s="202"/>
      <c r="P527" s="72"/>
      <c r="Q527" s="71"/>
      <c r="R527" s="53"/>
      <c r="S527" s="71"/>
      <c r="T527" s="53"/>
      <c r="U527" s="13"/>
      <c r="V527" s="72"/>
      <c r="W527" s="71"/>
      <c r="X527" s="53"/>
      <c r="Y527" s="71"/>
      <c r="Z527" s="53"/>
      <c r="AA527" s="13"/>
    </row>
    <row r="528" spans="10:27" x14ac:dyDescent="0.3">
      <c r="J528" s="197"/>
      <c r="K528" s="198"/>
      <c r="L528" s="196"/>
      <c r="M528" s="198"/>
      <c r="N528" s="202"/>
      <c r="P528" s="72"/>
      <c r="Q528" s="71"/>
      <c r="R528" s="53"/>
      <c r="S528" s="71"/>
      <c r="T528" s="53"/>
      <c r="U528" s="13"/>
      <c r="V528" s="72"/>
      <c r="W528" s="71"/>
      <c r="X528" s="53"/>
      <c r="Y528" s="71"/>
      <c r="Z528" s="53"/>
      <c r="AA528" s="13"/>
    </row>
    <row r="529" spans="10:27" x14ac:dyDescent="0.3">
      <c r="J529" s="197"/>
      <c r="K529" s="198"/>
      <c r="L529" s="196"/>
      <c r="M529" s="198"/>
      <c r="N529" s="202"/>
      <c r="P529" s="72"/>
      <c r="Q529" s="71"/>
      <c r="R529" s="53"/>
      <c r="S529" s="71"/>
      <c r="T529" s="53"/>
      <c r="U529" s="13"/>
      <c r="V529" s="72"/>
      <c r="W529" s="71"/>
      <c r="X529" s="53"/>
      <c r="Y529" s="71"/>
      <c r="Z529" s="53"/>
      <c r="AA529" s="13"/>
    </row>
    <row r="530" spans="10:27" x14ac:dyDescent="0.3">
      <c r="J530" s="197"/>
      <c r="K530" s="198"/>
      <c r="L530" s="196"/>
      <c r="M530" s="198"/>
      <c r="N530" s="202"/>
      <c r="P530" s="72"/>
      <c r="Q530" s="71"/>
      <c r="R530" s="53"/>
      <c r="S530" s="71"/>
      <c r="T530" s="53"/>
      <c r="U530" s="13"/>
      <c r="V530" s="72"/>
      <c r="W530" s="71"/>
      <c r="X530" s="53"/>
      <c r="Y530" s="71"/>
      <c r="Z530" s="53"/>
      <c r="AA530" s="13"/>
    </row>
    <row r="531" spans="10:27" x14ac:dyDescent="0.3">
      <c r="J531" s="197"/>
      <c r="K531" s="198"/>
      <c r="L531" s="196"/>
      <c r="M531" s="198"/>
      <c r="N531" s="202"/>
      <c r="P531" s="72"/>
      <c r="Q531" s="71"/>
      <c r="R531" s="53"/>
      <c r="S531" s="71"/>
      <c r="T531" s="53"/>
      <c r="U531" s="13"/>
      <c r="V531" s="72"/>
      <c r="W531" s="71"/>
      <c r="X531" s="53"/>
      <c r="Y531" s="71"/>
      <c r="Z531" s="53"/>
      <c r="AA531" s="13"/>
    </row>
    <row r="532" spans="10:27" x14ac:dyDescent="0.3">
      <c r="J532" s="197"/>
      <c r="K532" s="198"/>
      <c r="L532" s="196"/>
      <c r="M532" s="198"/>
      <c r="N532" s="202"/>
      <c r="P532" s="72"/>
      <c r="Q532" s="71"/>
      <c r="R532" s="53"/>
      <c r="S532" s="71"/>
      <c r="T532" s="53"/>
      <c r="U532" s="13"/>
      <c r="V532" s="72"/>
      <c r="W532" s="71"/>
      <c r="X532" s="53"/>
      <c r="Y532" s="71"/>
      <c r="Z532" s="53"/>
      <c r="AA532" s="13"/>
    </row>
    <row r="533" spans="10:27" x14ac:dyDescent="0.3">
      <c r="J533" s="197"/>
      <c r="K533" s="198"/>
      <c r="L533" s="196"/>
      <c r="M533" s="198"/>
      <c r="N533" s="202"/>
      <c r="P533" s="72"/>
      <c r="Q533" s="71"/>
      <c r="R533" s="53"/>
      <c r="S533" s="71"/>
      <c r="T533" s="53"/>
      <c r="U533" s="13"/>
      <c r="V533" s="72"/>
      <c r="W533" s="71"/>
      <c r="X533" s="53"/>
      <c r="Y533" s="71"/>
      <c r="Z533" s="53"/>
      <c r="AA533" s="13"/>
    </row>
    <row r="534" spans="10:27" x14ac:dyDescent="0.3">
      <c r="J534" s="197"/>
      <c r="K534" s="198"/>
      <c r="L534" s="196"/>
      <c r="M534" s="198"/>
      <c r="N534" s="202"/>
      <c r="P534" s="72"/>
      <c r="Q534" s="71"/>
      <c r="R534" s="53"/>
      <c r="S534" s="71"/>
      <c r="T534" s="53"/>
      <c r="U534" s="13"/>
      <c r="V534" s="72"/>
      <c r="W534" s="71"/>
      <c r="X534" s="53"/>
      <c r="Y534" s="71"/>
      <c r="Z534" s="53"/>
      <c r="AA534" s="13"/>
    </row>
    <row r="535" spans="10:27" x14ac:dyDescent="0.3">
      <c r="J535" s="197"/>
      <c r="K535" s="198"/>
      <c r="L535" s="196"/>
      <c r="M535" s="198"/>
      <c r="N535" s="202"/>
      <c r="P535" s="72"/>
      <c r="Q535" s="71"/>
      <c r="R535" s="53"/>
      <c r="S535" s="71"/>
      <c r="T535" s="53"/>
      <c r="U535" s="13"/>
      <c r="V535" s="72"/>
      <c r="W535" s="71"/>
      <c r="X535" s="53"/>
      <c r="Y535" s="71"/>
      <c r="Z535" s="53"/>
      <c r="AA535" s="13"/>
    </row>
    <row r="536" spans="10:27" x14ac:dyDescent="0.3">
      <c r="J536" s="197"/>
      <c r="K536" s="198"/>
      <c r="L536" s="196"/>
      <c r="M536" s="198"/>
      <c r="N536" s="202"/>
      <c r="P536" s="72"/>
      <c r="Q536" s="71"/>
      <c r="R536" s="53"/>
      <c r="S536" s="71"/>
      <c r="T536" s="53"/>
      <c r="U536" s="13"/>
      <c r="V536" s="72"/>
      <c r="W536" s="71"/>
      <c r="X536" s="53"/>
      <c r="Y536" s="71"/>
      <c r="Z536" s="53"/>
      <c r="AA536" s="13"/>
    </row>
    <row r="537" spans="10:27" x14ac:dyDescent="0.3">
      <c r="J537" s="197"/>
      <c r="K537" s="198"/>
      <c r="L537" s="196"/>
      <c r="M537" s="198"/>
      <c r="N537" s="202"/>
      <c r="P537" s="72"/>
      <c r="Q537" s="71"/>
      <c r="R537" s="53"/>
      <c r="S537" s="71"/>
      <c r="T537" s="53"/>
      <c r="U537" s="13"/>
      <c r="V537" s="72"/>
      <c r="W537" s="71"/>
      <c r="X537" s="53"/>
      <c r="Y537" s="71"/>
      <c r="Z537" s="53"/>
      <c r="AA537" s="13"/>
    </row>
    <row r="538" spans="10:27" x14ac:dyDescent="0.3">
      <c r="J538" s="197"/>
      <c r="K538" s="198"/>
      <c r="L538" s="196"/>
      <c r="M538" s="198"/>
      <c r="N538" s="202"/>
      <c r="P538" s="72"/>
      <c r="Q538" s="71"/>
      <c r="R538" s="53"/>
      <c r="S538" s="71"/>
      <c r="T538" s="53"/>
      <c r="U538" s="13"/>
      <c r="V538" s="72"/>
      <c r="W538" s="71"/>
      <c r="X538" s="53"/>
      <c r="Y538" s="71"/>
      <c r="Z538" s="53"/>
      <c r="AA538" s="13"/>
    </row>
    <row r="539" spans="10:27" x14ac:dyDescent="0.3">
      <c r="J539" s="197"/>
      <c r="K539" s="198"/>
      <c r="L539" s="196"/>
      <c r="M539" s="198"/>
      <c r="N539" s="202"/>
      <c r="P539" s="72"/>
      <c r="Q539" s="71"/>
      <c r="R539" s="53"/>
      <c r="S539" s="71"/>
      <c r="T539" s="53"/>
      <c r="U539" s="13"/>
      <c r="V539" s="72"/>
      <c r="W539" s="71"/>
      <c r="X539" s="53"/>
      <c r="Y539" s="71"/>
      <c r="Z539" s="53"/>
      <c r="AA539" s="13"/>
    </row>
    <row r="540" spans="10:27" x14ac:dyDescent="0.3">
      <c r="J540" s="197"/>
      <c r="K540" s="198"/>
      <c r="L540" s="196"/>
      <c r="M540" s="198"/>
      <c r="N540" s="202"/>
      <c r="P540" s="72"/>
      <c r="Q540" s="71"/>
      <c r="R540" s="53"/>
      <c r="S540" s="71"/>
      <c r="T540" s="53"/>
      <c r="U540" s="13"/>
      <c r="V540" s="72"/>
      <c r="W540" s="71"/>
      <c r="X540" s="53"/>
      <c r="Y540" s="71"/>
      <c r="Z540" s="53"/>
      <c r="AA540" s="13"/>
    </row>
    <row r="541" spans="10:27" x14ac:dyDescent="0.3">
      <c r="J541" s="197"/>
      <c r="K541" s="198"/>
      <c r="L541" s="196"/>
      <c r="M541" s="198"/>
      <c r="N541" s="202"/>
      <c r="P541" s="72"/>
      <c r="Q541" s="71"/>
      <c r="R541" s="53"/>
      <c r="S541" s="71"/>
      <c r="T541" s="53"/>
      <c r="U541" s="13"/>
      <c r="V541" s="72"/>
      <c r="W541" s="71"/>
      <c r="X541" s="53"/>
      <c r="Y541" s="71"/>
      <c r="Z541" s="53"/>
      <c r="AA541" s="13"/>
    </row>
    <row r="542" spans="10:27" x14ac:dyDescent="0.3">
      <c r="J542" s="197"/>
      <c r="K542" s="198"/>
      <c r="L542" s="196"/>
      <c r="M542" s="198"/>
      <c r="N542" s="202"/>
      <c r="P542" s="72"/>
      <c r="Q542" s="71"/>
      <c r="R542" s="53"/>
      <c r="S542" s="71"/>
      <c r="T542" s="53"/>
      <c r="U542" s="13"/>
      <c r="V542" s="72"/>
      <c r="W542" s="71"/>
      <c r="X542" s="53"/>
      <c r="Y542" s="71"/>
      <c r="Z542" s="53"/>
      <c r="AA542" s="13"/>
    </row>
    <row r="543" spans="10:27" x14ac:dyDescent="0.3">
      <c r="J543" s="197"/>
      <c r="K543" s="198"/>
      <c r="L543" s="196"/>
      <c r="M543" s="198"/>
      <c r="N543" s="202"/>
      <c r="P543" s="72"/>
      <c r="Q543" s="71"/>
      <c r="R543" s="53"/>
      <c r="S543" s="71"/>
      <c r="T543" s="53"/>
      <c r="U543" s="13"/>
      <c r="V543" s="72"/>
      <c r="W543" s="71"/>
      <c r="X543" s="53"/>
      <c r="Y543" s="71"/>
      <c r="Z543" s="53"/>
      <c r="AA543" s="13"/>
    </row>
    <row r="544" spans="10:27" x14ac:dyDescent="0.3">
      <c r="J544" s="197"/>
      <c r="K544" s="198"/>
      <c r="L544" s="196"/>
      <c r="M544" s="198"/>
      <c r="N544" s="202"/>
      <c r="P544" s="72"/>
      <c r="Q544" s="71"/>
      <c r="R544" s="53"/>
      <c r="S544" s="71"/>
      <c r="T544" s="53"/>
      <c r="U544" s="13"/>
      <c r="V544" s="72"/>
      <c r="W544" s="71"/>
      <c r="X544" s="53"/>
      <c r="Y544" s="71"/>
      <c r="Z544" s="53"/>
      <c r="AA544" s="13"/>
    </row>
    <row r="545" spans="10:27" x14ac:dyDescent="0.3">
      <c r="J545" s="197"/>
      <c r="K545" s="198"/>
      <c r="L545" s="196"/>
      <c r="M545" s="198"/>
      <c r="N545" s="202"/>
      <c r="P545" s="72"/>
      <c r="Q545" s="71"/>
      <c r="R545" s="53"/>
      <c r="S545" s="71"/>
      <c r="T545" s="53"/>
      <c r="U545" s="13"/>
      <c r="V545" s="72"/>
      <c r="W545" s="71"/>
      <c r="X545" s="53"/>
      <c r="Y545" s="71"/>
      <c r="Z545" s="53"/>
      <c r="AA545" s="13"/>
    </row>
    <row r="546" spans="10:27" x14ac:dyDescent="0.3">
      <c r="J546" s="197"/>
      <c r="K546" s="198"/>
      <c r="L546" s="196"/>
      <c r="M546" s="198"/>
      <c r="N546" s="202"/>
      <c r="P546" s="72"/>
      <c r="Q546" s="71"/>
      <c r="R546" s="53"/>
      <c r="S546" s="71"/>
      <c r="T546" s="53"/>
      <c r="U546" s="13"/>
      <c r="V546" s="72"/>
      <c r="W546" s="71"/>
      <c r="X546" s="53"/>
      <c r="Y546" s="71"/>
      <c r="Z546" s="53"/>
      <c r="AA546" s="13"/>
    </row>
    <row r="547" spans="10:27" x14ac:dyDescent="0.3">
      <c r="J547" s="197"/>
      <c r="K547" s="198"/>
      <c r="L547" s="196"/>
      <c r="M547" s="198"/>
      <c r="N547" s="202"/>
      <c r="P547" s="72"/>
      <c r="Q547" s="71"/>
      <c r="R547" s="53"/>
      <c r="S547" s="71"/>
      <c r="T547" s="53"/>
      <c r="U547" s="13"/>
      <c r="V547" s="72"/>
      <c r="W547" s="71"/>
      <c r="X547" s="53"/>
      <c r="Y547" s="71"/>
      <c r="Z547" s="53"/>
      <c r="AA547" s="13"/>
    </row>
    <row r="548" spans="10:27" x14ac:dyDescent="0.3">
      <c r="J548" s="197"/>
      <c r="K548" s="198"/>
      <c r="L548" s="196"/>
      <c r="M548" s="198"/>
      <c r="N548" s="202"/>
      <c r="P548" s="72"/>
      <c r="Q548" s="71"/>
      <c r="R548" s="53"/>
      <c r="S548" s="71"/>
      <c r="T548" s="53"/>
      <c r="U548" s="13"/>
      <c r="V548" s="72"/>
      <c r="W548" s="71"/>
      <c r="X548" s="53"/>
      <c r="Y548" s="71"/>
      <c r="Z548" s="53"/>
      <c r="AA548" s="13"/>
    </row>
    <row r="549" spans="10:27" x14ac:dyDescent="0.3">
      <c r="J549" s="197"/>
      <c r="K549" s="198"/>
      <c r="L549" s="196"/>
      <c r="M549" s="198"/>
      <c r="N549" s="202"/>
      <c r="P549" s="72"/>
      <c r="Q549" s="71"/>
      <c r="R549" s="53"/>
      <c r="S549" s="71"/>
      <c r="T549" s="53"/>
      <c r="U549" s="13"/>
      <c r="V549" s="72"/>
      <c r="W549" s="71"/>
      <c r="X549" s="53"/>
      <c r="Y549" s="71"/>
      <c r="Z549" s="53"/>
      <c r="AA549" s="13"/>
    </row>
    <row r="550" spans="10:27" x14ac:dyDescent="0.3">
      <c r="J550" s="197"/>
      <c r="K550" s="198"/>
      <c r="L550" s="196"/>
      <c r="M550" s="198"/>
      <c r="N550" s="202"/>
      <c r="P550" s="72"/>
      <c r="Q550" s="71"/>
      <c r="R550" s="53"/>
      <c r="S550" s="71"/>
      <c r="T550" s="53"/>
      <c r="U550" s="13"/>
      <c r="V550" s="72"/>
      <c r="W550" s="71"/>
      <c r="X550" s="53"/>
      <c r="Y550" s="71"/>
      <c r="Z550" s="53"/>
      <c r="AA550" s="13"/>
    </row>
    <row r="551" spans="10:27" x14ac:dyDescent="0.3">
      <c r="J551" s="197"/>
      <c r="K551" s="198"/>
      <c r="L551" s="196"/>
      <c r="M551" s="198"/>
      <c r="N551" s="202"/>
      <c r="P551" s="72"/>
      <c r="Q551" s="71"/>
      <c r="R551" s="53"/>
      <c r="S551" s="71"/>
      <c r="T551" s="53"/>
      <c r="U551" s="13"/>
      <c r="V551" s="72"/>
      <c r="W551" s="71"/>
      <c r="X551" s="53"/>
      <c r="Y551" s="71"/>
      <c r="Z551" s="53"/>
      <c r="AA551" s="13"/>
    </row>
    <row r="552" spans="10:27" x14ac:dyDescent="0.3">
      <c r="J552" s="197"/>
      <c r="K552" s="198"/>
      <c r="L552" s="196"/>
      <c r="M552" s="198"/>
      <c r="N552" s="202"/>
      <c r="P552" s="72"/>
      <c r="Q552" s="71"/>
      <c r="R552" s="53"/>
      <c r="S552" s="71"/>
      <c r="T552" s="53"/>
      <c r="U552" s="13"/>
      <c r="V552" s="72"/>
      <c r="W552" s="71"/>
      <c r="X552" s="53"/>
      <c r="Y552" s="71"/>
      <c r="Z552" s="53"/>
      <c r="AA552" s="13"/>
    </row>
    <row r="553" spans="10:27" x14ac:dyDescent="0.3">
      <c r="J553" s="197"/>
      <c r="K553" s="198"/>
      <c r="L553" s="196"/>
      <c r="M553" s="198"/>
      <c r="N553" s="202"/>
      <c r="P553" s="72"/>
      <c r="Q553" s="71"/>
      <c r="R553" s="53"/>
      <c r="S553" s="71"/>
      <c r="T553" s="53"/>
      <c r="U553" s="13"/>
      <c r="V553" s="72"/>
      <c r="W553" s="71"/>
      <c r="X553" s="53"/>
      <c r="Y553" s="71"/>
      <c r="Z553" s="53"/>
      <c r="AA553" s="13"/>
    </row>
    <row r="554" spans="10:27" x14ac:dyDescent="0.3">
      <c r="J554" s="197"/>
      <c r="K554" s="198"/>
      <c r="L554" s="196"/>
      <c r="M554" s="198"/>
      <c r="N554" s="202"/>
      <c r="P554" s="72"/>
      <c r="Q554" s="71"/>
      <c r="R554" s="53"/>
      <c r="S554" s="71"/>
      <c r="T554" s="53"/>
      <c r="U554" s="13"/>
      <c r="V554" s="72"/>
      <c r="W554" s="71"/>
      <c r="X554" s="53"/>
      <c r="Y554" s="71"/>
      <c r="Z554" s="53"/>
      <c r="AA554" s="13"/>
    </row>
    <row r="555" spans="10:27" x14ac:dyDescent="0.3">
      <c r="J555" s="197"/>
      <c r="K555" s="198"/>
      <c r="L555" s="196"/>
      <c r="M555" s="198"/>
      <c r="N555" s="202"/>
      <c r="P555" s="72"/>
      <c r="Q555" s="71"/>
      <c r="R555" s="53"/>
      <c r="S555" s="71"/>
      <c r="T555" s="53"/>
      <c r="U555" s="13"/>
      <c r="V555" s="72"/>
      <c r="W555" s="71"/>
      <c r="X555" s="53"/>
      <c r="Y555" s="71"/>
      <c r="Z555" s="53"/>
      <c r="AA555" s="13"/>
    </row>
    <row r="556" spans="10:27" x14ac:dyDescent="0.3">
      <c r="J556" s="197"/>
      <c r="K556" s="198"/>
      <c r="L556" s="196"/>
      <c r="M556" s="198"/>
      <c r="N556" s="202"/>
      <c r="P556" s="72"/>
      <c r="Q556" s="71"/>
      <c r="R556" s="53"/>
      <c r="S556" s="71"/>
      <c r="T556" s="53"/>
      <c r="U556" s="13"/>
      <c r="V556" s="72"/>
      <c r="W556" s="71"/>
      <c r="X556" s="53"/>
      <c r="Y556" s="71"/>
      <c r="Z556" s="53"/>
      <c r="AA556" s="13"/>
    </row>
    <row r="557" spans="10:27" x14ac:dyDescent="0.3">
      <c r="J557" s="197"/>
      <c r="K557" s="198"/>
      <c r="L557" s="196"/>
      <c r="M557" s="198"/>
      <c r="N557" s="202"/>
      <c r="P557" s="72"/>
      <c r="Q557" s="71"/>
      <c r="R557" s="53"/>
      <c r="S557" s="71"/>
      <c r="T557" s="53"/>
      <c r="U557" s="13"/>
      <c r="V557" s="72"/>
      <c r="W557" s="71"/>
      <c r="X557" s="53"/>
      <c r="Y557" s="71"/>
      <c r="Z557" s="53"/>
      <c r="AA557" s="13"/>
    </row>
    <row r="558" spans="10:27" x14ac:dyDescent="0.3">
      <c r="J558" s="197"/>
      <c r="K558" s="198"/>
      <c r="L558" s="196"/>
      <c r="M558" s="198"/>
      <c r="N558" s="202"/>
      <c r="P558" s="72"/>
      <c r="Q558" s="71"/>
      <c r="R558" s="53"/>
      <c r="S558" s="71"/>
      <c r="T558" s="53"/>
      <c r="U558" s="13"/>
      <c r="V558" s="72"/>
      <c r="W558" s="71"/>
      <c r="X558" s="53"/>
      <c r="Y558" s="71"/>
      <c r="Z558" s="53"/>
      <c r="AA558" s="13"/>
    </row>
    <row r="559" spans="10:27" x14ac:dyDescent="0.3">
      <c r="J559" s="197"/>
      <c r="K559" s="198"/>
      <c r="L559" s="196"/>
      <c r="M559" s="198"/>
      <c r="N559" s="202"/>
      <c r="P559" s="72"/>
      <c r="Q559" s="71"/>
      <c r="R559" s="53"/>
      <c r="S559" s="71"/>
      <c r="T559" s="53"/>
      <c r="U559" s="13"/>
      <c r="V559" s="72"/>
      <c r="W559" s="71"/>
      <c r="X559" s="53"/>
      <c r="Y559" s="71"/>
      <c r="Z559" s="53"/>
      <c r="AA559" s="13"/>
    </row>
    <row r="560" spans="10:27" x14ac:dyDescent="0.3">
      <c r="J560" s="197"/>
      <c r="K560" s="198"/>
      <c r="L560" s="196"/>
      <c r="M560" s="198"/>
      <c r="N560" s="202"/>
      <c r="P560" s="72"/>
      <c r="Q560" s="71"/>
      <c r="R560" s="53"/>
      <c r="S560" s="71"/>
      <c r="T560" s="53"/>
      <c r="U560" s="13"/>
      <c r="V560" s="72"/>
      <c r="W560" s="71"/>
      <c r="X560" s="53"/>
      <c r="Y560" s="71"/>
      <c r="Z560" s="53"/>
      <c r="AA560" s="13"/>
    </row>
    <row r="561" spans="10:27" x14ac:dyDescent="0.3">
      <c r="J561" s="197"/>
      <c r="K561" s="198"/>
      <c r="L561" s="196"/>
      <c r="M561" s="198"/>
      <c r="N561" s="202"/>
      <c r="P561" s="72"/>
      <c r="Q561" s="71"/>
      <c r="R561" s="53"/>
      <c r="S561" s="71"/>
      <c r="T561" s="53"/>
      <c r="U561" s="13"/>
      <c r="V561" s="72"/>
      <c r="W561" s="71"/>
      <c r="X561" s="53"/>
      <c r="Y561" s="71"/>
      <c r="Z561" s="53"/>
      <c r="AA561" s="13"/>
    </row>
    <row r="562" spans="10:27" x14ac:dyDescent="0.3">
      <c r="J562" s="197"/>
      <c r="K562" s="198"/>
      <c r="L562" s="196"/>
      <c r="M562" s="198"/>
      <c r="N562" s="202"/>
      <c r="P562" s="72"/>
      <c r="Q562" s="71"/>
      <c r="R562" s="53"/>
      <c r="S562" s="71"/>
      <c r="T562" s="53"/>
      <c r="U562" s="13"/>
      <c r="V562" s="72"/>
      <c r="W562" s="71"/>
      <c r="X562" s="53"/>
      <c r="Y562" s="71"/>
      <c r="Z562" s="53"/>
      <c r="AA562" s="13"/>
    </row>
    <row r="563" spans="10:27" x14ac:dyDescent="0.3">
      <c r="J563" s="197"/>
      <c r="K563" s="198"/>
      <c r="L563" s="196"/>
      <c r="M563" s="198"/>
      <c r="N563" s="202"/>
      <c r="P563" s="72"/>
      <c r="Q563" s="71"/>
      <c r="R563" s="53"/>
      <c r="S563" s="71"/>
      <c r="T563" s="53"/>
      <c r="U563" s="13"/>
      <c r="V563" s="72"/>
      <c r="W563" s="71"/>
      <c r="X563" s="53"/>
      <c r="Y563" s="71"/>
      <c r="Z563" s="53"/>
      <c r="AA563" s="13"/>
    </row>
    <row r="564" spans="10:27" x14ac:dyDescent="0.3">
      <c r="J564" s="197"/>
      <c r="K564" s="198"/>
      <c r="L564" s="196"/>
      <c r="M564" s="198"/>
      <c r="N564" s="202"/>
      <c r="P564" s="72"/>
      <c r="Q564" s="71"/>
      <c r="R564" s="53"/>
      <c r="S564" s="71"/>
      <c r="T564" s="53"/>
      <c r="U564" s="13"/>
      <c r="V564" s="72"/>
      <c r="W564" s="71"/>
      <c r="X564" s="53"/>
      <c r="Y564" s="71"/>
      <c r="Z564" s="53"/>
      <c r="AA564" s="13"/>
    </row>
    <row r="565" spans="10:27" x14ac:dyDescent="0.3">
      <c r="J565" s="197"/>
      <c r="K565" s="198"/>
      <c r="L565" s="196"/>
      <c r="M565" s="198"/>
      <c r="N565" s="202"/>
      <c r="P565" s="72"/>
      <c r="Q565" s="71"/>
      <c r="R565" s="53"/>
      <c r="S565" s="71"/>
      <c r="T565" s="53"/>
      <c r="U565" s="13"/>
      <c r="V565" s="72"/>
      <c r="W565" s="71"/>
      <c r="X565" s="53"/>
      <c r="Y565" s="71"/>
      <c r="Z565" s="53"/>
      <c r="AA565" s="13"/>
    </row>
    <row r="566" spans="10:27" x14ac:dyDescent="0.3">
      <c r="J566" s="197"/>
      <c r="K566" s="198"/>
      <c r="L566" s="196"/>
      <c r="M566" s="198"/>
      <c r="N566" s="202"/>
      <c r="P566" s="72"/>
      <c r="Q566" s="71"/>
      <c r="R566" s="53"/>
      <c r="S566" s="71"/>
      <c r="T566" s="53"/>
      <c r="U566" s="13"/>
      <c r="V566" s="72"/>
      <c r="W566" s="71"/>
      <c r="X566" s="53"/>
      <c r="Y566" s="71"/>
      <c r="Z566" s="53"/>
      <c r="AA566" s="13"/>
    </row>
    <row r="567" spans="10:27" x14ac:dyDescent="0.3">
      <c r="J567" s="197"/>
      <c r="K567" s="198"/>
      <c r="L567" s="196"/>
      <c r="M567" s="198"/>
      <c r="N567" s="202"/>
      <c r="P567" s="72"/>
      <c r="Q567" s="71"/>
      <c r="R567" s="53"/>
      <c r="S567" s="71"/>
      <c r="T567" s="53"/>
      <c r="U567" s="13"/>
      <c r="V567" s="72"/>
      <c r="W567" s="71"/>
      <c r="X567" s="53"/>
      <c r="Y567" s="71"/>
      <c r="Z567" s="53"/>
      <c r="AA567" s="13"/>
    </row>
    <row r="568" spans="10:27" x14ac:dyDescent="0.3">
      <c r="J568" s="197"/>
      <c r="K568" s="198"/>
      <c r="L568" s="196"/>
      <c r="M568" s="198"/>
      <c r="N568" s="202"/>
      <c r="P568" s="72"/>
      <c r="Q568" s="71"/>
      <c r="R568" s="53"/>
      <c r="S568" s="71"/>
      <c r="T568" s="53"/>
      <c r="U568" s="13"/>
      <c r="V568" s="72"/>
      <c r="W568" s="71"/>
      <c r="X568" s="53"/>
      <c r="Y568" s="71"/>
      <c r="Z568" s="53"/>
      <c r="AA568" s="13"/>
    </row>
    <row r="569" spans="10:27" x14ac:dyDescent="0.3">
      <c r="J569" s="197"/>
      <c r="K569" s="198"/>
      <c r="L569" s="196"/>
      <c r="M569" s="198"/>
      <c r="N569" s="202"/>
      <c r="P569" s="72"/>
      <c r="Q569" s="71"/>
      <c r="R569" s="53"/>
      <c r="S569" s="71"/>
      <c r="T569" s="53"/>
      <c r="U569" s="13"/>
      <c r="V569" s="72"/>
      <c r="W569" s="71"/>
      <c r="X569" s="53"/>
      <c r="Y569" s="71"/>
      <c r="Z569" s="53"/>
      <c r="AA569" s="13"/>
    </row>
    <row r="570" spans="10:27" x14ac:dyDescent="0.3">
      <c r="J570" s="197"/>
      <c r="K570" s="198"/>
      <c r="L570" s="196"/>
      <c r="M570" s="198"/>
      <c r="N570" s="202"/>
      <c r="P570" s="72"/>
      <c r="Q570" s="71"/>
      <c r="R570" s="53"/>
      <c r="S570" s="71"/>
      <c r="T570" s="53"/>
      <c r="U570" s="13"/>
      <c r="V570" s="72"/>
      <c r="W570" s="71"/>
      <c r="X570" s="53"/>
      <c r="Y570" s="71"/>
      <c r="Z570" s="53"/>
      <c r="AA570" s="13"/>
    </row>
    <row r="571" spans="10:27" x14ac:dyDescent="0.3">
      <c r="J571" s="197"/>
      <c r="K571" s="198"/>
      <c r="L571" s="196"/>
      <c r="M571" s="198"/>
      <c r="N571" s="202"/>
      <c r="P571" s="72"/>
      <c r="Q571" s="71"/>
      <c r="R571" s="53"/>
      <c r="S571" s="71"/>
      <c r="T571" s="53"/>
      <c r="U571" s="13"/>
      <c r="V571" s="72"/>
      <c r="W571" s="71"/>
      <c r="X571" s="53"/>
      <c r="Y571" s="71"/>
      <c r="Z571" s="53"/>
      <c r="AA571" s="13"/>
    </row>
    <row r="572" spans="10:27" x14ac:dyDescent="0.3">
      <c r="J572" s="197"/>
      <c r="K572" s="198"/>
      <c r="L572" s="196"/>
      <c r="M572" s="198"/>
      <c r="N572" s="202"/>
      <c r="P572" s="72"/>
      <c r="Q572" s="71"/>
      <c r="R572" s="53"/>
      <c r="S572" s="71"/>
      <c r="T572" s="53"/>
      <c r="U572" s="13"/>
      <c r="V572" s="72"/>
      <c r="W572" s="71"/>
      <c r="X572" s="53"/>
      <c r="Y572" s="71"/>
      <c r="Z572" s="53"/>
      <c r="AA572" s="13"/>
    </row>
    <row r="573" spans="10:27" x14ac:dyDescent="0.3">
      <c r="J573" s="197"/>
      <c r="K573" s="198"/>
      <c r="L573" s="196"/>
      <c r="M573" s="198"/>
      <c r="N573" s="202"/>
      <c r="P573" s="72"/>
      <c r="Q573" s="71"/>
      <c r="R573" s="53"/>
      <c r="S573" s="71"/>
      <c r="T573" s="53"/>
      <c r="U573" s="13"/>
      <c r="V573" s="72"/>
      <c r="W573" s="71"/>
      <c r="X573" s="53"/>
      <c r="Y573" s="71"/>
      <c r="Z573" s="53"/>
      <c r="AA573" s="13"/>
    </row>
    <row r="574" spans="10:27" x14ac:dyDescent="0.3">
      <c r="J574" s="197"/>
      <c r="K574" s="198"/>
      <c r="L574" s="196"/>
      <c r="M574" s="198"/>
      <c r="N574" s="202"/>
      <c r="P574" s="72"/>
      <c r="Q574" s="71"/>
      <c r="R574" s="53"/>
      <c r="S574" s="71"/>
      <c r="T574" s="53"/>
      <c r="U574" s="13"/>
      <c r="V574" s="72"/>
      <c r="W574" s="71"/>
      <c r="X574" s="53"/>
      <c r="Y574" s="71"/>
      <c r="Z574" s="53"/>
      <c r="AA574" s="13"/>
    </row>
    <row r="575" spans="10:27" x14ac:dyDescent="0.3">
      <c r="J575" s="197"/>
      <c r="K575" s="198"/>
      <c r="L575" s="196"/>
      <c r="M575" s="198"/>
      <c r="N575" s="202"/>
      <c r="P575" s="72"/>
      <c r="Q575" s="71"/>
      <c r="R575" s="53"/>
      <c r="S575" s="71"/>
      <c r="T575" s="53"/>
      <c r="U575" s="13"/>
      <c r="V575" s="72"/>
      <c r="W575" s="71"/>
      <c r="X575" s="53"/>
      <c r="Y575" s="71"/>
      <c r="Z575" s="53"/>
      <c r="AA575" s="13"/>
    </row>
    <row r="576" spans="10:27" x14ac:dyDescent="0.3">
      <c r="J576" s="197"/>
      <c r="K576" s="198"/>
      <c r="L576" s="196"/>
      <c r="M576" s="198"/>
      <c r="N576" s="202"/>
      <c r="P576" s="72"/>
      <c r="Q576" s="71"/>
      <c r="R576" s="53"/>
      <c r="S576" s="71"/>
      <c r="T576" s="53"/>
      <c r="U576" s="13"/>
      <c r="V576" s="72"/>
      <c r="W576" s="71"/>
      <c r="X576" s="53"/>
      <c r="Y576" s="71"/>
      <c r="Z576" s="53"/>
      <c r="AA576" s="13"/>
    </row>
    <row r="577" spans="10:27" x14ac:dyDescent="0.3">
      <c r="J577" s="197"/>
      <c r="K577" s="198"/>
      <c r="L577" s="196"/>
      <c r="M577" s="198"/>
      <c r="N577" s="202"/>
      <c r="P577" s="72"/>
      <c r="Q577" s="71"/>
      <c r="R577" s="53"/>
      <c r="S577" s="71"/>
      <c r="T577" s="53"/>
      <c r="U577" s="13"/>
      <c r="V577" s="72"/>
      <c r="W577" s="71"/>
      <c r="X577" s="53"/>
      <c r="Y577" s="71"/>
      <c r="Z577" s="53"/>
      <c r="AA577" s="13"/>
    </row>
    <row r="578" spans="10:27" x14ac:dyDescent="0.3">
      <c r="J578" s="197"/>
      <c r="K578" s="198"/>
      <c r="L578" s="196"/>
      <c r="M578" s="198"/>
      <c r="N578" s="202"/>
      <c r="P578" s="72"/>
      <c r="Q578" s="71"/>
      <c r="R578" s="53"/>
      <c r="S578" s="71"/>
      <c r="T578" s="53"/>
      <c r="U578" s="13"/>
      <c r="V578" s="72"/>
      <c r="W578" s="71"/>
      <c r="X578" s="53"/>
      <c r="Y578" s="71"/>
      <c r="Z578" s="53"/>
      <c r="AA578" s="13"/>
    </row>
    <row r="579" spans="10:27" x14ac:dyDescent="0.3">
      <c r="J579" s="197"/>
      <c r="K579" s="198"/>
      <c r="L579" s="196"/>
      <c r="M579" s="198"/>
      <c r="N579" s="202"/>
      <c r="P579" s="72"/>
      <c r="Q579" s="71"/>
      <c r="R579" s="53"/>
      <c r="S579" s="71"/>
      <c r="T579" s="53"/>
      <c r="U579" s="13"/>
      <c r="V579" s="72"/>
      <c r="W579" s="71"/>
      <c r="X579" s="53"/>
      <c r="Y579" s="71"/>
      <c r="Z579" s="53"/>
      <c r="AA579" s="13"/>
    </row>
    <row r="580" spans="10:27" x14ac:dyDescent="0.3">
      <c r="J580" s="197"/>
      <c r="K580" s="198"/>
      <c r="L580" s="196"/>
      <c r="M580" s="198"/>
      <c r="N580" s="202"/>
      <c r="P580" s="72"/>
      <c r="Q580" s="71"/>
      <c r="R580" s="53"/>
      <c r="S580" s="71"/>
      <c r="T580" s="53"/>
      <c r="U580" s="13"/>
      <c r="V580" s="72"/>
      <c r="W580" s="71"/>
      <c r="X580" s="53"/>
      <c r="Y580" s="71"/>
      <c r="Z580" s="53"/>
      <c r="AA580" s="13"/>
    </row>
    <row r="581" spans="10:27" x14ac:dyDescent="0.3">
      <c r="J581" s="197"/>
      <c r="K581" s="198"/>
      <c r="L581" s="196"/>
      <c r="M581" s="198"/>
      <c r="N581" s="202"/>
      <c r="P581" s="72"/>
      <c r="Q581" s="71"/>
      <c r="R581" s="53"/>
      <c r="S581" s="71"/>
      <c r="T581" s="53"/>
      <c r="U581" s="13"/>
      <c r="V581" s="72"/>
      <c r="W581" s="71"/>
      <c r="X581" s="53"/>
      <c r="Y581" s="71"/>
      <c r="Z581" s="53"/>
      <c r="AA581" s="13"/>
    </row>
    <row r="582" spans="10:27" x14ac:dyDescent="0.3">
      <c r="J582" s="197"/>
      <c r="K582" s="198"/>
      <c r="L582" s="196"/>
      <c r="M582" s="198"/>
      <c r="N582" s="202"/>
      <c r="P582" s="72"/>
      <c r="Q582" s="71"/>
      <c r="R582" s="53"/>
      <c r="S582" s="71"/>
      <c r="T582" s="53"/>
      <c r="U582" s="13"/>
      <c r="V582" s="72"/>
      <c r="W582" s="71"/>
      <c r="X582" s="53"/>
      <c r="Y582" s="71"/>
      <c r="Z582" s="53"/>
      <c r="AA582" s="13"/>
    </row>
    <row r="583" spans="10:27" x14ac:dyDescent="0.3">
      <c r="J583" s="197"/>
      <c r="K583" s="198"/>
      <c r="L583" s="196"/>
      <c r="M583" s="198"/>
      <c r="N583" s="202"/>
      <c r="P583" s="72"/>
      <c r="Q583" s="71"/>
      <c r="R583" s="53"/>
      <c r="S583" s="71"/>
      <c r="T583" s="53"/>
      <c r="U583" s="13"/>
      <c r="V583" s="72"/>
      <c r="W583" s="71"/>
      <c r="X583" s="53"/>
      <c r="Y583" s="71"/>
      <c r="Z583" s="53"/>
      <c r="AA583" s="13"/>
    </row>
    <row r="584" spans="10:27" x14ac:dyDescent="0.3">
      <c r="J584" s="197"/>
      <c r="K584" s="198"/>
      <c r="L584" s="196"/>
      <c r="M584" s="198"/>
      <c r="N584" s="202"/>
      <c r="P584" s="72"/>
      <c r="Q584" s="71"/>
      <c r="R584" s="53"/>
      <c r="S584" s="71"/>
      <c r="T584" s="53"/>
      <c r="U584" s="13"/>
      <c r="V584" s="72"/>
      <c r="W584" s="71"/>
      <c r="X584" s="53"/>
      <c r="Y584" s="71"/>
      <c r="Z584" s="53"/>
      <c r="AA584" s="13"/>
    </row>
    <row r="585" spans="10:27" x14ac:dyDescent="0.3">
      <c r="J585" s="197"/>
      <c r="K585" s="198"/>
      <c r="L585" s="196"/>
      <c r="M585" s="198"/>
      <c r="N585" s="202"/>
      <c r="P585" s="72"/>
      <c r="Q585" s="71"/>
      <c r="R585" s="53"/>
      <c r="S585" s="71"/>
      <c r="T585" s="53"/>
      <c r="U585" s="13"/>
      <c r="V585" s="72"/>
      <c r="W585" s="71"/>
      <c r="X585" s="53"/>
      <c r="Y585" s="71"/>
      <c r="Z585" s="53"/>
      <c r="AA585" s="13"/>
    </row>
    <row r="586" spans="10:27" x14ac:dyDescent="0.3">
      <c r="J586" s="197"/>
      <c r="K586" s="198"/>
      <c r="L586" s="196"/>
      <c r="M586" s="198"/>
      <c r="N586" s="202"/>
      <c r="P586" s="72"/>
      <c r="Q586" s="71"/>
      <c r="R586" s="53"/>
      <c r="S586" s="71"/>
      <c r="T586" s="53"/>
      <c r="U586" s="13"/>
      <c r="V586" s="72"/>
      <c r="W586" s="71"/>
      <c r="X586" s="53"/>
      <c r="Y586" s="71"/>
      <c r="Z586" s="53"/>
      <c r="AA586" s="13"/>
    </row>
    <row r="587" spans="10:27" x14ac:dyDescent="0.3">
      <c r="J587" s="197"/>
      <c r="K587" s="198"/>
      <c r="L587" s="196"/>
      <c r="M587" s="198"/>
      <c r="N587" s="202"/>
      <c r="P587" s="72"/>
      <c r="Q587" s="71"/>
      <c r="R587" s="53"/>
      <c r="S587" s="71"/>
      <c r="T587" s="53"/>
      <c r="U587" s="13"/>
      <c r="V587" s="72"/>
      <c r="W587" s="71"/>
      <c r="X587" s="53"/>
      <c r="Y587" s="71"/>
      <c r="Z587" s="53"/>
      <c r="AA587" s="13"/>
    </row>
    <row r="588" spans="10:27" x14ac:dyDescent="0.3">
      <c r="J588" s="197"/>
      <c r="K588" s="198"/>
      <c r="L588" s="196"/>
      <c r="M588" s="198"/>
      <c r="N588" s="202"/>
      <c r="P588" s="72"/>
      <c r="Q588" s="71"/>
      <c r="R588" s="53"/>
      <c r="S588" s="71"/>
      <c r="T588" s="53"/>
      <c r="U588" s="13"/>
      <c r="V588" s="72"/>
      <c r="W588" s="71"/>
      <c r="X588" s="53"/>
      <c r="Y588" s="71"/>
      <c r="Z588" s="53"/>
      <c r="AA588" s="13"/>
    </row>
    <row r="589" spans="10:27" x14ac:dyDescent="0.3">
      <c r="J589" s="197"/>
      <c r="K589" s="198"/>
      <c r="L589" s="196"/>
      <c r="M589" s="198"/>
      <c r="N589" s="202"/>
      <c r="P589" s="72"/>
      <c r="Q589" s="71"/>
      <c r="R589" s="53"/>
      <c r="S589" s="71"/>
      <c r="T589" s="53"/>
      <c r="U589" s="13"/>
      <c r="V589" s="72"/>
      <c r="W589" s="71"/>
      <c r="X589" s="53"/>
      <c r="Y589" s="71"/>
      <c r="Z589" s="53"/>
      <c r="AA589" s="13"/>
    </row>
    <row r="590" spans="10:27" x14ac:dyDescent="0.3">
      <c r="J590" s="197"/>
      <c r="K590" s="198"/>
      <c r="L590" s="196"/>
      <c r="M590" s="198"/>
      <c r="N590" s="202"/>
      <c r="P590" s="72"/>
      <c r="Q590" s="71"/>
      <c r="R590" s="53"/>
      <c r="S590" s="71"/>
      <c r="T590" s="53"/>
      <c r="U590" s="13"/>
      <c r="V590" s="72"/>
      <c r="W590" s="71"/>
      <c r="X590" s="53"/>
      <c r="Y590" s="71"/>
      <c r="Z590" s="53"/>
      <c r="AA590" s="13"/>
    </row>
    <row r="591" spans="10:27" x14ac:dyDescent="0.3">
      <c r="J591" s="197"/>
      <c r="K591" s="198"/>
      <c r="L591" s="196"/>
      <c r="M591" s="198"/>
      <c r="N591" s="202"/>
      <c r="P591" s="72"/>
      <c r="Q591" s="71"/>
      <c r="R591" s="53"/>
      <c r="S591" s="71"/>
      <c r="T591" s="53"/>
      <c r="U591" s="13"/>
      <c r="V591" s="72"/>
      <c r="W591" s="71"/>
      <c r="X591" s="53"/>
      <c r="Y591" s="71"/>
      <c r="Z591" s="53"/>
      <c r="AA591" s="13"/>
    </row>
    <row r="592" spans="10:27" x14ac:dyDescent="0.3">
      <c r="J592" s="197"/>
      <c r="K592" s="198"/>
      <c r="L592" s="196"/>
      <c r="M592" s="198"/>
      <c r="N592" s="202"/>
      <c r="P592" s="72"/>
      <c r="Q592" s="71"/>
      <c r="R592" s="53"/>
      <c r="S592" s="71"/>
      <c r="T592" s="53"/>
      <c r="U592" s="13"/>
      <c r="V592" s="72"/>
      <c r="W592" s="71"/>
      <c r="X592" s="53"/>
      <c r="Y592" s="71"/>
      <c r="Z592" s="53"/>
      <c r="AA592" s="13"/>
    </row>
    <row r="593" spans="10:27" x14ac:dyDescent="0.3">
      <c r="J593" s="197"/>
      <c r="K593" s="198"/>
      <c r="L593" s="196"/>
      <c r="M593" s="198"/>
      <c r="N593" s="202"/>
      <c r="P593" s="72"/>
      <c r="Q593" s="71"/>
      <c r="R593" s="53"/>
      <c r="S593" s="71"/>
      <c r="T593" s="53"/>
      <c r="U593" s="13"/>
      <c r="V593" s="72"/>
      <c r="W593" s="71"/>
      <c r="X593" s="53"/>
      <c r="Y593" s="71"/>
      <c r="Z593" s="53"/>
      <c r="AA593" s="13"/>
    </row>
    <row r="594" spans="10:27" x14ac:dyDescent="0.3">
      <c r="J594" s="197"/>
      <c r="K594" s="198"/>
      <c r="L594" s="196"/>
      <c r="M594" s="198"/>
      <c r="N594" s="202"/>
      <c r="P594" s="72"/>
      <c r="Q594" s="71"/>
      <c r="R594" s="53"/>
      <c r="S594" s="71"/>
      <c r="T594" s="53"/>
      <c r="U594" s="13"/>
      <c r="V594" s="72"/>
      <c r="W594" s="71"/>
      <c r="X594" s="53"/>
      <c r="Y594" s="71"/>
      <c r="Z594" s="53"/>
      <c r="AA594" s="13"/>
    </row>
    <row r="595" spans="10:27" x14ac:dyDescent="0.3">
      <c r="J595" s="197"/>
      <c r="K595" s="198"/>
      <c r="L595" s="196"/>
      <c r="M595" s="198"/>
      <c r="N595" s="202"/>
      <c r="P595" s="72"/>
      <c r="Q595" s="71"/>
      <c r="R595" s="53"/>
      <c r="S595" s="71"/>
      <c r="T595" s="53"/>
      <c r="U595" s="13"/>
      <c r="V595" s="72"/>
      <c r="W595" s="71"/>
      <c r="X595" s="53"/>
      <c r="Y595" s="71"/>
      <c r="Z595" s="53"/>
      <c r="AA595" s="13"/>
    </row>
    <row r="596" spans="10:27" x14ac:dyDescent="0.3">
      <c r="J596" s="197"/>
      <c r="K596" s="198"/>
      <c r="L596" s="196"/>
      <c r="M596" s="198"/>
      <c r="N596" s="202"/>
      <c r="P596" s="72"/>
      <c r="Q596" s="71"/>
      <c r="R596" s="53"/>
      <c r="S596" s="71"/>
      <c r="T596" s="53"/>
      <c r="U596" s="13"/>
      <c r="V596" s="72"/>
      <c r="W596" s="71"/>
      <c r="X596" s="53"/>
      <c r="Y596" s="71"/>
      <c r="Z596" s="53"/>
      <c r="AA596" s="13"/>
    </row>
    <row r="597" spans="10:27" x14ac:dyDescent="0.3">
      <c r="J597" s="197"/>
      <c r="K597" s="198"/>
      <c r="L597" s="196"/>
      <c r="M597" s="198"/>
      <c r="N597" s="202"/>
      <c r="P597" s="72"/>
      <c r="Q597" s="71"/>
      <c r="R597" s="53"/>
      <c r="S597" s="71"/>
      <c r="T597" s="53"/>
      <c r="U597" s="13"/>
      <c r="V597" s="72"/>
      <c r="W597" s="71"/>
      <c r="X597" s="53"/>
      <c r="Y597" s="71"/>
      <c r="Z597" s="53"/>
      <c r="AA597" s="13"/>
    </row>
    <row r="598" spans="10:27" x14ac:dyDescent="0.3">
      <c r="J598" s="197"/>
      <c r="K598" s="198"/>
      <c r="L598" s="196"/>
      <c r="M598" s="198"/>
      <c r="N598" s="202"/>
      <c r="P598" s="72"/>
      <c r="Q598" s="71"/>
      <c r="R598" s="53"/>
      <c r="S598" s="71"/>
      <c r="T598" s="53"/>
      <c r="U598" s="13"/>
      <c r="V598" s="72"/>
      <c r="W598" s="71"/>
      <c r="X598" s="53"/>
      <c r="Y598" s="71"/>
      <c r="Z598" s="53"/>
      <c r="AA598" s="13"/>
    </row>
    <row r="599" spans="10:27" x14ac:dyDescent="0.3">
      <c r="J599" s="197"/>
      <c r="K599" s="198"/>
      <c r="L599" s="196"/>
      <c r="M599" s="198"/>
      <c r="N599" s="202"/>
      <c r="P599" s="72"/>
      <c r="Q599" s="71"/>
      <c r="R599" s="53"/>
      <c r="S599" s="71"/>
      <c r="T599" s="53"/>
      <c r="U599" s="13"/>
      <c r="V599" s="72"/>
      <c r="W599" s="71"/>
      <c r="X599" s="53"/>
      <c r="Y599" s="71"/>
      <c r="Z599" s="53"/>
      <c r="AA599" s="13"/>
    </row>
    <row r="600" spans="10:27" x14ac:dyDescent="0.3">
      <c r="J600" s="197"/>
      <c r="K600" s="198"/>
      <c r="L600" s="196"/>
      <c r="M600" s="198"/>
      <c r="N600" s="202"/>
      <c r="P600" s="72"/>
      <c r="Q600" s="71"/>
      <c r="R600" s="53"/>
      <c r="S600" s="71"/>
      <c r="T600" s="53"/>
      <c r="U600" s="13"/>
      <c r="V600" s="72"/>
      <c r="W600" s="71"/>
      <c r="X600" s="53"/>
      <c r="Y600" s="71"/>
      <c r="Z600" s="53"/>
      <c r="AA600" s="13"/>
    </row>
    <row r="601" spans="10:27" x14ac:dyDescent="0.3">
      <c r="J601" s="197"/>
      <c r="K601" s="198"/>
      <c r="L601" s="196"/>
      <c r="M601" s="198"/>
      <c r="N601" s="202"/>
      <c r="P601" s="72"/>
      <c r="Q601" s="71"/>
      <c r="R601" s="53"/>
      <c r="S601" s="71"/>
      <c r="T601" s="53"/>
      <c r="U601" s="13"/>
      <c r="V601" s="72"/>
      <c r="W601" s="71"/>
      <c r="X601" s="53"/>
      <c r="Y601" s="71"/>
      <c r="Z601" s="53"/>
      <c r="AA601" s="13"/>
    </row>
    <row r="602" spans="10:27" x14ac:dyDescent="0.3">
      <c r="J602" s="197"/>
      <c r="K602" s="198"/>
      <c r="L602" s="196"/>
      <c r="M602" s="198"/>
      <c r="N602" s="202"/>
      <c r="P602" s="72"/>
      <c r="Q602" s="71"/>
      <c r="R602" s="53"/>
      <c r="S602" s="71"/>
      <c r="T602" s="53"/>
      <c r="U602" s="13"/>
      <c r="V602" s="72"/>
      <c r="W602" s="71"/>
      <c r="X602" s="53"/>
      <c r="Y602" s="71"/>
      <c r="Z602" s="53"/>
      <c r="AA602" s="13"/>
    </row>
    <row r="603" spans="10:27" x14ac:dyDescent="0.3">
      <c r="J603" s="197"/>
      <c r="K603" s="198"/>
      <c r="L603" s="196"/>
      <c r="M603" s="198"/>
      <c r="N603" s="202"/>
      <c r="P603" s="72"/>
      <c r="Q603" s="71"/>
      <c r="R603" s="53"/>
      <c r="S603" s="71"/>
      <c r="T603" s="53"/>
      <c r="U603" s="13"/>
      <c r="V603" s="72"/>
      <c r="W603" s="71"/>
      <c r="X603" s="53"/>
      <c r="Y603" s="71"/>
      <c r="Z603" s="53"/>
      <c r="AA603" s="13"/>
    </row>
    <row r="604" spans="10:27" x14ac:dyDescent="0.3">
      <c r="J604" s="197"/>
      <c r="K604" s="198"/>
      <c r="L604" s="196"/>
      <c r="M604" s="198"/>
      <c r="N604" s="202"/>
      <c r="P604" s="72"/>
      <c r="Q604" s="71"/>
      <c r="R604" s="53"/>
      <c r="S604" s="71"/>
      <c r="T604" s="53"/>
      <c r="U604" s="13"/>
      <c r="V604" s="72"/>
      <c r="W604" s="71"/>
      <c r="X604" s="53"/>
      <c r="Y604" s="71"/>
      <c r="Z604" s="53"/>
      <c r="AA604" s="13"/>
    </row>
    <row r="605" spans="10:27" x14ac:dyDescent="0.3">
      <c r="J605" s="197"/>
      <c r="K605" s="198"/>
      <c r="L605" s="196"/>
      <c r="M605" s="198"/>
      <c r="N605" s="202"/>
      <c r="P605" s="72"/>
      <c r="Q605" s="71"/>
      <c r="R605" s="53"/>
      <c r="S605" s="71"/>
      <c r="T605" s="53"/>
      <c r="U605" s="13"/>
      <c r="V605" s="72"/>
      <c r="W605" s="71"/>
      <c r="X605" s="53"/>
      <c r="Y605" s="71"/>
      <c r="Z605" s="53"/>
      <c r="AA605" s="13"/>
    </row>
    <row r="606" spans="10:27" x14ac:dyDescent="0.3">
      <c r="J606" s="197"/>
      <c r="K606" s="198"/>
      <c r="L606" s="196"/>
      <c r="M606" s="198"/>
      <c r="N606" s="202"/>
      <c r="P606" s="72"/>
      <c r="Q606" s="71"/>
      <c r="R606" s="53"/>
      <c r="S606" s="71"/>
      <c r="T606" s="53"/>
      <c r="U606" s="13"/>
      <c r="V606" s="72"/>
      <c r="W606" s="71"/>
      <c r="X606" s="53"/>
      <c r="Y606" s="71"/>
      <c r="Z606" s="53"/>
      <c r="AA606" s="13"/>
    </row>
    <row r="607" spans="10:27" x14ac:dyDescent="0.3">
      <c r="J607" s="197"/>
      <c r="K607" s="198"/>
      <c r="L607" s="196"/>
      <c r="M607" s="198"/>
      <c r="N607" s="202"/>
      <c r="P607" s="72"/>
      <c r="Q607" s="71"/>
      <c r="R607" s="53"/>
      <c r="S607" s="71"/>
      <c r="T607" s="53"/>
      <c r="U607" s="13"/>
      <c r="V607" s="72"/>
      <c r="W607" s="71"/>
      <c r="X607" s="53"/>
      <c r="Y607" s="71"/>
      <c r="Z607" s="53"/>
      <c r="AA607" s="13"/>
    </row>
    <row r="608" spans="10:27" x14ac:dyDescent="0.3">
      <c r="J608" s="197"/>
      <c r="K608" s="198"/>
      <c r="L608" s="196"/>
      <c r="M608" s="198"/>
      <c r="N608" s="202"/>
      <c r="P608" s="72"/>
      <c r="Q608" s="71"/>
      <c r="R608" s="53"/>
      <c r="S608" s="71"/>
      <c r="T608" s="53"/>
      <c r="U608" s="13"/>
      <c r="V608" s="72"/>
      <c r="W608" s="71"/>
      <c r="X608" s="53"/>
      <c r="Y608" s="71"/>
      <c r="Z608" s="53"/>
      <c r="AA608" s="13"/>
    </row>
    <row r="609" spans="10:27" x14ac:dyDescent="0.3">
      <c r="J609" s="197"/>
      <c r="K609" s="198"/>
      <c r="L609" s="196"/>
      <c r="M609" s="198"/>
      <c r="N609" s="202"/>
      <c r="P609" s="72"/>
      <c r="Q609" s="71"/>
      <c r="R609" s="53"/>
      <c r="S609" s="71"/>
      <c r="T609" s="53"/>
      <c r="U609" s="13"/>
      <c r="V609" s="72"/>
      <c r="W609" s="71"/>
      <c r="X609" s="53"/>
      <c r="Y609" s="71"/>
      <c r="Z609" s="53"/>
      <c r="AA609" s="13"/>
    </row>
    <row r="610" spans="10:27" x14ac:dyDescent="0.3">
      <c r="J610" s="197"/>
      <c r="K610" s="198"/>
      <c r="L610" s="196"/>
      <c r="M610" s="198"/>
      <c r="N610" s="202"/>
      <c r="P610" s="72"/>
      <c r="Q610" s="71"/>
      <c r="R610" s="53"/>
      <c r="S610" s="71"/>
      <c r="T610" s="53"/>
      <c r="U610" s="13"/>
      <c r="V610" s="72"/>
      <c r="W610" s="71"/>
      <c r="X610" s="53"/>
      <c r="Y610" s="71"/>
      <c r="Z610" s="53"/>
      <c r="AA610" s="13"/>
    </row>
    <row r="611" spans="10:27" x14ac:dyDescent="0.3">
      <c r="J611" s="197"/>
      <c r="K611" s="198"/>
      <c r="L611" s="196"/>
      <c r="M611" s="198"/>
      <c r="N611" s="202"/>
      <c r="P611" s="72"/>
      <c r="Q611" s="71"/>
      <c r="R611" s="53"/>
      <c r="S611" s="71"/>
      <c r="T611" s="53"/>
      <c r="U611" s="13"/>
      <c r="V611" s="72"/>
      <c r="W611" s="71"/>
      <c r="X611" s="53"/>
      <c r="Y611" s="71"/>
      <c r="Z611" s="53"/>
      <c r="AA611" s="13"/>
    </row>
    <row r="612" spans="10:27" x14ac:dyDescent="0.3">
      <c r="J612" s="197"/>
      <c r="K612" s="198"/>
      <c r="L612" s="196"/>
      <c r="M612" s="198"/>
      <c r="N612" s="202"/>
      <c r="P612" s="72"/>
      <c r="Q612" s="71"/>
      <c r="R612" s="53"/>
      <c r="S612" s="71"/>
      <c r="T612" s="53"/>
      <c r="U612" s="13"/>
      <c r="V612" s="72"/>
      <c r="W612" s="71"/>
      <c r="X612" s="53"/>
      <c r="Y612" s="71"/>
      <c r="Z612" s="53"/>
      <c r="AA612" s="13"/>
    </row>
    <row r="613" spans="10:27" x14ac:dyDescent="0.3">
      <c r="J613" s="197"/>
      <c r="K613" s="198"/>
      <c r="L613" s="196"/>
      <c r="M613" s="198"/>
      <c r="N613" s="202"/>
      <c r="P613" s="72"/>
      <c r="Q613" s="71"/>
      <c r="R613" s="53"/>
      <c r="S613" s="71"/>
      <c r="T613" s="53"/>
      <c r="U613" s="13"/>
      <c r="V613" s="72"/>
      <c r="W613" s="71"/>
      <c r="X613" s="53"/>
      <c r="Y613" s="71"/>
      <c r="Z613" s="53"/>
      <c r="AA613" s="13"/>
    </row>
    <row r="614" spans="10:27" x14ac:dyDescent="0.3">
      <c r="J614" s="197"/>
      <c r="K614" s="198"/>
      <c r="L614" s="196"/>
      <c r="M614" s="198"/>
      <c r="N614" s="202"/>
      <c r="P614" s="72"/>
      <c r="Q614" s="71"/>
      <c r="R614" s="53"/>
      <c r="S614" s="71"/>
      <c r="T614" s="53"/>
      <c r="U614" s="13"/>
      <c r="V614" s="72"/>
      <c r="W614" s="71"/>
      <c r="X614" s="53"/>
      <c r="Y614" s="71"/>
      <c r="Z614" s="53"/>
      <c r="AA614" s="13"/>
    </row>
    <row r="615" spans="10:27" x14ac:dyDescent="0.3">
      <c r="J615" s="197"/>
      <c r="K615" s="198"/>
      <c r="L615" s="196"/>
      <c r="M615" s="198"/>
      <c r="N615" s="202"/>
      <c r="P615" s="72"/>
      <c r="Q615" s="71"/>
      <c r="R615" s="53"/>
      <c r="S615" s="71"/>
      <c r="T615" s="53"/>
      <c r="U615" s="13"/>
      <c r="V615" s="72"/>
      <c r="W615" s="71"/>
      <c r="X615" s="53"/>
      <c r="Y615" s="71"/>
      <c r="Z615" s="53"/>
      <c r="AA615" s="13"/>
    </row>
    <row r="616" spans="10:27" x14ac:dyDescent="0.3">
      <c r="J616" s="197"/>
      <c r="K616" s="198"/>
      <c r="L616" s="196"/>
      <c r="M616" s="198"/>
      <c r="N616" s="202"/>
      <c r="P616" s="72"/>
      <c r="Q616" s="71"/>
      <c r="R616" s="53"/>
      <c r="S616" s="71"/>
      <c r="T616" s="53"/>
      <c r="U616" s="13"/>
      <c r="V616" s="72"/>
      <c r="W616" s="71"/>
      <c r="X616" s="53"/>
      <c r="Y616" s="71"/>
      <c r="Z616" s="53"/>
      <c r="AA616" s="13"/>
    </row>
    <row r="617" spans="10:27" x14ac:dyDescent="0.3">
      <c r="J617" s="197"/>
      <c r="K617" s="198"/>
      <c r="L617" s="196"/>
      <c r="M617" s="198"/>
      <c r="N617" s="202"/>
      <c r="P617" s="72"/>
      <c r="Q617" s="71"/>
      <c r="R617" s="53"/>
      <c r="S617" s="71"/>
      <c r="T617" s="53"/>
      <c r="U617" s="13"/>
      <c r="V617" s="72"/>
      <c r="W617" s="71"/>
      <c r="X617" s="53"/>
      <c r="Y617" s="71"/>
      <c r="Z617" s="53"/>
      <c r="AA617" s="13"/>
    </row>
    <row r="618" spans="10:27" x14ac:dyDescent="0.3">
      <c r="J618" s="197"/>
      <c r="K618" s="198"/>
      <c r="L618" s="196"/>
      <c r="M618" s="198"/>
      <c r="N618" s="202"/>
      <c r="P618" s="72"/>
      <c r="Q618" s="71"/>
      <c r="R618" s="53"/>
      <c r="S618" s="71"/>
      <c r="T618" s="53"/>
      <c r="U618" s="13"/>
      <c r="V618" s="72"/>
      <c r="W618" s="71"/>
      <c r="X618" s="53"/>
      <c r="Y618" s="71"/>
      <c r="Z618" s="53"/>
      <c r="AA618" s="13"/>
    </row>
    <row r="619" spans="10:27" x14ac:dyDescent="0.3">
      <c r="J619" s="197"/>
      <c r="K619" s="198"/>
      <c r="L619" s="196"/>
      <c r="M619" s="198"/>
      <c r="N619" s="202"/>
      <c r="P619" s="72"/>
      <c r="Q619" s="71"/>
      <c r="R619" s="53"/>
      <c r="S619" s="71"/>
      <c r="T619" s="53"/>
      <c r="U619" s="13"/>
      <c r="V619" s="72"/>
      <c r="W619" s="71"/>
      <c r="X619" s="53"/>
      <c r="Y619" s="71"/>
      <c r="Z619" s="53"/>
      <c r="AA619" s="13"/>
    </row>
    <row r="620" spans="10:27" x14ac:dyDescent="0.3">
      <c r="J620" s="197"/>
      <c r="K620" s="198"/>
      <c r="L620" s="196"/>
      <c r="M620" s="198"/>
      <c r="N620" s="202"/>
      <c r="P620" s="72"/>
      <c r="Q620" s="71"/>
      <c r="R620" s="53"/>
      <c r="S620" s="71"/>
      <c r="T620" s="53"/>
      <c r="U620" s="13"/>
      <c r="V620" s="72"/>
      <c r="W620" s="71"/>
      <c r="X620" s="53"/>
      <c r="Y620" s="71"/>
      <c r="Z620" s="53"/>
      <c r="AA620" s="13"/>
    </row>
    <row r="621" spans="10:27" x14ac:dyDescent="0.3">
      <c r="J621" s="197"/>
      <c r="K621" s="198"/>
      <c r="L621" s="196"/>
      <c r="M621" s="198"/>
      <c r="N621" s="202"/>
      <c r="P621" s="72"/>
      <c r="Q621" s="71"/>
      <c r="R621" s="53"/>
      <c r="S621" s="71"/>
      <c r="T621" s="53"/>
      <c r="U621" s="13"/>
      <c r="V621" s="72"/>
      <c r="W621" s="71"/>
      <c r="X621" s="53"/>
      <c r="Y621" s="71"/>
      <c r="Z621" s="53"/>
      <c r="AA621" s="13"/>
    </row>
    <row r="622" spans="10:27" x14ac:dyDescent="0.3">
      <c r="J622" s="197"/>
      <c r="K622" s="198"/>
      <c r="L622" s="196"/>
      <c r="M622" s="198"/>
      <c r="N622" s="202"/>
      <c r="P622" s="72"/>
      <c r="Q622" s="71"/>
      <c r="R622" s="53"/>
      <c r="S622" s="71"/>
      <c r="T622" s="53"/>
      <c r="U622" s="13"/>
      <c r="V622" s="72"/>
      <c r="W622" s="71"/>
      <c r="X622" s="53"/>
      <c r="Y622" s="71"/>
      <c r="Z622" s="53"/>
      <c r="AA622" s="13"/>
    </row>
    <row r="623" spans="10:27" x14ac:dyDescent="0.3">
      <c r="J623" s="197"/>
      <c r="K623" s="198"/>
      <c r="L623" s="196"/>
      <c r="M623" s="198"/>
      <c r="N623" s="202"/>
      <c r="P623" s="72"/>
      <c r="Q623" s="71"/>
      <c r="R623" s="53"/>
      <c r="S623" s="71"/>
      <c r="T623" s="53"/>
      <c r="U623" s="13"/>
      <c r="V623" s="72"/>
      <c r="W623" s="71"/>
      <c r="X623" s="53"/>
      <c r="Y623" s="71"/>
      <c r="Z623" s="53"/>
      <c r="AA623" s="13"/>
    </row>
    <row r="624" spans="10:27" x14ac:dyDescent="0.3">
      <c r="J624" s="197"/>
      <c r="K624" s="198"/>
      <c r="L624" s="196"/>
      <c r="M624" s="198"/>
      <c r="N624" s="202"/>
      <c r="P624" s="72"/>
      <c r="Q624" s="71"/>
      <c r="R624" s="53"/>
      <c r="S624" s="71"/>
      <c r="T624" s="53"/>
      <c r="U624" s="13"/>
      <c r="V624" s="72"/>
      <c r="W624" s="71"/>
      <c r="X624" s="53"/>
      <c r="Y624" s="71"/>
      <c r="Z624" s="53"/>
      <c r="AA624" s="13"/>
    </row>
    <row r="625" spans="10:27" x14ac:dyDescent="0.3">
      <c r="J625" s="197"/>
      <c r="K625" s="198"/>
      <c r="L625" s="196"/>
      <c r="M625" s="198"/>
      <c r="N625" s="202"/>
      <c r="P625" s="72"/>
      <c r="Q625" s="71"/>
      <c r="R625" s="53"/>
      <c r="S625" s="71"/>
      <c r="T625" s="53"/>
      <c r="U625" s="13"/>
      <c r="V625" s="72"/>
      <c r="W625" s="71"/>
      <c r="X625" s="53"/>
      <c r="Y625" s="71"/>
      <c r="Z625" s="53"/>
      <c r="AA625" s="13"/>
    </row>
    <row r="626" spans="10:27" x14ac:dyDescent="0.3">
      <c r="J626" s="197"/>
      <c r="K626" s="198"/>
      <c r="L626" s="196"/>
      <c r="M626" s="198"/>
      <c r="N626" s="202"/>
      <c r="P626" s="72"/>
      <c r="Q626" s="71"/>
      <c r="R626" s="53"/>
      <c r="S626" s="71"/>
      <c r="T626" s="53"/>
      <c r="U626" s="13"/>
      <c r="V626" s="72"/>
      <c r="W626" s="71"/>
      <c r="X626" s="53"/>
      <c r="Y626" s="71"/>
      <c r="Z626" s="53"/>
      <c r="AA626" s="13"/>
    </row>
    <row r="627" spans="10:27" x14ac:dyDescent="0.3">
      <c r="J627" s="197"/>
      <c r="K627" s="198"/>
      <c r="L627" s="196"/>
      <c r="M627" s="198"/>
      <c r="N627" s="202"/>
      <c r="P627" s="72"/>
      <c r="Q627" s="71"/>
      <c r="R627" s="53"/>
      <c r="S627" s="71"/>
      <c r="T627" s="53"/>
      <c r="U627" s="13"/>
      <c r="V627" s="72"/>
      <c r="W627" s="71"/>
      <c r="X627" s="53"/>
      <c r="Y627" s="71"/>
      <c r="Z627" s="53"/>
      <c r="AA627" s="13"/>
    </row>
    <row r="628" spans="10:27" x14ac:dyDescent="0.3">
      <c r="J628" s="197"/>
      <c r="K628" s="198"/>
      <c r="L628" s="196"/>
      <c r="M628" s="198"/>
      <c r="N628" s="202"/>
      <c r="P628" s="72"/>
      <c r="Q628" s="71"/>
      <c r="R628" s="53"/>
      <c r="S628" s="71"/>
      <c r="T628" s="53"/>
      <c r="U628" s="13"/>
      <c r="V628" s="72"/>
      <c r="W628" s="71"/>
      <c r="X628" s="53"/>
      <c r="Y628" s="71"/>
      <c r="Z628" s="53"/>
      <c r="AA628" s="13"/>
    </row>
    <row r="629" spans="10:27" x14ac:dyDescent="0.3">
      <c r="J629" s="197"/>
      <c r="K629" s="198"/>
      <c r="L629" s="196"/>
      <c r="M629" s="198"/>
      <c r="N629" s="202"/>
      <c r="P629" s="72"/>
      <c r="Q629" s="71"/>
      <c r="R629" s="53"/>
      <c r="S629" s="71"/>
      <c r="T629" s="53"/>
      <c r="U629" s="13"/>
      <c r="V629" s="72"/>
      <c r="W629" s="71"/>
      <c r="X629" s="53"/>
      <c r="Y629" s="71"/>
      <c r="Z629" s="53"/>
      <c r="AA629" s="13"/>
    </row>
    <row r="630" spans="10:27" x14ac:dyDescent="0.3">
      <c r="J630" s="197"/>
      <c r="K630" s="198"/>
      <c r="L630" s="196"/>
      <c r="M630" s="198"/>
      <c r="N630" s="202"/>
      <c r="P630" s="72"/>
      <c r="Q630" s="71"/>
      <c r="R630" s="53"/>
      <c r="S630" s="71"/>
      <c r="T630" s="53"/>
      <c r="U630" s="13"/>
      <c r="V630" s="72"/>
      <c r="W630" s="71"/>
      <c r="X630" s="53"/>
      <c r="Y630" s="71"/>
      <c r="Z630" s="53"/>
      <c r="AA630" s="13"/>
    </row>
    <row r="631" spans="10:27" x14ac:dyDescent="0.3">
      <c r="J631" s="197"/>
      <c r="K631" s="198"/>
      <c r="L631" s="196"/>
      <c r="M631" s="198"/>
      <c r="N631" s="202"/>
      <c r="P631" s="72"/>
      <c r="Q631" s="71"/>
      <c r="R631" s="53"/>
      <c r="S631" s="71"/>
      <c r="T631" s="53"/>
      <c r="U631" s="13"/>
      <c r="V631" s="72"/>
      <c r="W631" s="71"/>
      <c r="X631" s="53"/>
      <c r="Y631" s="71"/>
      <c r="Z631" s="53"/>
      <c r="AA631" s="13"/>
    </row>
    <row r="632" spans="10:27" x14ac:dyDescent="0.3">
      <c r="J632" s="197"/>
      <c r="K632" s="198"/>
      <c r="L632" s="196"/>
      <c r="M632" s="198"/>
      <c r="N632" s="202"/>
      <c r="P632" s="72"/>
      <c r="Q632" s="71"/>
      <c r="R632" s="53"/>
      <c r="S632" s="71"/>
      <c r="T632" s="53"/>
      <c r="U632" s="13"/>
      <c r="V632" s="72"/>
      <c r="W632" s="71"/>
      <c r="X632" s="53"/>
      <c r="Y632" s="71"/>
      <c r="Z632" s="53"/>
      <c r="AA632" s="13"/>
    </row>
    <row r="633" spans="10:27" x14ac:dyDescent="0.3">
      <c r="J633" s="197"/>
      <c r="K633" s="198"/>
      <c r="L633" s="196"/>
      <c r="M633" s="198"/>
      <c r="N633" s="202"/>
      <c r="P633" s="72"/>
      <c r="Q633" s="71"/>
      <c r="R633" s="53"/>
      <c r="S633" s="71"/>
      <c r="T633" s="53"/>
      <c r="U633" s="13"/>
      <c r="V633" s="72"/>
      <c r="W633" s="71"/>
      <c r="X633" s="53"/>
      <c r="Y633" s="71"/>
      <c r="Z633" s="53"/>
      <c r="AA633" s="13"/>
    </row>
    <row r="634" spans="10:27" x14ac:dyDescent="0.3">
      <c r="J634" s="197"/>
      <c r="K634" s="198"/>
      <c r="L634" s="196"/>
      <c r="M634" s="198"/>
      <c r="N634" s="202"/>
      <c r="P634" s="72"/>
      <c r="Q634" s="71"/>
      <c r="R634" s="53"/>
      <c r="S634" s="71"/>
      <c r="T634" s="53"/>
      <c r="U634" s="13"/>
      <c r="V634" s="72"/>
      <c r="W634" s="71"/>
      <c r="X634" s="53"/>
      <c r="Y634" s="71"/>
      <c r="Z634" s="53"/>
      <c r="AA634" s="13"/>
    </row>
    <row r="635" spans="10:27" x14ac:dyDescent="0.3">
      <c r="J635" s="197"/>
      <c r="K635" s="198"/>
      <c r="L635" s="196"/>
      <c r="M635" s="198"/>
      <c r="N635" s="202"/>
      <c r="P635" s="72"/>
      <c r="Q635" s="71"/>
      <c r="R635" s="53"/>
      <c r="S635" s="71"/>
      <c r="T635" s="53"/>
      <c r="U635" s="13"/>
      <c r="V635" s="72"/>
      <c r="W635" s="71"/>
      <c r="X635" s="53"/>
      <c r="Y635" s="71"/>
      <c r="Z635" s="53"/>
      <c r="AA635" s="13"/>
    </row>
    <row r="636" spans="10:27" x14ac:dyDescent="0.3">
      <c r="J636" s="197"/>
      <c r="K636" s="198"/>
      <c r="L636" s="196"/>
      <c r="M636" s="198"/>
      <c r="N636" s="202"/>
      <c r="P636" s="72"/>
      <c r="Q636" s="71"/>
      <c r="R636" s="53"/>
      <c r="S636" s="71"/>
      <c r="T636" s="53"/>
      <c r="U636" s="13"/>
      <c r="V636" s="72"/>
      <c r="W636" s="71"/>
      <c r="X636" s="53"/>
      <c r="Y636" s="71"/>
      <c r="Z636" s="53"/>
      <c r="AA636" s="13"/>
    </row>
    <row r="637" spans="10:27" x14ac:dyDescent="0.3">
      <c r="J637" s="197"/>
      <c r="K637" s="198"/>
      <c r="L637" s="196"/>
      <c r="M637" s="198"/>
      <c r="N637" s="202"/>
      <c r="P637" s="72"/>
      <c r="Q637" s="71"/>
      <c r="R637" s="53"/>
      <c r="S637" s="71"/>
      <c r="T637" s="53"/>
      <c r="U637" s="13"/>
      <c r="V637" s="72"/>
      <c r="W637" s="71"/>
      <c r="X637" s="53"/>
      <c r="Y637" s="71"/>
      <c r="Z637" s="53"/>
      <c r="AA637" s="13"/>
    </row>
    <row r="638" spans="10:27" x14ac:dyDescent="0.3">
      <c r="J638" s="197"/>
      <c r="K638" s="198"/>
      <c r="L638" s="196"/>
      <c r="M638" s="198"/>
      <c r="N638" s="202"/>
      <c r="P638" s="72"/>
      <c r="Q638" s="71"/>
      <c r="R638" s="53"/>
      <c r="S638" s="71"/>
      <c r="T638" s="53"/>
      <c r="U638" s="13"/>
      <c r="V638" s="72"/>
      <c r="W638" s="71"/>
      <c r="X638" s="53"/>
      <c r="Y638" s="71"/>
      <c r="Z638" s="53"/>
      <c r="AA638" s="13"/>
    </row>
    <row r="639" spans="10:27" x14ac:dyDescent="0.3">
      <c r="J639" s="197"/>
      <c r="K639" s="198"/>
      <c r="L639" s="196"/>
      <c r="M639" s="198"/>
      <c r="N639" s="202"/>
      <c r="P639" s="72"/>
      <c r="Q639" s="71"/>
      <c r="R639" s="53"/>
      <c r="S639" s="71"/>
      <c r="T639" s="53"/>
      <c r="U639" s="13"/>
      <c r="V639" s="72"/>
      <c r="W639" s="71"/>
      <c r="X639" s="53"/>
      <c r="Y639" s="71"/>
      <c r="Z639" s="53"/>
      <c r="AA639" s="13"/>
    </row>
    <row r="640" spans="10:27" x14ac:dyDescent="0.3">
      <c r="J640" s="197"/>
      <c r="K640" s="198"/>
      <c r="L640" s="196"/>
      <c r="M640" s="198"/>
      <c r="N640" s="202"/>
      <c r="P640" s="72"/>
      <c r="Q640" s="71"/>
      <c r="R640" s="53"/>
      <c r="S640" s="71"/>
      <c r="T640" s="53"/>
      <c r="U640" s="13"/>
      <c r="V640" s="72"/>
      <c r="W640" s="71"/>
      <c r="X640" s="53"/>
      <c r="Y640" s="71"/>
      <c r="Z640" s="53"/>
      <c r="AA640" s="13"/>
    </row>
    <row r="641" spans="10:27" x14ac:dyDescent="0.3">
      <c r="J641" s="197"/>
      <c r="K641" s="198"/>
      <c r="L641" s="196"/>
      <c r="M641" s="198"/>
      <c r="N641" s="202"/>
      <c r="P641" s="72"/>
      <c r="Q641" s="71"/>
      <c r="R641" s="53"/>
      <c r="S641" s="71"/>
      <c r="T641" s="53"/>
      <c r="U641" s="13"/>
      <c r="V641" s="72"/>
      <c r="W641" s="71"/>
      <c r="X641" s="53"/>
      <c r="Y641" s="71"/>
      <c r="Z641" s="53"/>
      <c r="AA641" s="13"/>
    </row>
    <row r="642" spans="10:27" x14ac:dyDescent="0.3">
      <c r="J642" s="197"/>
      <c r="K642" s="198"/>
      <c r="L642" s="196"/>
      <c r="M642" s="198"/>
      <c r="N642" s="202"/>
      <c r="P642" s="72"/>
      <c r="Q642" s="71"/>
      <c r="R642" s="53"/>
      <c r="S642" s="71"/>
      <c r="T642" s="53"/>
      <c r="U642" s="13"/>
      <c r="V642" s="72"/>
      <c r="W642" s="71"/>
      <c r="X642" s="53"/>
      <c r="Y642" s="71"/>
      <c r="Z642" s="53"/>
      <c r="AA642" s="13"/>
    </row>
    <row r="643" spans="10:27" x14ac:dyDescent="0.3">
      <c r="J643" s="197"/>
      <c r="K643" s="198"/>
      <c r="L643" s="196"/>
      <c r="M643" s="198"/>
      <c r="N643" s="202"/>
      <c r="P643" s="72"/>
      <c r="Q643" s="71"/>
      <c r="R643" s="53"/>
      <c r="S643" s="71"/>
      <c r="T643" s="53"/>
      <c r="U643" s="13"/>
      <c r="V643" s="72"/>
      <c r="W643" s="71"/>
      <c r="X643" s="53"/>
      <c r="Y643" s="71"/>
      <c r="Z643" s="53"/>
      <c r="AA643" s="13"/>
    </row>
    <row r="644" spans="10:27" x14ac:dyDescent="0.3">
      <c r="J644" s="197"/>
      <c r="K644" s="198"/>
      <c r="L644" s="196"/>
      <c r="M644" s="198"/>
      <c r="N644" s="202"/>
      <c r="P644" s="72"/>
      <c r="Q644" s="71"/>
      <c r="R644" s="53"/>
      <c r="S644" s="71"/>
      <c r="T644" s="53"/>
      <c r="U644" s="13"/>
      <c r="V644" s="72"/>
      <c r="W644" s="71"/>
      <c r="X644" s="53"/>
      <c r="Y644" s="71"/>
      <c r="Z644" s="53"/>
      <c r="AA644" s="13"/>
    </row>
    <row r="645" spans="10:27" x14ac:dyDescent="0.3">
      <c r="J645" s="197"/>
      <c r="K645" s="198"/>
      <c r="L645" s="196"/>
      <c r="M645" s="198"/>
      <c r="N645" s="202"/>
      <c r="P645" s="72"/>
      <c r="Q645" s="71"/>
      <c r="R645" s="53"/>
      <c r="S645" s="71"/>
      <c r="T645" s="53"/>
      <c r="U645" s="13"/>
      <c r="V645" s="72"/>
      <c r="W645" s="71"/>
      <c r="X645" s="53"/>
      <c r="Y645" s="71"/>
      <c r="Z645" s="53"/>
      <c r="AA645" s="13"/>
    </row>
    <row r="646" spans="10:27" x14ac:dyDescent="0.3">
      <c r="J646" s="197"/>
      <c r="K646" s="198"/>
      <c r="L646" s="196"/>
      <c r="M646" s="198"/>
      <c r="N646" s="202"/>
      <c r="P646" s="72"/>
      <c r="Q646" s="71"/>
      <c r="R646" s="53"/>
      <c r="S646" s="71"/>
      <c r="T646" s="53"/>
      <c r="U646" s="13"/>
      <c r="V646" s="72"/>
      <c r="W646" s="71"/>
      <c r="X646" s="53"/>
      <c r="Y646" s="71"/>
      <c r="Z646" s="53"/>
      <c r="AA646" s="13"/>
    </row>
    <row r="647" spans="10:27" x14ac:dyDescent="0.3">
      <c r="J647" s="197"/>
      <c r="K647" s="198"/>
      <c r="L647" s="196"/>
      <c r="M647" s="198"/>
      <c r="N647" s="202"/>
      <c r="P647" s="72"/>
      <c r="Q647" s="71"/>
      <c r="R647" s="53"/>
      <c r="S647" s="71"/>
      <c r="T647" s="53"/>
      <c r="U647" s="13"/>
      <c r="V647" s="72"/>
      <c r="W647" s="71"/>
      <c r="X647" s="53"/>
      <c r="Y647" s="71"/>
      <c r="Z647" s="53"/>
      <c r="AA647" s="13"/>
    </row>
    <row r="648" spans="10:27" x14ac:dyDescent="0.3">
      <c r="J648" s="197"/>
      <c r="K648" s="198"/>
      <c r="L648" s="196"/>
      <c r="M648" s="198"/>
      <c r="N648" s="202"/>
      <c r="P648" s="72"/>
      <c r="Q648" s="71"/>
      <c r="R648" s="53"/>
      <c r="S648" s="71"/>
      <c r="T648" s="53"/>
      <c r="U648" s="13"/>
      <c r="V648" s="72"/>
      <c r="W648" s="71"/>
      <c r="X648" s="53"/>
      <c r="Y648" s="71"/>
      <c r="Z648" s="53"/>
      <c r="AA648" s="13"/>
    </row>
    <row r="649" spans="10:27" x14ac:dyDescent="0.3">
      <c r="J649" s="197"/>
      <c r="K649" s="198"/>
      <c r="L649" s="196"/>
      <c r="M649" s="198"/>
      <c r="N649" s="202"/>
      <c r="P649" s="72"/>
      <c r="Q649" s="71"/>
      <c r="R649" s="53"/>
      <c r="S649" s="71"/>
      <c r="T649" s="53"/>
      <c r="U649" s="13"/>
      <c r="V649" s="72"/>
      <c r="W649" s="71"/>
      <c r="X649" s="53"/>
      <c r="Y649" s="71"/>
      <c r="Z649" s="53"/>
      <c r="AA649" s="13"/>
    </row>
    <row r="650" spans="10:27" x14ac:dyDescent="0.3">
      <c r="J650" s="197"/>
      <c r="K650" s="198"/>
      <c r="L650" s="196"/>
      <c r="M650" s="198"/>
      <c r="N650" s="202"/>
      <c r="P650" s="72"/>
      <c r="Q650" s="71"/>
      <c r="R650" s="53"/>
      <c r="S650" s="71"/>
      <c r="T650" s="53"/>
      <c r="U650" s="13"/>
      <c r="V650" s="72"/>
      <c r="W650" s="71"/>
      <c r="X650" s="53"/>
      <c r="Y650" s="71"/>
      <c r="Z650" s="53"/>
      <c r="AA650" s="13"/>
    </row>
    <row r="651" spans="10:27" x14ac:dyDescent="0.3">
      <c r="J651" s="197"/>
      <c r="K651" s="198"/>
      <c r="L651" s="196"/>
      <c r="M651" s="198"/>
      <c r="N651" s="202"/>
      <c r="P651" s="72"/>
      <c r="Q651" s="71"/>
      <c r="R651" s="53"/>
      <c r="S651" s="71"/>
      <c r="T651" s="53"/>
      <c r="U651" s="13"/>
      <c r="V651" s="72"/>
      <c r="W651" s="71"/>
      <c r="X651" s="53"/>
      <c r="Y651" s="71"/>
      <c r="Z651" s="53"/>
      <c r="AA651" s="13"/>
    </row>
    <row r="652" spans="10:27" x14ac:dyDescent="0.3">
      <c r="J652" s="197"/>
      <c r="K652" s="198"/>
      <c r="L652" s="196"/>
      <c r="M652" s="198"/>
      <c r="N652" s="202"/>
      <c r="P652" s="72"/>
      <c r="Q652" s="71"/>
      <c r="R652" s="53"/>
      <c r="S652" s="71"/>
      <c r="T652" s="53"/>
      <c r="U652" s="13"/>
      <c r="V652" s="72"/>
      <c r="W652" s="71"/>
      <c r="X652" s="53"/>
      <c r="Y652" s="71"/>
      <c r="Z652" s="53"/>
      <c r="AA652" s="13"/>
    </row>
    <row r="653" spans="10:27" x14ac:dyDescent="0.3">
      <c r="J653" s="197"/>
      <c r="K653" s="198"/>
      <c r="L653" s="196"/>
      <c r="M653" s="198"/>
      <c r="N653" s="202"/>
      <c r="P653" s="72"/>
      <c r="Q653" s="71"/>
      <c r="R653" s="53"/>
      <c r="S653" s="71"/>
      <c r="T653" s="53"/>
      <c r="U653" s="13"/>
      <c r="V653" s="72"/>
      <c r="W653" s="71"/>
      <c r="X653" s="53"/>
      <c r="Y653" s="71"/>
      <c r="Z653" s="53"/>
      <c r="AA653" s="13"/>
    </row>
    <row r="654" spans="10:27" x14ac:dyDescent="0.3">
      <c r="J654" s="197"/>
      <c r="K654" s="198"/>
      <c r="L654" s="196"/>
      <c r="M654" s="198"/>
      <c r="N654" s="202"/>
      <c r="P654" s="72"/>
      <c r="Q654" s="71"/>
      <c r="R654" s="53"/>
      <c r="S654" s="71"/>
      <c r="T654" s="53"/>
      <c r="U654" s="13"/>
      <c r="V654" s="72"/>
      <c r="W654" s="71"/>
      <c r="X654" s="53"/>
      <c r="Y654" s="71"/>
      <c r="Z654" s="53"/>
      <c r="AA654" s="13"/>
    </row>
    <row r="655" spans="10:27" x14ac:dyDescent="0.3">
      <c r="J655" s="197"/>
      <c r="K655" s="198"/>
      <c r="L655" s="196"/>
      <c r="M655" s="198"/>
      <c r="N655" s="202"/>
      <c r="P655" s="72"/>
      <c r="Q655" s="71"/>
      <c r="R655" s="53"/>
      <c r="S655" s="71"/>
      <c r="T655" s="53"/>
      <c r="U655" s="13"/>
      <c r="V655" s="72"/>
      <c r="W655" s="71"/>
      <c r="X655" s="53"/>
      <c r="Y655" s="71"/>
      <c r="Z655" s="53"/>
      <c r="AA655" s="13"/>
    </row>
    <row r="656" spans="10:27" x14ac:dyDescent="0.3">
      <c r="J656" s="197"/>
      <c r="K656" s="198"/>
      <c r="L656" s="196"/>
      <c r="M656" s="198"/>
      <c r="N656" s="202"/>
      <c r="P656" s="72"/>
      <c r="Q656" s="71"/>
      <c r="R656" s="53"/>
      <c r="S656" s="71"/>
      <c r="T656" s="53"/>
      <c r="U656" s="13"/>
      <c r="V656" s="72"/>
      <c r="W656" s="71"/>
      <c r="X656" s="53"/>
      <c r="Y656" s="71"/>
      <c r="Z656" s="53"/>
      <c r="AA656" s="13"/>
    </row>
    <row r="657" spans="10:27" x14ac:dyDescent="0.3">
      <c r="J657" s="197"/>
      <c r="K657" s="198"/>
      <c r="L657" s="196"/>
      <c r="M657" s="198"/>
      <c r="N657" s="202"/>
      <c r="P657" s="72"/>
      <c r="Q657" s="71"/>
      <c r="R657" s="53"/>
      <c r="S657" s="71"/>
      <c r="T657" s="53"/>
      <c r="U657" s="13"/>
      <c r="V657" s="72"/>
      <c r="W657" s="71"/>
      <c r="X657" s="53"/>
      <c r="Y657" s="71"/>
      <c r="Z657" s="53"/>
      <c r="AA657" s="13"/>
    </row>
    <row r="658" spans="10:27" x14ac:dyDescent="0.3">
      <c r="J658" s="197"/>
      <c r="K658" s="198"/>
      <c r="L658" s="196"/>
      <c r="M658" s="198"/>
      <c r="N658" s="202"/>
      <c r="P658" s="72"/>
      <c r="Q658" s="71"/>
      <c r="R658" s="53"/>
      <c r="S658" s="71"/>
      <c r="T658" s="53"/>
      <c r="U658" s="13"/>
      <c r="V658" s="72"/>
      <c r="W658" s="71"/>
      <c r="X658" s="53"/>
      <c r="Y658" s="71"/>
      <c r="Z658" s="53"/>
      <c r="AA658" s="13"/>
    </row>
    <row r="659" spans="10:27" x14ac:dyDescent="0.3">
      <c r="J659" s="197"/>
      <c r="K659" s="198"/>
      <c r="L659" s="196"/>
      <c r="M659" s="198"/>
      <c r="N659" s="202"/>
      <c r="P659" s="72"/>
      <c r="Q659" s="71"/>
      <c r="R659" s="53"/>
      <c r="S659" s="71"/>
      <c r="T659" s="53"/>
      <c r="U659" s="13"/>
      <c r="V659" s="72"/>
      <c r="W659" s="71"/>
      <c r="X659" s="53"/>
      <c r="Y659" s="71"/>
      <c r="Z659" s="53"/>
      <c r="AA659" s="13"/>
    </row>
    <row r="660" spans="10:27" x14ac:dyDescent="0.3">
      <c r="J660" s="197"/>
      <c r="K660" s="198"/>
      <c r="L660" s="196"/>
      <c r="M660" s="198"/>
      <c r="N660" s="202"/>
      <c r="P660" s="72"/>
      <c r="Q660" s="71"/>
      <c r="R660" s="53"/>
      <c r="S660" s="71"/>
      <c r="T660" s="53"/>
      <c r="U660" s="13"/>
      <c r="V660" s="72"/>
      <c r="W660" s="71"/>
      <c r="X660" s="53"/>
      <c r="Y660" s="71"/>
      <c r="Z660" s="53"/>
      <c r="AA660" s="13"/>
    </row>
    <row r="661" spans="10:27" x14ac:dyDescent="0.3">
      <c r="J661" s="197"/>
      <c r="K661" s="198"/>
      <c r="L661" s="196"/>
      <c r="M661" s="198"/>
      <c r="N661" s="202"/>
      <c r="P661" s="72"/>
      <c r="Q661" s="71"/>
      <c r="R661" s="53"/>
      <c r="S661" s="71"/>
      <c r="T661" s="53"/>
      <c r="U661" s="13"/>
      <c r="V661" s="72"/>
      <c r="W661" s="71"/>
      <c r="X661" s="53"/>
      <c r="Y661" s="71"/>
      <c r="Z661" s="53"/>
      <c r="AA661" s="13"/>
    </row>
    <row r="662" spans="10:27" x14ac:dyDescent="0.3">
      <c r="J662" s="197"/>
      <c r="K662" s="198"/>
      <c r="L662" s="196"/>
      <c r="M662" s="198"/>
      <c r="N662" s="202"/>
      <c r="P662" s="72"/>
      <c r="Q662" s="71"/>
      <c r="R662" s="53"/>
      <c r="S662" s="71"/>
      <c r="T662" s="53"/>
      <c r="U662" s="13"/>
      <c r="V662" s="72"/>
      <c r="W662" s="71"/>
      <c r="X662" s="53"/>
      <c r="Y662" s="71"/>
      <c r="Z662" s="53"/>
      <c r="AA662" s="13"/>
    </row>
    <row r="663" spans="10:27" x14ac:dyDescent="0.3">
      <c r="J663" s="197"/>
      <c r="K663" s="198"/>
      <c r="L663" s="196"/>
      <c r="M663" s="198"/>
      <c r="N663" s="202"/>
      <c r="P663" s="72"/>
      <c r="Q663" s="71"/>
      <c r="R663" s="53"/>
      <c r="S663" s="71"/>
      <c r="T663" s="53"/>
      <c r="U663" s="13"/>
      <c r="V663" s="72"/>
      <c r="W663" s="71"/>
      <c r="X663" s="53"/>
      <c r="Y663" s="71"/>
      <c r="Z663" s="53"/>
      <c r="AA663" s="13"/>
    </row>
    <row r="664" spans="10:27" x14ac:dyDescent="0.3">
      <c r="J664" s="197"/>
      <c r="K664" s="198"/>
      <c r="L664" s="196"/>
      <c r="M664" s="198"/>
      <c r="N664" s="202"/>
      <c r="P664" s="72"/>
      <c r="Q664" s="71"/>
      <c r="R664" s="53"/>
      <c r="S664" s="71"/>
      <c r="T664" s="53"/>
      <c r="U664" s="13"/>
      <c r="V664" s="72"/>
      <c r="W664" s="71"/>
      <c r="X664" s="53"/>
      <c r="Y664" s="71"/>
      <c r="Z664" s="53"/>
      <c r="AA664" s="13"/>
    </row>
    <row r="665" spans="10:27" x14ac:dyDescent="0.3">
      <c r="J665" s="197"/>
      <c r="K665" s="198"/>
      <c r="L665" s="196"/>
      <c r="M665" s="198"/>
      <c r="N665" s="202"/>
      <c r="P665" s="72"/>
      <c r="Q665" s="71"/>
      <c r="R665" s="53"/>
      <c r="S665" s="71"/>
      <c r="T665" s="53"/>
      <c r="U665" s="13"/>
      <c r="V665" s="72"/>
      <c r="W665" s="71"/>
      <c r="X665" s="53"/>
      <c r="Y665" s="71"/>
      <c r="Z665" s="53"/>
      <c r="AA665" s="13"/>
    </row>
    <row r="666" spans="10:27" x14ac:dyDescent="0.3">
      <c r="J666" s="197"/>
      <c r="K666" s="198"/>
      <c r="L666" s="196"/>
      <c r="M666" s="198"/>
      <c r="N666" s="202"/>
      <c r="P666" s="72"/>
      <c r="Q666" s="71"/>
      <c r="R666" s="53"/>
      <c r="S666" s="71"/>
      <c r="T666" s="53"/>
      <c r="U666" s="13"/>
      <c r="V666" s="72"/>
      <c r="W666" s="71"/>
      <c r="X666" s="53"/>
      <c r="Y666" s="71"/>
      <c r="Z666" s="53"/>
      <c r="AA666" s="13"/>
    </row>
    <row r="667" spans="10:27" x14ac:dyDescent="0.3">
      <c r="J667" s="197"/>
      <c r="K667" s="198"/>
      <c r="L667" s="196"/>
      <c r="M667" s="198"/>
      <c r="N667" s="202"/>
      <c r="P667" s="72"/>
      <c r="Q667" s="71"/>
      <c r="R667" s="53"/>
      <c r="S667" s="71"/>
      <c r="T667" s="53"/>
      <c r="U667" s="13"/>
      <c r="V667" s="72"/>
      <c r="W667" s="71"/>
      <c r="X667" s="53"/>
      <c r="Y667" s="71"/>
      <c r="Z667" s="53"/>
      <c r="AA667" s="13"/>
    </row>
    <row r="668" spans="10:27" x14ac:dyDescent="0.3">
      <c r="J668" s="197"/>
      <c r="K668" s="198"/>
      <c r="L668" s="196"/>
      <c r="M668" s="198"/>
      <c r="N668" s="202"/>
      <c r="P668" s="72"/>
      <c r="Q668" s="71"/>
      <c r="R668" s="53"/>
      <c r="S668" s="71"/>
      <c r="T668" s="53"/>
      <c r="U668" s="13"/>
      <c r="V668" s="72"/>
      <c r="W668" s="71"/>
      <c r="X668" s="53"/>
      <c r="Y668" s="71"/>
      <c r="Z668" s="53"/>
      <c r="AA668" s="13"/>
    </row>
    <row r="669" spans="10:27" x14ac:dyDescent="0.3">
      <c r="J669" s="197"/>
      <c r="K669" s="198"/>
      <c r="L669" s="196"/>
      <c r="M669" s="198"/>
      <c r="N669" s="202"/>
      <c r="P669" s="72"/>
      <c r="Q669" s="71"/>
      <c r="R669" s="53"/>
      <c r="S669" s="71"/>
      <c r="T669" s="53"/>
      <c r="U669" s="13"/>
      <c r="V669" s="72"/>
      <c r="W669" s="71"/>
      <c r="X669" s="53"/>
      <c r="Y669" s="71"/>
      <c r="Z669" s="53"/>
      <c r="AA669" s="13"/>
    </row>
    <row r="670" spans="10:27" x14ac:dyDescent="0.3">
      <c r="J670" s="197"/>
      <c r="K670" s="198"/>
      <c r="L670" s="196"/>
      <c r="M670" s="198"/>
      <c r="N670" s="202"/>
      <c r="P670" s="72"/>
      <c r="Q670" s="71"/>
      <c r="R670" s="53"/>
      <c r="S670" s="71"/>
      <c r="T670" s="53"/>
      <c r="U670" s="13"/>
      <c r="V670" s="72"/>
      <c r="W670" s="71"/>
      <c r="X670" s="53"/>
      <c r="Y670" s="71"/>
      <c r="Z670" s="53"/>
      <c r="AA670" s="13"/>
    </row>
    <row r="671" spans="10:27" x14ac:dyDescent="0.3">
      <c r="J671" s="197"/>
      <c r="K671" s="198"/>
      <c r="L671" s="196"/>
      <c r="M671" s="198"/>
      <c r="N671" s="202"/>
      <c r="P671" s="72"/>
      <c r="Q671" s="71"/>
      <c r="R671" s="53"/>
      <c r="S671" s="71"/>
      <c r="T671" s="53"/>
      <c r="U671" s="13"/>
      <c r="V671" s="72"/>
      <c r="W671" s="71"/>
      <c r="X671" s="53"/>
      <c r="Y671" s="71"/>
      <c r="Z671" s="53"/>
      <c r="AA671" s="13"/>
    </row>
    <row r="672" spans="10:27" x14ac:dyDescent="0.3">
      <c r="J672" s="197"/>
      <c r="K672" s="198"/>
      <c r="L672" s="196"/>
      <c r="M672" s="198"/>
      <c r="N672" s="202"/>
      <c r="P672" s="72"/>
      <c r="Q672" s="71"/>
      <c r="R672" s="53"/>
      <c r="S672" s="71"/>
      <c r="T672" s="53"/>
      <c r="U672" s="13"/>
      <c r="V672" s="72"/>
      <c r="W672" s="71"/>
      <c r="X672" s="53"/>
      <c r="Y672" s="71"/>
      <c r="Z672" s="53"/>
      <c r="AA672" s="13"/>
    </row>
    <row r="673" spans="10:27" x14ac:dyDescent="0.3">
      <c r="J673" s="197"/>
      <c r="K673" s="198"/>
      <c r="L673" s="196"/>
      <c r="M673" s="198"/>
      <c r="N673" s="202"/>
      <c r="P673" s="72"/>
      <c r="Q673" s="71"/>
      <c r="R673" s="53"/>
      <c r="S673" s="71"/>
      <c r="T673" s="53"/>
      <c r="U673" s="13"/>
      <c r="V673" s="72"/>
      <c r="W673" s="71"/>
      <c r="X673" s="53"/>
      <c r="Y673" s="71"/>
      <c r="Z673" s="53"/>
      <c r="AA673" s="13"/>
    </row>
    <row r="674" spans="10:27" x14ac:dyDescent="0.3">
      <c r="J674" s="197"/>
      <c r="K674" s="198"/>
      <c r="L674" s="196"/>
      <c r="M674" s="198"/>
      <c r="N674" s="202"/>
      <c r="P674" s="72"/>
      <c r="Q674" s="71"/>
      <c r="R674" s="53"/>
      <c r="S674" s="71"/>
      <c r="T674" s="53"/>
      <c r="U674" s="13"/>
      <c r="V674" s="72"/>
      <c r="W674" s="71"/>
      <c r="X674" s="53"/>
      <c r="Y674" s="71"/>
      <c r="Z674" s="53"/>
      <c r="AA674" s="13"/>
    </row>
    <row r="675" spans="10:27" x14ac:dyDescent="0.3">
      <c r="J675" s="197"/>
      <c r="K675" s="198"/>
      <c r="L675" s="196"/>
      <c r="M675" s="198"/>
      <c r="N675" s="202"/>
      <c r="P675" s="72"/>
      <c r="Q675" s="71"/>
      <c r="R675" s="53"/>
      <c r="S675" s="71"/>
      <c r="T675" s="53"/>
      <c r="U675" s="13"/>
      <c r="V675" s="72"/>
      <c r="W675" s="71"/>
      <c r="X675" s="53"/>
      <c r="Y675" s="71"/>
      <c r="Z675" s="53"/>
      <c r="AA675" s="13"/>
    </row>
    <row r="676" spans="10:27" x14ac:dyDescent="0.3">
      <c r="J676" s="197"/>
      <c r="K676" s="198"/>
      <c r="L676" s="196"/>
      <c r="M676" s="198"/>
      <c r="N676" s="202"/>
      <c r="P676" s="72"/>
      <c r="Q676" s="71"/>
      <c r="R676" s="53"/>
      <c r="S676" s="71"/>
      <c r="T676" s="53"/>
      <c r="U676" s="13"/>
      <c r="V676" s="72"/>
      <c r="W676" s="71"/>
      <c r="X676" s="53"/>
      <c r="Y676" s="71"/>
      <c r="Z676" s="53"/>
      <c r="AA676" s="13"/>
    </row>
    <row r="677" spans="10:27" x14ac:dyDescent="0.3">
      <c r="J677" s="197"/>
      <c r="K677" s="198"/>
      <c r="L677" s="196"/>
      <c r="M677" s="198"/>
      <c r="N677" s="202"/>
      <c r="P677" s="72"/>
      <c r="Q677" s="71"/>
      <c r="R677" s="53"/>
      <c r="S677" s="71"/>
      <c r="T677" s="53"/>
      <c r="U677" s="13"/>
      <c r="V677" s="72"/>
      <c r="W677" s="71"/>
      <c r="X677" s="53"/>
      <c r="Y677" s="71"/>
      <c r="Z677" s="53"/>
      <c r="AA677" s="13"/>
    </row>
    <row r="678" spans="10:27" x14ac:dyDescent="0.3">
      <c r="J678" s="197"/>
      <c r="K678" s="198"/>
      <c r="L678" s="196"/>
      <c r="M678" s="198"/>
      <c r="N678" s="202"/>
      <c r="P678" s="72"/>
      <c r="Q678" s="71"/>
      <c r="R678" s="53"/>
      <c r="S678" s="71"/>
      <c r="T678" s="53"/>
      <c r="U678" s="13"/>
      <c r="V678" s="72"/>
      <c r="W678" s="71"/>
      <c r="X678" s="53"/>
      <c r="Y678" s="71"/>
      <c r="Z678" s="53"/>
      <c r="AA678" s="13"/>
    </row>
    <row r="679" spans="10:27" x14ac:dyDescent="0.3">
      <c r="J679" s="197"/>
      <c r="K679" s="198"/>
      <c r="L679" s="196"/>
      <c r="M679" s="198"/>
      <c r="N679" s="202"/>
      <c r="P679" s="72"/>
      <c r="Q679" s="71"/>
      <c r="R679" s="53"/>
      <c r="S679" s="71"/>
      <c r="T679" s="53"/>
      <c r="U679" s="13"/>
      <c r="V679" s="72"/>
      <c r="W679" s="71"/>
      <c r="X679" s="53"/>
      <c r="Y679" s="71"/>
      <c r="Z679" s="53"/>
      <c r="AA679" s="13"/>
    </row>
    <row r="680" spans="10:27" x14ac:dyDescent="0.3">
      <c r="J680" s="197"/>
      <c r="K680" s="198"/>
      <c r="L680" s="196"/>
      <c r="M680" s="198"/>
      <c r="N680" s="202"/>
      <c r="P680" s="72"/>
      <c r="Q680" s="71"/>
      <c r="R680" s="53"/>
      <c r="S680" s="71"/>
      <c r="T680" s="53"/>
      <c r="U680" s="13"/>
      <c r="V680" s="72"/>
      <c r="W680" s="71"/>
      <c r="X680" s="53"/>
      <c r="Y680" s="71"/>
      <c r="Z680" s="53"/>
      <c r="AA680" s="13"/>
    </row>
    <row r="681" spans="10:27" x14ac:dyDescent="0.3">
      <c r="J681" s="197"/>
      <c r="K681" s="198"/>
      <c r="L681" s="196"/>
      <c r="M681" s="198"/>
      <c r="N681" s="202"/>
      <c r="P681" s="72"/>
      <c r="Q681" s="71"/>
      <c r="R681" s="53"/>
      <c r="S681" s="71"/>
      <c r="T681" s="53"/>
      <c r="U681" s="13"/>
      <c r="V681" s="72"/>
      <c r="W681" s="71"/>
      <c r="X681" s="53"/>
      <c r="Y681" s="71"/>
      <c r="Z681" s="53"/>
      <c r="AA681" s="13"/>
    </row>
    <row r="682" spans="10:27" x14ac:dyDescent="0.3">
      <c r="J682" s="197"/>
      <c r="K682" s="198"/>
      <c r="L682" s="196"/>
      <c r="M682" s="198"/>
      <c r="N682" s="202"/>
      <c r="P682" s="72"/>
      <c r="Q682" s="71"/>
      <c r="R682" s="53"/>
      <c r="S682" s="71"/>
      <c r="T682" s="53"/>
      <c r="U682" s="13"/>
      <c r="V682" s="72"/>
      <c r="W682" s="71"/>
      <c r="X682" s="53"/>
      <c r="Y682" s="71"/>
      <c r="Z682" s="53"/>
      <c r="AA682" s="13"/>
    </row>
    <row r="683" spans="10:27" x14ac:dyDescent="0.3">
      <c r="J683" s="197"/>
      <c r="K683" s="198"/>
      <c r="L683" s="196"/>
      <c r="M683" s="198"/>
      <c r="N683" s="202"/>
      <c r="P683" s="72"/>
      <c r="Q683" s="71"/>
      <c r="R683" s="53"/>
      <c r="S683" s="71"/>
      <c r="T683" s="53"/>
      <c r="U683" s="13"/>
      <c r="V683" s="72"/>
      <c r="W683" s="71"/>
      <c r="X683" s="53"/>
      <c r="Y683" s="71"/>
      <c r="Z683" s="53"/>
      <c r="AA683" s="13"/>
    </row>
    <row r="684" spans="10:27" x14ac:dyDescent="0.3">
      <c r="J684" s="197"/>
      <c r="K684" s="198"/>
      <c r="L684" s="196"/>
      <c r="M684" s="198"/>
      <c r="N684" s="202"/>
      <c r="P684" s="72"/>
      <c r="Q684" s="71"/>
      <c r="R684" s="53"/>
      <c r="S684" s="71"/>
      <c r="T684" s="53"/>
      <c r="U684" s="13"/>
      <c r="V684" s="72"/>
      <c r="W684" s="71"/>
      <c r="X684" s="53"/>
      <c r="Y684" s="71"/>
      <c r="Z684" s="53"/>
      <c r="AA684" s="13"/>
    </row>
    <row r="685" spans="10:27" x14ac:dyDescent="0.3">
      <c r="J685" s="197"/>
      <c r="K685" s="198"/>
      <c r="L685" s="196"/>
      <c r="M685" s="198"/>
      <c r="N685" s="202"/>
      <c r="P685" s="72"/>
      <c r="Q685" s="71"/>
      <c r="R685" s="53"/>
      <c r="S685" s="71"/>
      <c r="T685" s="53"/>
      <c r="U685" s="13"/>
      <c r="V685" s="72"/>
      <c r="W685" s="71"/>
      <c r="X685" s="53"/>
      <c r="Y685" s="71"/>
      <c r="Z685" s="53"/>
      <c r="AA685" s="13"/>
    </row>
    <row r="686" spans="10:27" x14ac:dyDescent="0.3">
      <c r="J686" s="197"/>
      <c r="K686" s="198"/>
      <c r="L686" s="196"/>
      <c r="M686" s="198"/>
      <c r="N686" s="202"/>
      <c r="P686" s="72"/>
      <c r="Q686" s="71"/>
      <c r="R686" s="53"/>
      <c r="S686" s="71"/>
      <c r="T686" s="53"/>
      <c r="U686" s="13"/>
      <c r="V686" s="72"/>
      <c r="W686" s="71"/>
      <c r="X686" s="53"/>
      <c r="Y686" s="71"/>
      <c r="Z686" s="53"/>
      <c r="AA686" s="13"/>
    </row>
    <row r="687" spans="10:27" x14ac:dyDescent="0.3">
      <c r="J687" s="197"/>
      <c r="K687" s="198"/>
      <c r="L687" s="196"/>
      <c r="M687" s="198"/>
      <c r="N687" s="202"/>
      <c r="P687" s="72"/>
      <c r="Q687" s="71"/>
      <c r="R687" s="53"/>
      <c r="S687" s="71"/>
      <c r="T687" s="53"/>
      <c r="U687" s="13"/>
      <c r="V687" s="72"/>
      <c r="W687" s="71"/>
      <c r="X687" s="53"/>
      <c r="Y687" s="71"/>
      <c r="Z687" s="53"/>
      <c r="AA687" s="13"/>
    </row>
    <row r="688" spans="10:27" x14ac:dyDescent="0.3">
      <c r="J688" s="197"/>
      <c r="K688" s="198"/>
      <c r="L688" s="196"/>
      <c r="M688" s="198"/>
      <c r="N688" s="202"/>
      <c r="P688" s="72"/>
      <c r="Q688" s="71"/>
      <c r="R688" s="53"/>
      <c r="S688" s="71"/>
      <c r="T688" s="53"/>
      <c r="U688" s="13"/>
      <c r="V688" s="72"/>
      <c r="W688" s="71"/>
      <c r="X688" s="53"/>
      <c r="Y688" s="71"/>
      <c r="Z688" s="53"/>
      <c r="AA688" s="13"/>
    </row>
    <row r="689" spans="10:27" x14ac:dyDescent="0.3">
      <c r="J689" s="197"/>
      <c r="K689" s="198"/>
      <c r="L689" s="196"/>
      <c r="M689" s="198"/>
      <c r="N689" s="202"/>
      <c r="P689" s="72"/>
      <c r="Q689" s="71"/>
      <c r="R689" s="53"/>
      <c r="S689" s="71"/>
      <c r="T689" s="53"/>
      <c r="U689" s="13"/>
      <c r="V689" s="72"/>
      <c r="W689" s="71"/>
      <c r="X689" s="53"/>
      <c r="Y689" s="71"/>
      <c r="Z689" s="53"/>
      <c r="AA689" s="13"/>
    </row>
    <row r="690" spans="10:27" x14ac:dyDescent="0.3">
      <c r="J690" s="197"/>
      <c r="K690" s="198"/>
      <c r="L690" s="196"/>
      <c r="M690" s="198"/>
      <c r="N690" s="202"/>
      <c r="P690" s="72"/>
      <c r="Q690" s="71"/>
      <c r="R690" s="53"/>
      <c r="S690" s="71"/>
      <c r="T690" s="53"/>
      <c r="U690" s="13"/>
      <c r="V690" s="72"/>
      <c r="W690" s="71"/>
      <c r="X690" s="53"/>
      <c r="Y690" s="71"/>
      <c r="Z690" s="53"/>
      <c r="AA690" s="13"/>
    </row>
    <row r="691" spans="10:27" x14ac:dyDescent="0.3">
      <c r="J691" s="197"/>
      <c r="K691" s="198"/>
      <c r="L691" s="196"/>
      <c r="M691" s="198"/>
      <c r="N691" s="202"/>
      <c r="P691" s="72"/>
      <c r="Q691" s="71"/>
      <c r="R691" s="53"/>
      <c r="S691" s="71"/>
      <c r="T691" s="53"/>
      <c r="U691" s="13"/>
      <c r="V691" s="72"/>
      <c r="W691" s="71"/>
      <c r="X691" s="53"/>
      <c r="Y691" s="71"/>
      <c r="Z691" s="53"/>
      <c r="AA691" s="13"/>
    </row>
    <row r="692" spans="10:27" x14ac:dyDescent="0.3">
      <c r="J692" s="197"/>
      <c r="K692" s="198"/>
      <c r="L692" s="196"/>
      <c r="M692" s="198"/>
      <c r="N692" s="202"/>
      <c r="P692" s="72"/>
      <c r="Q692" s="71"/>
      <c r="R692" s="53"/>
      <c r="S692" s="71"/>
      <c r="T692" s="53"/>
      <c r="U692" s="13"/>
      <c r="V692" s="72"/>
      <c r="W692" s="71"/>
      <c r="X692" s="53"/>
      <c r="Y692" s="71"/>
      <c r="Z692" s="53"/>
      <c r="AA692" s="13"/>
    </row>
    <row r="693" spans="10:27" x14ac:dyDescent="0.3">
      <c r="J693" s="197"/>
      <c r="K693" s="198"/>
      <c r="L693" s="196"/>
      <c r="M693" s="198"/>
      <c r="N693" s="202"/>
      <c r="P693" s="72"/>
      <c r="Q693" s="71"/>
      <c r="R693" s="53"/>
      <c r="S693" s="71"/>
      <c r="T693" s="53"/>
      <c r="U693" s="13"/>
      <c r="V693" s="72"/>
      <c r="W693" s="71"/>
      <c r="X693" s="53"/>
      <c r="Y693" s="71"/>
      <c r="Z693" s="53"/>
      <c r="AA693" s="13"/>
    </row>
    <row r="694" spans="10:27" x14ac:dyDescent="0.3">
      <c r="J694" s="197"/>
      <c r="K694" s="198"/>
      <c r="L694" s="196"/>
      <c r="M694" s="198"/>
      <c r="N694" s="202"/>
      <c r="P694" s="72"/>
      <c r="Q694" s="71"/>
      <c r="R694" s="53"/>
      <c r="S694" s="71"/>
      <c r="T694" s="53"/>
      <c r="U694" s="13"/>
      <c r="V694" s="72"/>
      <c r="W694" s="71"/>
      <c r="X694" s="53"/>
      <c r="Y694" s="71"/>
      <c r="Z694" s="53"/>
      <c r="AA694" s="13"/>
    </row>
    <row r="695" spans="10:27" x14ac:dyDescent="0.3">
      <c r="J695" s="197"/>
      <c r="K695" s="198"/>
      <c r="L695" s="196"/>
      <c r="M695" s="198"/>
      <c r="N695" s="202"/>
      <c r="P695" s="72"/>
      <c r="Q695" s="71"/>
      <c r="R695" s="53"/>
      <c r="S695" s="71"/>
      <c r="T695" s="53"/>
      <c r="U695" s="13"/>
      <c r="V695" s="72"/>
      <c r="W695" s="71"/>
      <c r="X695" s="53"/>
      <c r="Y695" s="71"/>
      <c r="Z695" s="53"/>
      <c r="AA695" s="13"/>
    </row>
    <row r="696" spans="10:27" x14ac:dyDescent="0.3">
      <c r="J696" s="197"/>
      <c r="K696" s="198"/>
      <c r="L696" s="196"/>
      <c r="M696" s="198"/>
      <c r="N696" s="202"/>
      <c r="P696" s="72"/>
      <c r="Q696" s="71"/>
      <c r="R696" s="53"/>
      <c r="S696" s="71"/>
      <c r="T696" s="53"/>
      <c r="U696" s="13"/>
      <c r="V696" s="72"/>
      <c r="W696" s="71"/>
      <c r="X696" s="53"/>
      <c r="Y696" s="71"/>
      <c r="Z696" s="53"/>
      <c r="AA696" s="13"/>
    </row>
    <row r="697" spans="10:27" x14ac:dyDescent="0.3">
      <c r="J697" s="197"/>
      <c r="K697" s="198"/>
      <c r="L697" s="196"/>
      <c r="M697" s="198"/>
      <c r="N697" s="202"/>
      <c r="P697" s="72"/>
      <c r="Q697" s="71"/>
      <c r="R697" s="53"/>
      <c r="S697" s="71"/>
      <c r="T697" s="53"/>
      <c r="U697" s="13"/>
      <c r="V697" s="72"/>
      <c r="W697" s="71"/>
      <c r="X697" s="53"/>
      <c r="Y697" s="71"/>
      <c r="Z697" s="53"/>
      <c r="AA697" s="13"/>
    </row>
    <row r="698" spans="10:27" x14ac:dyDescent="0.3">
      <c r="J698" s="197"/>
      <c r="K698" s="198"/>
      <c r="L698" s="196"/>
      <c r="M698" s="198"/>
      <c r="N698" s="202"/>
      <c r="P698" s="72"/>
      <c r="Q698" s="71"/>
      <c r="R698" s="53"/>
      <c r="S698" s="71"/>
      <c r="T698" s="53"/>
      <c r="U698" s="13"/>
      <c r="V698" s="72"/>
      <c r="W698" s="71"/>
      <c r="X698" s="53"/>
      <c r="Y698" s="71"/>
      <c r="Z698" s="53"/>
      <c r="AA698" s="13"/>
    </row>
    <row r="699" spans="10:27" x14ac:dyDescent="0.3">
      <c r="J699" s="197"/>
      <c r="K699" s="198"/>
      <c r="L699" s="196"/>
      <c r="M699" s="198"/>
      <c r="N699" s="202"/>
      <c r="P699" s="72"/>
      <c r="Q699" s="71"/>
      <c r="R699" s="53"/>
      <c r="S699" s="71"/>
      <c r="T699" s="53"/>
      <c r="U699" s="13"/>
      <c r="V699" s="72"/>
      <c r="W699" s="71"/>
      <c r="X699" s="53"/>
      <c r="Y699" s="71"/>
      <c r="Z699" s="53"/>
      <c r="AA699" s="13"/>
    </row>
    <row r="700" spans="10:27" x14ac:dyDescent="0.3">
      <c r="J700" s="197"/>
      <c r="K700" s="198"/>
      <c r="L700" s="196"/>
      <c r="M700" s="198"/>
      <c r="N700" s="202"/>
      <c r="P700" s="72"/>
      <c r="Q700" s="71"/>
      <c r="R700" s="53"/>
      <c r="S700" s="71"/>
      <c r="T700" s="53"/>
      <c r="U700" s="13"/>
      <c r="V700" s="72"/>
      <c r="W700" s="71"/>
      <c r="X700" s="53"/>
      <c r="Y700" s="71"/>
      <c r="Z700" s="53"/>
      <c r="AA700" s="13"/>
    </row>
    <row r="701" spans="10:27" x14ac:dyDescent="0.3">
      <c r="J701" s="197"/>
      <c r="K701" s="198"/>
      <c r="L701" s="196"/>
      <c r="M701" s="198"/>
      <c r="N701" s="202"/>
      <c r="P701" s="72"/>
      <c r="Q701" s="71"/>
      <c r="R701" s="53"/>
      <c r="S701" s="71"/>
      <c r="T701" s="53"/>
      <c r="U701" s="13"/>
      <c r="V701" s="72"/>
      <c r="W701" s="71"/>
      <c r="X701" s="53"/>
      <c r="Y701" s="71"/>
      <c r="Z701" s="53"/>
      <c r="AA701" s="13"/>
    </row>
    <row r="702" spans="10:27" x14ac:dyDescent="0.3">
      <c r="J702" s="197"/>
      <c r="K702" s="198"/>
      <c r="L702" s="196"/>
      <c r="M702" s="198"/>
      <c r="N702" s="202"/>
      <c r="P702" s="72"/>
      <c r="Q702" s="71"/>
      <c r="R702" s="53"/>
      <c r="S702" s="71"/>
      <c r="T702" s="53"/>
      <c r="U702" s="13"/>
      <c r="V702" s="72"/>
      <c r="W702" s="71"/>
      <c r="X702" s="53"/>
      <c r="Y702" s="71"/>
      <c r="Z702" s="53"/>
      <c r="AA702" s="13"/>
    </row>
    <row r="703" spans="10:27" x14ac:dyDescent="0.3">
      <c r="J703" s="197"/>
      <c r="K703" s="198"/>
      <c r="L703" s="196"/>
      <c r="M703" s="198"/>
      <c r="N703" s="202"/>
      <c r="P703" s="72"/>
      <c r="Q703" s="71"/>
      <c r="R703" s="53"/>
      <c r="S703" s="71"/>
      <c r="T703" s="53"/>
      <c r="U703" s="13"/>
      <c r="V703" s="72"/>
      <c r="W703" s="71"/>
      <c r="X703" s="53"/>
      <c r="Y703" s="71"/>
      <c r="Z703" s="53"/>
      <c r="AA703" s="13"/>
    </row>
    <row r="704" spans="10:27" x14ac:dyDescent="0.3">
      <c r="J704" s="197"/>
      <c r="K704" s="198"/>
      <c r="L704" s="196"/>
      <c r="M704" s="198"/>
      <c r="N704" s="202"/>
      <c r="P704" s="72"/>
      <c r="Q704" s="71"/>
      <c r="R704" s="53"/>
      <c r="S704" s="71"/>
      <c r="T704" s="53"/>
      <c r="U704" s="13"/>
      <c r="V704" s="72"/>
      <c r="W704" s="71"/>
      <c r="X704" s="53"/>
      <c r="Y704" s="71"/>
      <c r="Z704" s="53"/>
      <c r="AA704" s="13"/>
    </row>
    <row r="705" spans="10:27" x14ac:dyDescent="0.3">
      <c r="J705" s="197"/>
      <c r="K705" s="198"/>
      <c r="L705" s="196"/>
      <c r="M705" s="198"/>
      <c r="N705" s="202"/>
      <c r="P705" s="72"/>
      <c r="Q705" s="71"/>
      <c r="R705" s="53"/>
      <c r="S705" s="71"/>
      <c r="T705" s="53"/>
      <c r="U705" s="13"/>
      <c r="V705" s="72"/>
      <c r="W705" s="71"/>
      <c r="X705" s="53"/>
      <c r="Y705" s="71"/>
      <c r="Z705" s="53"/>
      <c r="AA705" s="13"/>
    </row>
    <row r="706" spans="10:27" x14ac:dyDescent="0.3">
      <c r="J706" s="197"/>
      <c r="K706" s="198"/>
      <c r="L706" s="196"/>
      <c r="M706" s="198"/>
      <c r="N706" s="202"/>
      <c r="P706" s="72"/>
      <c r="Q706" s="71"/>
      <c r="R706" s="53"/>
      <c r="S706" s="71"/>
      <c r="T706" s="53"/>
      <c r="U706" s="13"/>
      <c r="V706" s="72"/>
      <c r="W706" s="71"/>
      <c r="X706" s="53"/>
      <c r="Y706" s="71"/>
      <c r="Z706" s="53"/>
      <c r="AA706" s="13"/>
    </row>
    <row r="707" spans="10:27" x14ac:dyDescent="0.3">
      <c r="J707" s="197"/>
      <c r="K707" s="198"/>
      <c r="L707" s="196"/>
      <c r="M707" s="198"/>
      <c r="N707" s="202"/>
      <c r="P707" s="72"/>
      <c r="Q707" s="71"/>
      <c r="R707" s="53"/>
      <c r="S707" s="71"/>
      <c r="T707" s="53"/>
      <c r="U707" s="13"/>
      <c r="V707" s="72"/>
      <c r="W707" s="71"/>
      <c r="X707" s="53"/>
      <c r="Y707" s="71"/>
      <c r="Z707" s="53"/>
      <c r="AA707" s="13"/>
    </row>
    <row r="708" spans="10:27" x14ac:dyDescent="0.3">
      <c r="J708" s="197"/>
      <c r="K708" s="198"/>
      <c r="L708" s="196"/>
      <c r="M708" s="198"/>
      <c r="N708" s="202"/>
      <c r="P708" s="72"/>
      <c r="Q708" s="71"/>
      <c r="R708" s="53"/>
      <c r="S708" s="71"/>
      <c r="T708" s="53"/>
      <c r="U708" s="13"/>
      <c r="V708" s="72"/>
      <c r="W708" s="71"/>
      <c r="X708" s="53"/>
      <c r="Y708" s="71"/>
      <c r="Z708" s="53"/>
      <c r="AA708" s="13"/>
    </row>
    <row r="709" spans="10:27" x14ac:dyDescent="0.3">
      <c r="J709" s="197"/>
      <c r="K709" s="198"/>
      <c r="L709" s="196"/>
      <c r="M709" s="198"/>
      <c r="N709" s="202"/>
      <c r="P709" s="72"/>
      <c r="Q709" s="71"/>
      <c r="R709" s="53"/>
      <c r="S709" s="71"/>
      <c r="T709" s="53"/>
      <c r="U709" s="13"/>
      <c r="V709" s="72"/>
      <c r="W709" s="71"/>
      <c r="X709" s="53"/>
      <c r="Y709" s="71"/>
      <c r="Z709" s="53"/>
      <c r="AA709" s="13"/>
    </row>
    <row r="710" spans="10:27" x14ac:dyDescent="0.3">
      <c r="J710" s="197"/>
      <c r="K710" s="198"/>
      <c r="L710" s="196"/>
      <c r="M710" s="198"/>
      <c r="N710" s="202"/>
      <c r="P710" s="72"/>
      <c r="Q710" s="71"/>
      <c r="R710" s="53"/>
      <c r="S710" s="71"/>
      <c r="T710" s="53"/>
      <c r="U710" s="13"/>
      <c r="V710" s="72"/>
      <c r="W710" s="71"/>
      <c r="X710" s="53"/>
      <c r="Y710" s="71"/>
      <c r="Z710" s="53"/>
      <c r="AA710" s="13"/>
    </row>
    <row r="711" spans="10:27" x14ac:dyDescent="0.3">
      <c r="J711" s="197"/>
      <c r="K711" s="198"/>
      <c r="L711" s="196"/>
      <c r="M711" s="198"/>
      <c r="N711" s="202"/>
      <c r="P711" s="72"/>
      <c r="Q711" s="71"/>
      <c r="R711" s="53"/>
      <c r="S711" s="71"/>
      <c r="T711" s="53"/>
      <c r="U711" s="13"/>
      <c r="V711" s="72"/>
      <c r="W711" s="71"/>
      <c r="X711" s="53"/>
      <c r="Y711" s="71"/>
      <c r="Z711" s="53"/>
      <c r="AA711" s="13"/>
    </row>
    <row r="712" spans="10:27" x14ac:dyDescent="0.3">
      <c r="J712" s="197"/>
      <c r="K712" s="198"/>
      <c r="L712" s="196"/>
      <c r="M712" s="198"/>
      <c r="N712" s="202"/>
      <c r="P712" s="72"/>
      <c r="Q712" s="71"/>
      <c r="R712" s="53"/>
      <c r="S712" s="71"/>
      <c r="T712" s="53"/>
      <c r="U712" s="13"/>
      <c r="V712" s="72"/>
      <c r="W712" s="71"/>
      <c r="X712" s="53"/>
      <c r="Y712" s="71"/>
      <c r="Z712" s="53"/>
      <c r="AA712" s="13"/>
    </row>
    <row r="713" spans="10:27" x14ac:dyDescent="0.3">
      <c r="J713" s="197"/>
      <c r="K713" s="198"/>
      <c r="L713" s="196"/>
      <c r="M713" s="198"/>
      <c r="N713" s="202"/>
      <c r="P713" s="72"/>
      <c r="Q713" s="71"/>
      <c r="R713" s="53"/>
      <c r="S713" s="71"/>
      <c r="T713" s="53"/>
      <c r="U713" s="13"/>
      <c r="V713" s="72"/>
      <c r="W713" s="71"/>
      <c r="X713" s="53"/>
      <c r="Y713" s="71"/>
      <c r="Z713" s="53"/>
      <c r="AA713" s="13"/>
    </row>
    <row r="714" spans="10:27" x14ac:dyDescent="0.3">
      <c r="J714" s="197"/>
      <c r="K714" s="198"/>
      <c r="L714" s="196"/>
      <c r="M714" s="198"/>
      <c r="N714" s="202"/>
      <c r="P714" s="72"/>
      <c r="Q714" s="71"/>
      <c r="R714" s="53"/>
      <c r="S714" s="71"/>
      <c r="T714" s="53"/>
      <c r="U714" s="13"/>
      <c r="V714" s="72"/>
      <c r="W714" s="71"/>
      <c r="X714" s="53"/>
      <c r="Y714" s="71"/>
      <c r="Z714" s="53"/>
      <c r="AA714" s="13"/>
    </row>
    <row r="715" spans="10:27" x14ac:dyDescent="0.3">
      <c r="J715" s="197"/>
      <c r="K715" s="198"/>
      <c r="L715" s="196"/>
      <c r="M715" s="198"/>
      <c r="N715" s="202"/>
      <c r="P715" s="72"/>
      <c r="Q715" s="71"/>
      <c r="R715" s="53"/>
      <c r="S715" s="71"/>
      <c r="T715" s="53"/>
      <c r="U715" s="13"/>
      <c r="V715" s="72"/>
      <c r="W715" s="71"/>
      <c r="X715" s="53"/>
      <c r="Y715" s="71"/>
      <c r="Z715" s="53"/>
      <c r="AA715" s="13"/>
    </row>
    <row r="716" spans="10:27" x14ac:dyDescent="0.3">
      <c r="J716" s="197"/>
      <c r="K716" s="198"/>
      <c r="L716" s="196"/>
      <c r="M716" s="198"/>
      <c r="N716" s="202"/>
      <c r="P716" s="72"/>
      <c r="Q716" s="71"/>
      <c r="R716" s="53"/>
      <c r="S716" s="71"/>
      <c r="T716" s="53"/>
      <c r="U716" s="13"/>
      <c r="V716" s="72"/>
      <c r="W716" s="71"/>
      <c r="X716" s="53"/>
      <c r="Y716" s="71"/>
      <c r="Z716" s="53"/>
      <c r="AA716" s="13"/>
    </row>
    <row r="717" spans="10:27" x14ac:dyDescent="0.3">
      <c r="J717" s="197"/>
      <c r="K717" s="198"/>
      <c r="L717" s="196"/>
      <c r="M717" s="198"/>
      <c r="N717" s="202"/>
      <c r="P717" s="72"/>
      <c r="Q717" s="71"/>
      <c r="R717" s="53"/>
      <c r="S717" s="71"/>
      <c r="T717" s="53"/>
      <c r="U717" s="13"/>
      <c r="V717" s="72"/>
      <c r="W717" s="71"/>
      <c r="X717" s="53"/>
      <c r="Y717" s="71"/>
      <c r="Z717" s="53"/>
      <c r="AA717" s="13"/>
    </row>
    <row r="718" spans="10:27" x14ac:dyDescent="0.3">
      <c r="J718" s="197"/>
      <c r="K718" s="198"/>
      <c r="L718" s="196"/>
      <c r="M718" s="198"/>
      <c r="N718" s="202"/>
      <c r="P718" s="72"/>
      <c r="Q718" s="71"/>
      <c r="R718" s="53"/>
      <c r="S718" s="71"/>
      <c r="T718" s="53"/>
      <c r="U718" s="13"/>
      <c r="V718" s="72"/>
      <c r="W718" s="71"/>
      <c r="X718" s="53"/>
      <c r="Y718" s="71"/>
      <c r="Z718" s="53"/>
      <c r="AA718" s="13"/>
    </row>
    <row r="719" spans="10:27" x14ac:dyDescent="0.3">
      <c r="J719" s="197"/>
      <c r="K719" s="198"/>
      <c r="L719" s="196"/>
      <c r="M719" s="198"/>
      <c r="N719" s="202"/>
      <c r="P719" s="72"/>
      <c r="Q719" s="71"/>
      <c r="R719" s="53"/>
      <c r="S719" s="71"/>
      <c r="T719" s="53"/>
      <c r="U719" s="13"/>
      <c r="V719" s="72"/>
      <c r="W719" s="71"/>
      <c r="X719" s="53"/>
      <c r="Y719" s="71"/>
      <c r="Z719" s="53"/>
      <c r="AA719" s="13"/>
    </row>
    <row r="720" spans="10:27" x14ac:dyDescent="0.3">
      <c r="J720" s="197"/>
      <c r="K720" s="198"/>
      <c r="L720" s="196"/>
      <c r="M720" s="198"/>
      <c r="N720" s="202"/>
      <c r="P720" s="72"/>
      <c r="Q720" s="71"/>
      <c r="R720" s="53"/>
      <c r="S720" s="71"/>
      <c r="T720" s="53"/>
      <c r="U720" s="13"/>
      <c r="V720" s="72"/>
      <c r="W720" s="71"/>
      <c r="X720" s="53"/>
      <c r="Y720" s="71"/>
      <c r="Z720" s="53"/>
      <c r="AA720" s="13"/>
    </row>
    <row r="721" spans="10:27" x14ac:dyDescent="0.3">
      <c r="J721" s="197"/>
      <c r="K721" s="198"/>
      <c r="L721" s="196"/>
      <c r="M721" s="198"/>
      <c r="N721" s="202"/>
      <c r="P721" s="72"/>
      <c r="Q721" s="71"/>
      <c r="R721" s="53"/>
      <c r="S721" s="71"/>
      <c r="T721" s="53"/>
      <c r="U721" s="13"/>
      <c r="V721" s="72"/>
      <c r="W721" s="71"/>
      <c r="X721" s="53"/>
      <c r="Y721" s="71"/>
      <c r="Z721" s="53"/>
      <c r="AA721" s="13"/>
    </row>
    <row r="722" spans="10:27" x14ac:dyDescent="0.3">
      <c r="J722" s="197"/>
      <c r="K722" s="198"/>
      <c r="L722" s="196"/>
      <c r="M722" s="198"/>
      <c r="N722" s="202"/>
      <c r="P722" s="72"/>
      <c r="Q722" s="71"/>
      <c r="R722" s="53"/>
      <c r="S722" s="71"/>
      <c r="T722" s="53"/>
      <c r="U722" s="13"/>
      <c r="V722" s="72"/>
      <c r="W722" s="71"/>
      <c r="X722" s="53"/>
      <c r="Y722" s="71"/>
      <c r="Z722" s="53"/>
      <c r="AA722" s="13"/>
    </row>
    <row r="723" spans="10:27" x14ac:dyDescent="0.3">
      <c r="J723" s="197"/>
      <c r="K723" s="198"/>
      <c r="L723" s="196"/>
      <c r="M723" s="198"/>
      <c r="N723" s="202"/>
      <c r="P723" s="72"/>
      <c r="Q723" s="71"/>
      <c r="R723" s="53"/>
      <c r="S723" s="71"/>
      <c r="T723" s="53"/>
      <c r="U723" s="13"/>
      <c r="V723" s="72"/>
      <c r="W723" s="71"/>
      <c r="X723" s="53"/>
      <c r="Y723" s="71"/>
      <c r="Z723" s="53"/>
      <c r="AA723" s="13"/>
    </row>
    <row r="724" spans="10:27" x14ac:dyDescent="0.3">
      <c r="J724" s="197"/>
      <c r="K724" s="198"/>
      <c r="L724" s="196"/>
      <c r="M724" s="198"/>
      <c r="N724" s="202"/>
      <c r="P724" s="72"/>
      <c r="Q724" s="71"/>
      <c r="R724" s="53"/>
      <c r="S724" s="71"/>
      <c r="T724" s="53"/>
      <c r="U724" s="13"/>
      <c r="V724" s="72"/>
      <c r="W724" s="71"/>
      <c r="X724" s="53"/>
      <c r="Y724" s="71"/>
      <c r="Z724" s="53"/>
      <c r="AA724" s="13"/>
    </row>
    <row r="725" spans="10:27" x14ac:dyDescent="0.3">
      <c r="J725" s="197"/>
      <c r="K725" s="198"/>
      <c r="L725" s="196"/>
      <c r="M725" s="198"/>
      <c r="N725" s="202"/>
      <c r="P725" s="72"/>
      <c r="Q725" s="71"/>
      <c r="R725" s="53"/>
      <c r="S725" s="71"/>
      <c r="T725" s="53"/>
      <c r="U725" s="13"/>
      <c r="V725" s="72"/>
      <c r="W725" s="71"/>
      <c r="X725" s="53"/>
      <c r="Y725" s="71"/>
      <c r="Z725" s="53"/>
      <c r="AA725" s="13"/>
    </row>
    <row r="726" spans="10:27" x14ac:dyDescent="0.3">
      <c r="J726" s="197"/>
      <c r="K726" s="198"/>
      <c r="L726" s="196"/>
      <c r="M726" s="198"/>
      <c r="N726" s="202"/>
      <c r="P726" s="72"/>
      <c r="Q726" s="71"/>
      <c r="R726" s="53"/>
      <c r="S726" s="71"/>
      <c r="T726" s="53"/>
      <c r="U726" s="13"/>
      <c r="V726" s="72"/>
      <c r="W726" s="71"/>
      <c r="X726" s="53"/>
      <c r="Y726" s="71"/>
      <c r="Z726" s="53"/>
      <c r="AA726" s="13"/>
    </row>
    <row r="727" spans="10:27" x14ac:dyDescent="0.3">
      <c r="J727" s="197"/>
      <c r="K727" s="198"/>
      <c r="L727" s="196"/>
      <c r="M727" s="198"/>
      <c r="N727" s="202"/>
      <c r="P727" s="72"/>
      <c r="Q727" s="71"/>
      <c r="R727" s="53"/>
      <c r="S727" s="71"/>
      <c r="T727" s="53"/>
      <c r="U727" s="13"/>
      <c r="V727" s="72"/>
      <c r="W727" s="71"/>
      <c r="X727" s="53"/>
      <c r="Y727" s="71"/>
      <c r="Z727" s="53"/>
      <c r="AA727" s="13"/>
    </row>
    <row r="728" spans="10:27" x14ac:dyDescent="0.3">
      <c r="J728" s="197"/>
      <c r="K728" s="198"/>
      <c r="L728" s="196"/>
      <c r="M728" s="198"/>
      <c r="N728" s="202"/>
      <c r="P728" s="72"/>
      <c r="Q728" s="71"/>
      <c r="R728" s="53"/>
      <c r="S728" s="71"/>
      <c r="T728" s="53"/>
      <c r="U728" s="13"/>
      <c r="V728" s="72"/>
      <c r="W728" s="71"/>
      <c r="X728" s="53"/>
      <c r="Y728" s="71"/>
      <c r="Z728" s="53"/>
      <c r="AA728" s="13"/>
    </row>
    <row r="729" spans="10:27" x14ac:dyDescent="0.3">
      <c r="J729" s="197"/>
      <c r="K729" s="198"/>
      <c r="L729" s="196"/>
      <c r="M729" s="198"/>
      <c r="N729" s="202"/>
      <c r="P729" s="72"/>
      <c r="Q729" s="71"/>
      <c r="R729" s="53"/>
      <c r="S729" s="71"/>
      <c r="T729" s="53"/>
      <c r="U729" s="13"/>
      <c r="V729" s="72"/>
      <c r="W729" s="71"/>
      <c r="X729" s="53"/>
      <c r="Y729" s="71"/>
      <c r="Z729" s="53"/>
      <c r="AA729" s="13"/>
    </row>
    <row r="730" spans="10:27" x14ac:dyDescent="0.3">
      <c r="J730" s="197"/>
      <c r="K730" s="198"/>
      <c r="L730" s="196"/>
      <c r="M730" s="198"/>
      <c r="N730" s="202"/>
      <c r="P730" s="72"/>
      <c r="Q730" s="71"/>
      <c r="R730" s="53"/>
      <c r="S730" s="71"/>
      <c r="T730" s="53"/>
      <c r="U730" s="13"/>
      <c r="V730" s="72"/>
      <c r="W730" s="71"/>
      <c r="X730" s="53"/>
      <c r="Y730" s="71"/>
      <c r="Z730" s="53"/>
      <c r="AA730" s="13"/>
    </row>
    <row r="731" spans="10:27" x14ac:dyDescent="0.3">
      <c r="J731" s="197"/>
      <c r="K731" s="198"/>
      <c r="L731" s="196"/>
      <c r="M731" s="198"/>
      <c r="N731" s="202"/>
      <c r="P731" s="72"/>
      <c r="Q731" s="71"/>
      <c r="R731" s="53"/>
      <c r="S731" s="71"/>
      <c r="T731" s="53"/>
      <c r="U731" s="13"/>
      <c r="V731" s="72"/>
      <c r="W731" s="71"/>
      <c r="X731" s="53"/>
      <c r="Y731" s="71"/>
      <c r="Z731" s="53"/>
      <c r="AA731" s="13"/>
    </row>
    <row r="732" spans="10:27" x14ac:dyDescent="0.3">
      <c r="J732" s="197"/>
      <c r="K732" s="198"/>
      <c r="L732" s="196"/>
      <c r="M732" s="198"/>
      <c r="N732" s="202"/>
      <c r="P732" s="72"/>
      <c r="Q732" s="71"/>
      <c r="R732" s="53"/>
      <c r="S732" s="71"/>
      <c r="T732" s="53"/>
      <c r="U732" s="13"/>
      <c r="V732" s="72"/>
      <c r="W732" s="71"/>
      <c r="X732" s="53"/>
      <c r="Y732" s="71"/>
      <c r="Z732" s="53"/>
      <c r="AA732" s="13"/>
    </row>
    <row r="733" spans="10:27" x14ac:dyDescent="0.3">
      <c r="J733" s="197"/>
      <c r="K733" s="198"/>
      <c r="L733" s="196"/>
      <c r="M733" s="198"/>
      <c r="N733" s="202"/>
      <c r="P733" s="72"/>
      <c r="Q733" s="71"/>
      <c r="R733" s="53"/>
      <c r="S733" s="71"/>
      <c r="T733" s="53"/>
      <c r="U733" s="13"/>
      <c r="V733" s="72"/>
      <c r="W733" s="71"/>
      <c r="X733" s="53"/>
      <c r="Y733" s="71"/>
      <c r="Z733" s="53"/>
      <c r="AA733" s="13"/>
    </row>
    <row r="734" spans="10:27" x14ac:dyDescent="0.3">
      <c r="J734" s="197"/>
      <c r="K734" s="198"/>
      <c r="L734" s="196"/>
      <c r="M734" s="198"/>
      <c r="N734" s="202"/>
      <c r="P734" s="72"/>
      <c r="Q734" s="71"/>
      <c r="R734" s="53"/>
      <c r="S734" s="71"/>
      <c r="T734" s="53"/>
      <c r="U734" s="13"/>
      <c r="V734" s="72"/>
      <c r="W734" s="71"/>
      <c r="X734" s="53"/>
      <c r="Y734" s="71"/>
      <c r="Z734" s="53"/>
      <c r="AA734" s="13"/>
    </row>
    <row r="735" spans="10:27" x14ac:dyDescent="0.3">
      <c r="J735" s="197"/>
      <c r="K735" s="198"/>
      <c r="L735" s="196"/>
      <c r="M735" s="198"/>
      <c r="N735" s="202"/>
      <c r="P735" s="72"/>
      <c r="Q735" s="71"/>
      <c r="R735" s="53"/>
      <c r="S735" s="71"/>
      <c r="T735" s="53"/>
      <c r="U735" s="13"/>
      <c r="V735" s="72"/>
      <c r="W735" s="71"/>
      <c r="X735" s="53"/>
      <c r="Y735" s="71"/>
      <c r="Z735" s="53"/>
      <c r="AA735" s="13"/>
    </row>
    <row r="736" spans="10:27" x14ac:dyDescent="0.3">
      <c r="J736" s="197"/>
      <c r="K736" s="198"/>
      <c r="L736" s="196"/>
      <c r="M736" s="198"/>
      <c r="N736" s="202"/>
      <c r="P736" s="72"/>
      <c r="Q736" s="71"/>
      <c r="R736" s="53"/>
      <c r="S736" s="71"/>
      <c r="T736" s="53"/>
      <c r="U736" s="13"/>
      <c r="V736" s="72"/>
      <c r="W736" s="71"/>
      <c r="X736" s="53"/>
      <c r="Y736" s="71"/>
      <c r="Z736" s="53"/>
      <c r="AA736" s="13"/>
    </row>
    <row r="737" spans="10:27" x14ac:dyDescent="0.3">
      <c r="J737" s="197"/>
      <c r="K737" s="198"/>
      <c r="L737" s="196"/>
      <c r="M737" s="198"/>
      <c r="N737" s="202"/>
      <c r="P737" s="72"/>
      <c r="Q737" s="71"/>
      <c r="R737" s="53"/>
      <c r="S737" s="71"/>
      <c r="T737" s="53"/>
      <c r="U737" s="13"/>
      <c r="V737" s="72"/>
      <c r="W737" s="71"/>
      <c r="X737" s="53"/>
      <c r="Y737" s="71"/>
      <c r="Z737" s="53"/>
      <c r="AA737" s="13"/>
    </row>
    <row r="738" spans="10:27" x14ac:dyDescent="0.3">
      <c r="J738" s="197"/>
      <c r="K738" s="198"/>
      <c r="L738" s="196"/>
      <c r="M738" s="198"/>
      <c r="N738" s="202"/>
      <c r="P738" s="72"/>
      <c r="Q738" s="71"/>
      <c r="R738" s="53"/>
      <c r="S738" s="71"/>
      <c r="T738" s="53"/>
      <c r="U738" s="13"/>
      <c r="V738" s="72"/>
      <c r="W738" s="71"/>
      <c r="X738" s="53"/>
      <c r="Y738" s="71"/>
      <c r="Z738" s="53"/>
      <c r="AA738" s="13"/>
    </row>
    <row r="739" spans="10:27" x14ac:dyDescent="0.3">
      <c r="J739" s="197"/>
      <c r="K739" s="198"/>
      <c r="L739" s="196"/>
      <c r="M739" s="198"/>
      <c r="N739" s="202"/>
      <c r="P739" s="72"/>
      <c r="Q739" s="71"/>
      <c r="R739" s="53"/>
      <c r="S739" s="71"/>
      <c r="T739" s="53"/>
      <c r="U739" s="13"/>
      <c r="V739" s="72"/>
      <c r="W739" s="71"/>
      <c r="X739" s="53"/>
      <c r="Y739" s="71"/>
      <c r="Z739" s="53"/>
      <c r="AA739" s="13"/>
    </row>
    <row r="740" spans="10:27" x14ac:dyDescent="0.3">
      <c r="J740" s="197"/>
      <c r="K740" s="198"/>
      <c r="L740" s="196"/>
      <c r="M740" s="198"/>
      <c r="N740" s="202"/>
      <c r="P740" s="72"/>
      <c r="Q740" s="71"/>
      <c r="R740" s="53"/>
      <c r="S740" s="71"/>
      <c r="T740" s="53"/>
      <c r="U740" s="13"/>
      <c r="V740" s="72"/>
      <c r="W740" s="71"/>
      <c r="X740" s="53"/>
      <c r="Y740" s="71"/>
      <c r="Z740" s="53"/>
      <c r="AA740" s="13"/>
    </row>
    <row r="741" spans="10:27" x14ac:dyDescent="0.3">
      <c r="J741" s="197"/>
      <c r="K741" s="198"/>
      <c r="L741" s="196"/>
      <c r="M741" s="198"/>
      <c r="N741" s="202"/>
      <c r="P741" s="72"/>
      <c r="Q741" s="71"/>
      <c r="R741" s="53"/>
      <c r="S741" s="71"/>
      <c r="T741" s="53"/>
      <c r="U741" s="13"/>
      <c r="V741" s="72"/>
      <c r="W741" s="71"/>
      <c r="X741" s="53"/>
      <c r="Y741" s="71"/>
      <c r="Z741" s="53"/>
      <c r="AA741" s="13"/>
    </row>
    <row r="742" spans="10:27" x14ac:dyDescent="0.3">
      <c r="J742" s="197"/>
      <c r="K742" s="198"/>
      <c r="L742" s="196"/>
      <c r="M742" s="198"/>
      <c r="N742" s="202"/>
      <c r="P742" s="72"/>
      <c r="Q742" s="71"/>
      <c r="R742" s="53"/>
      <c r="S742" s="71"/>
      <c r="T742" s="53"/>
      <c r="U742" s="13"/>
      <c r="V742" s="72"/>
      <c r="W742" s="71"/>
      <c r="X742" s="53"/>
      <c r="Y742" s="71"/>
      <c r="Z742" s="53"/>
      <c r="AA742" s="13"/>
    </row>
    <row r="743" spans="10:27" x14ac:dyDescent="0.3">
      <c r="J743" s="197"/>
      <c r="K743" s="198"/>
      <c r="L743" s="196"/>
      <c r="M743" s="198"/>
      <c r="N743" s="202"/>
      <c r="P743" s="72"/>
      <c r="Q743" s="71"/>
      <c r="R743" s="53"/>
      <c r="S743" s="71"/>
      <c r="T743" s="53"/>
      <c r="U743" s="13"/>
      <c r="V743" s="72"/>
      <c r="W743" s="71"/>
      <c r="X743" s="53"/>
      <c r="Y743" s="71"/>
      <c r="Z743" s="53"/>
      <c r="AA743" s="13"/>
    </row>
    <row r="744" spans="10:27" x14ac:dyDescent="0.3">
      <c r="J744" s="197"/>
      <c r="K744" s="198"/>
      <c r="L744" s="196"/>
      <c r="M744" s="198"/>
      <c r="N744" s="202"/>
      <c r="P744" s="72"/>
      <c r="Q744" s="71"/>
      <c r="R744" s="53"/>
      <c r="S744" s="71"/>
      <c r="T744" s="53"/>
      <c r="U744" s="13"/>
      <c r="V744" s="72"/>
      <c r="W744" s="71"/>
      <c r="X744" s="53"/>
      <c r="Y744" s="71"/>
      <c r="Z744" s="53"/>
      <c r="AA744" s="13"/>
    </row>
    <row r="745" spans="10:27" x14ac:dyDescent="0.3">
      <c r="J745" s="197"/>
      <c r="K745" s="198"/>
      <c r="L745" s="196"/>
      <c r="M745" s="198"/>
      <c r="N745" s="202"/>
      <c r="P745" s="72"/>
      <c r="Q745" s="71"/>
      <c r="R745" s="53"/>
      <c r="S745" s="71"/>
      <c r="T745" s="53"/>
      <c r="U745" s="13"/>
      <c r="V745" s="72"/>
      <c r="W745" s="71"/>
      <c r="X745" s="53"/>
      <c r="Y745" s="71"/>
      <c r="Z745" s="53"/>
      <c r="AA745" s="13"/>
    </row>
    <row r="746" spans="10:27" x14ac:dyDescent="0.3">
      <c r="J746" s="197"/>
      <c r="K746" s="198"/>
      <c r="L746" s="196"/>
      <c r="M746" s="198"/>
      <c r="N746" s="202"/>
      <c r="P746" s="72"/>
      <c r="Q746" s="71"/>
      <c r="R746" s="53"/>
      <c r="S746" s="71"/>
      <c r="T746" s="53"/>
      <c r="U746" s="13"/>
      <c r="V746" s="72"/>
      <c r="W746" s="71"/>
      <c r="X746" s="53"/>
      <c r="Y746" s="71"/>
      <c r="Z746" s="53"/>
      <c r="AA746" s="13"/>
    </row>
    <row r="747" spans="10:27" x14ac:dyDescent="0.3">
      <c r="J747" s="197"/>
      <c r="K747" s="198"/>
      <c r="L747" s="196"/>
      <c r="M747" s="198"/>
      <c r="N747" s="202"/>
      <c r="P747" s="72"/>
      <c r="Q747" s="71"/>
      <c r="R747" s="53"/>
      <c r="S747" s="71"/>
      <c r="T747" s="53"/>
      <c r="U747" s="13"/>
      <c r="V747" s="72"/>
      <c r="W747" s="71"/>
      <c r="X747" s="53"/>
      <c r="Y747" s="71"/>
      <c r="Z747" s="53"/>
      <c r="AA747" s="13"/>
    </row>
    <row r="748" spans="10:27" x14ac:dyDescent="0.3">
      <c r="J748" s="197"/>
      <c r="K748" s="198"/>
      <c r="L748" s="196"/>
      <c r="M748" s="198"/>
      <c r="N748" s="202"/>
      <c r="P748" s="72"/>
      <c r="Q748" s="71"/>
      <c r="R748" s="53"/>
      <c r="S748" s="71"/>
      <c r="T748" s="53"/>
      <c r="U748" s="13"/>
      <c r="V748" s="72"/>
      <c r="W748" s="71"/>
      <c r="X748" s="53"/>
      <c r="Y748" s="71"/>
      <c r="Z748" s="53"/>
      <c r="AA748" s="13"/>
    </row>
    <row r="749" spans="10:27" x14ac:dyDescent="0.3">
      <c r="J749" s="197"/>
      <c r="K749" s="198"/>
      <c r="L749" s="196"/>
      <c r="M749" s="198"/>
      <c r="N749" s="202"/>
      <c r="P749" s="72"/>
      <c r="Q749" s="71"/>
      <c r="R749" s="53"/>
      <c r="S749" s="71"/>
      <c r="T749" s="53"/>
      <c r="U749" s="13"/>
      <c r="V749" s="72"/>
      <c r="W749" s="71"/>
      <c r="X749" s="53"/>
      <c r="Y749" s="71"/>
      <c r="Z749" s="53"/>
      <c r="AA749" s="13"/>
    </row>
    <row r="750" spans="10:27" x14ac:dyDescent="0.3">
      <c r="J750" s="197"/>
      <c r="K750" s="198"/>
      <c r="L750" s="196"/>
      <c r="M750" s="198"/>
      <c r="N750" s="202"/>
      <c r="P750" s="72"/>
      <c r="Q750" s="71"/>
      <c r="R750" s="53"/>
      <c r="S750" s="71"/>
      <c r="T750" s="53"/>
      <c r="U750" s="13"/>
      <c r="V750" s="72"/>
      <c r="W750" s="71"/>
      <c r="X750" s="53"/>
      <c r="Y750" s="71"/>
      <c r="Z750" s="53"/>
      <c r="AA750" s="13"/>
    </row>
    <row r="751" spans="10:27" x14ac:dyDescent="0.3">
      <c r="J751" s="197"/>
      <c r="K751" s="198"/>
      <c r="L751" s="196"/>
      <c r="M751" s="198"/>
      <c r="N751" s="202"/>
      <c r="P751" s="72"/>
      <c r="Q751" s="71"/>
      <c r="R751" s="53"/>
      <c r="S751" s="71"/>
      <c r="T751" s="53"/>
      <c r="U751" s="13"/>
      <c r="V751" s="72"/>
      <c r="W751" s="71"/>
      <c r="X751" s="53"/>
      <c r="Y751" s="71"/>
      <c r="Z751" s="53"/>
      <c r="AA751" s="13"/>
    </row>
    <row r="752" spans="10:27" x14ac:dyDescent="0.3">
      <c r="J752" s="197"/>
      <c r="K752" s="198"/>
      <c r="L752" s="196"/>
      <c r="M752" s="198"/>
      <c r="N752" s="202"/>
      <c r="P752" s="72"/>
      <c r="Q752" s="71"/>
      <c r="R752" s="53"/>
      <c r="S752" s="71"/>
      <c r="T752" s="53"/>
      <c r="U752" s="13"/>
      <c r="V752" s="72"/>
      <c r="W752" s="71"/>
      <c r="X752" s="53"/>
      <c r="Y752" s="71"/>
      <c r="Z752" s="53"/>
      <c r="AA752" s="13"/>
    </row>
    <row r="753" spans="10:27" x14ac:dyDescent="0.3">
      <c r="J753" s="197"/>
      <c r="K753" s="198"/>
      <c r="L753" s="196"/>
      <c r="M753" s="198"/>
      <c r="N753" s="202"/>
      <c r="P753" s="72"/>
      <c r="Q753" s="71"/>
      <c r="R753" s="53"/>
      <c r="S753" s="71"/>
      <c r="T753" s="53"/>
      <c r="U753" s="13"/>
      <c r="V753" s="72"/>
      <c r="W753" s="71"/>
      <c r="X753" s="53"/>
      <c r="Y753" s="71"/>
      <c r="Z753" s="53"/>
      <c r="AA753" s="13"/>
    </row>
    <row r="754" spans="10:27" x14ac:dyDescent="0.3">
      <c r="J754" s="197"/>
      <c r="K754" s="198"/>
      <c r="L754" s="196"/>
      <c r="M754" s="198"/>
      <c r="N754" s="202"/>
      <c r="P754" s="72"/>
      <c r="Q754" s="71"/>
      <c r="R754" s="53"/>
      <c r="S754" s="71"/>
      <c r="T754" s="53"/>
      <c r="U754" s="13"/>
      <c r="V754" s="72"/>
      <c r="W754" s="71"/>
      <c r="X754" s="53"/>
      <c r="Y754" s="71"/>
      <c r="Z754" s="53"/>
      <c r="AA754" s="13"/>
    </row>
    <row r="755" spans="10:27" x14ac:dyDescent="0.3">
      <c r="J755" s="197"/>
      <c r="K755" s="198"/>
      <c r="L755" s="196"/>
      <c r="M755" s="198"/>
      <c r="N755" s="202"/>
      <c r="P755" s="72"/>
      <c r="Q755" s="71"/>
      <c r="R755" s="53"/>
      <c r="S755" s="71"/>
      <c r="T755" s="53"/>
      <c r="U755" s="13"/>
      <c r="V755" s="72"/>
      <c r="W755" s="71"/>
      <c r="X755" s="53"/>
      <c r="Y755" s="71"/>
      <c r="Z755" s="53"/>
      <c r="AA755" s="13"/>
    </row>
    <row r="756" spans="10:27" x14ac:dyDescent="0.3">
      <c r="J756" s="197"/>
      <c r="K756" s="198"/>
      <c r="L756" s="196"/>
      <c r="M756" s="198"/>
      <c r="N756" s="202"/>
      <c r="P756" s="72"/>
      <c r="Q756" s="71"/>
      <c r="R756" s="53"/>
      <c r="S756" s="71"/>
      <c r="T756" s="53"/>
      <c r="U756" s="13"/>
      <c r="V756" s="72"/>
      <c r="W756" s="71"/>
      <c r="X756" s="53"/>
      <c r="Y756" s="71"/>
      <c r="Z756" s="53"/>
      <c r="AA756" s="13"/>
    </row>
    <row r="757" spans="10:27" x14ac:dyDescent="0.3">
      <c r="J757" s="197"/>
      <c r="K757" s="198"/>
      <c r="L757" s="196"/>
      <c r="M757" s="198"/>
      <c r="N757" s="202"/>
      <c r="P757" s="72"/>
      <c r="Q757" s="71"/>
      <c r="R757" s="53"/>
      <c r="S757" s="71"/>
      <c r="T757" s="53"/>
      <c r="U757" s="13"/>
      <c r="V757" s="72"/>
      <c r="W757" s="71"/>
      <c r="X757" s="53"/>
      <c r="Y757" s="71"/>
      <c r="Z757" s="53"/>
      <c r="AA757" s="13"/>
    </row>
    <row r="758" spans="10:27" x14ac:dyDescent="0.3">
      <c r="J758" s="197"/>
      <c r="K758" s="198"/>
      <c r="L758" s="196"/>
      <c r="M758" s="198"/>
      <c r="N758" s="202"/>
      <c r="P758" s="72"/>
      <c r="Q758" s="71"/>
      <c r="R758" s="53"/>
      <c r="S758" s="71"/>
      <c r="T758" s="53"/>
      <c r="U758" s="13"/>
      <c r="V758" s="72"/>
      <c r="W758" s="71"/>
      <c r="X758" s="53"/>
      <c r="Y758" s="71"/>
      <c r="Z758" s="53"/>
      <c r="AA758" s="13"/>
    </row>
    <row r="759" spans="10:27" x14ac:dyDescent="0.3">
      <c r="J759" s="197"/>
      <c r="K759" s="198"/>
      <c r="L759" s="196"/>
      <c r="M759" s="198"/>
      <c r="N759" s="202"/>
      <c r="P759" s="72"/>
      <c r="Q759" s="71"/>
      <c r="R759" s="53"/>
      <c r="S759" s="71"/>
      <c r="T759" s="53"/>
      <c r="U759" s="13"/>
      <c r="V759" s="72"/>
      <c r="W759" s="71"/>
      <c r="X759" s="53"/>
      <c r="Y759" s="71"/>
      <c r="Z759" s="53"/>
      <c r="AA759" s="13"/>
    </row>
    <row r="760" spans="10:27" x14ac:dyDescent="0.3">
      <c r="J760" s="197"/>
      <c r="K760" s="198"/>
      <c r="L760" s="196"/>
      <c r="M760" s="198"/>
      <c r="N760" s="202"/>
      <c r="P760" s="72"/>
      <c r="Q760" s="71"/>
      <c r="R760" s="53"/>
      <c r="S760" s="71"/>
      <c r="T760" s="53"/>
      <c r="U760" s="13"/>
      <c r="V760" s="72"/>
      <c r="W760" s="71"/>
      <c r="X760" s="53"/>
      <c r="Y760" s="71"/>
      <c r="Z760" s="53"/>
      <c r="AA760" s="13"/>
    </row>
    <row r="761" spans="10:27" x14ac:dyDescent="0.3">
      <c r="J761" s="197"/>
      <c r="K761" s="198"/>
      <c r="L761" s="196"/>
      <c r="M761" s="198"/>
      <c r="N761" s="202"/>
      <c r="P761" s="72"/>
      <c r="Q761" s="71"/>
      <c r="R761" s="53"/>
      <c r="S761" s="71"/>
      <c r="T761" s="53"/>
      <c r="U761" s="13"/>
      <c r="V761" s="72"/>
      <c r="W761" s="71"/>
      <c r="X761" s="53"/>
      <c r="Y761" s="71"/>
      <c r="Z761" s="53"/>
      <c r="AA761" s="13"/>
    </row>
    <row r="762" spans="10:27" x14ac:dyDescent="0.3">
      <c r="J762" s="197"/>
      <c r="K762" s="198"/>
      <c r="L762" s="196"/>
      <c r="M762" s="198"/>
      <c r="N762" s="202"/>
      <c r="P762" s="72"/>
      <c r="Q762" s="71"/>
      <c r="R762" s="53"/>
      <c r="S762" s="71"/>
      <c r="T762" s="53"/>
      <c r="U762" s="13"/>
      <c r="V762" s="72"/>
      <c r="W762" s="71"/>
      <c r="X762" s="53"/>
      <c r="Y762" s="71"/>
      <c r="Z762" s="53"/>
      <c r="AA762" s="13"/>
    </row>
    <row r="763" spans="10:27" x14ac:dyDescent="0.3">
      <c r="J763" s="197"/>
      <c r="K763" s="198"/>
      <c r="L763" s="196"/>
      <c r="M763" s="198"/>
      <c r="N763" s="202"/>
      <c r="P763" s="72"/>
      <c r="Q763" s="71"/>
      <c r="R763" s="53"/>
      <c r="S763" s="71"/>
      <c r="T763" s="53"/>
      <c r="U763" s="13"/>
      <c r="V763" s="72"/>
      <c r="W763" s="71"/>
      <c r="X763" s="53"/>
      <c r="Y763" s="71"/>
      <c r="Z763" s="53"/>
      <c r="AA763" s="13"/>
    </row>
    <row r="764" spans="10:27" x14ac:dyDescent="0.3">
      <c r="J764" s="197"/>
      <c r="K764" s="198"/>
      <c r="L764" s="196"/>
      <c r="M764" s="198"/>
      <c r="N764" s="202"/>
      <c r="P764" s="72"/>
      <c r="Q764" s="71"/>
      <c r="R764" s="53"/>
      <c r="S764" s="71"/>
      <c r="T764" s="53"/>
      <c r="U764" s="13"/>
      <c r="V764" s="72"/>
      <c r="W764" s="71"/>
      <c r="X764" s="53"/>
      <c r="Y764" s="71"/>
      <c r="Z764" s="53"/>
      <c r="AA764" s="13"/>
    </row>
    <row r="765" spans="10:27" x14ac:dyDescent="0.3">
      <c r="J765" s="197"/>
      <c r="K765" s="198"/>
      <c r="L765" s="196"/>
      <c r="M765" s="198"/>
      <c r="N765" s="202"/>
      <c r="P765" s="72"/>
      <c r="Q765" s="71"/>
      <c r="R765" s="53"/>
      <c r="S765" s="71"/>
      <c r="T765" s="53"/>
      <c r="U765" s="13"/>
      <c r="V765" s="72"/>
      <c r="W765" s="71"/>
      <c r="X765" s="53"/>
      <c r="Y765" s="71"/>
      <c r="Z765" s="53"/>
      <c r="AA765" s="13"/>
    </row>
    <row r="766" spans="10:27" x14ac:dyDescent="0.3">
      <c r="J766" s="197"/>
      <c r="K766" s="198"/>
      <c r="L766" s="196"/>
      <c r="M766" s="198"/>
      <c r="N766" s="202"/>
      <c r="P766" s="72"/>
      <c r="Q766" s="71"/>
      <c r="R766" s="53"/>
      <c r="S766" s="71"/>
      <c r="T766" s="53"/>
      <c r="U766" s="13"/>
      <c r="V766" s="72"/>
      <c r="W766" s="71"/>
      <c r="X766" s="53"/>
      <c r="Y766" s="71"/>
      <c r="Z766" s="53"/>
      <c r="AA766" s="13"/>
    </row>
    <row r="767" spans="10:27" x14ac:dyDescent="0.3">
      <c r="J767" s="197"/>
      <c r="K767" s="198"/>
      <c r="L767" s="196"/>
      <c r="M767" s="198"/>
      <c r="N767" s="202"/>
      <c r="P767" s="72"/>
      <c r="Q767" s="71"/>
      <c r="R767" s="53"/>
      <c r="S767" s="71"/>
      <c r="T767" s="53"/>
      <c r="U767" s="13"/>
      <c r="V767" s="72"/>
      <c r="W767" s="71"/>
      <c r="X767" s="53"/>
      <c r="Y767" s="71"/>
      <c r="Z767" s="53"/>
      <c r="AA767" s="13"/>
    </row>
    <row r="768" spans="10:27" x14ac:dyDescent="0.3">
      <c r="J768" s="197"/>
      <c r="K768" s="198"/>
      <c r="L768" s="196"/>
      <c r="M768" s="198"/>
      <c r="N768" s="202"/>
      <c r="P768" s="72"/>
      <c r="Q768" s="71"/>
      <c r="R768" s="53"/>
      <c r="S768" s="71"/>
      <c r="T768" s="53"/>
      <c r="U768" s="13"/>
      <c r="V768" s="72"/>
      <c r="W768" s="71"/>
      <c r="X768" s="53"/>
      <c r="Y768" s="71"/>
      <c r="Z768" s="53"/>
      <c r="AA768" s="13"/>
    </row>
    <row r="769" spans="10:27" x14ac:dyDescent="0.3">
      <c r="J769" s="197"/>
      <c r="K769" s="198"/>
      <c r="L769" s="196"/>
      <c r="M769" s="198"/>
      <c r="N769" s="202"/>
      <c r="P769" s="72"/>
      <c r="Q769" s="71"/>
      <c r="R769" s="53"/>
      <c r="S769" s="71"/>
      <c r="T769" s="53"/>
      <c r="U769" s="13"/>
      <c r="V769" s="72"/>
      <c r="W769" s="71"/>
      <c r="X769" s="53"/>
      <c r="Y769" s="71"/>
      <c r="Z769" s="53"/>
      <c r="AA769" s="13"/>
    </row>
    <row r="770" spans="10:27" x14ac:dyDescent="0.3">
      <c r="J770" s="197"/>
      <c r="K770" s="198"/>
      <c r="L770" s="196"/>
      <c r="M770" s="198"/>
      <c r="N770" s="202"/>
      <c r="P770" s="72"/>
      <c r="Q770" s="71"/>
      <c r="R770" s="53"/>
      <c r="S770" s="71"/>
      <c r="T770" s="53"/>
      <c r="U770" s="13"/>
      <c r="V770" s="72"/>
      <c r="W770" s="71"/>
      <c r="X770" s="53"/>
      <c r="Y770" s="71"/>
      <c r="Z770" s="53"/>
      <c r="AA770" s="13"/>
    </row>
    <row r="771" spans="10:27" x14ac:dyDescent="0.3">
      <c r="J771" s="197"/>
      <c r="K771" s="198"/>
      <c r="L771" s="196"/>
      <c r="M771" s="198"/>
      <c r="N771" s="202"/>
      <c r="P771" s="72"/>
      <c r="Q771" s="71"/>
      <c r="R771" s="53"/>
      <c r="S771" s="71"/>
      <c r="T771" s="53"/>
      <c r="U771" s="13"/>
      <c r="V771" s="72"/>
      <c r="W771" s="71"/>
      <c r="X771" s="53"/>
      <c r="Y771" s="71"/>
      <c r="Z771" s="53"/>
      <c r="AA771" s="13"/>
    </row>
    <row r="772" spans="10:27" x14ac:dyDescent="0.3">
      <c r="J772" s="197"/>
      <c r="K772" s="198"/>
      <c r="L772" s="196"/>
      <c r="M772" s="198"/>
      <c r="N772" s="202"/>
      <c r="P772" s="72"/>
      <c r="Q772" s="71"/>
      <c r="R772" s="53"/>
      <c r="S772" s="71"/>
      <c r="T772" s="53"/>
      <c r="U772" s="13"/>
      <c r="V772" s="72"/>
      <c r="W772" s="71"/>
      <c r="X772" s="53"/>
      <c r="Y772" s="71"/>
      <c r="Z772" s="53"/>
      <c r="AA772" s="13"/>
    </row>
    <row r="773" spans="10:27" x14ac:dyDescent="0.3">
      <c r="J773" s="197"/>
      <c r="K773" s="198"/>
      <c r="L773" s="196"/>
      <c r="M773" s="198"/>
      <c r="N773" s="202"/>
      <c r="P773" s="72"/>
      <c r="Q773" s="71"/>
      <c r="R773" s="53"/>
      <c r="S773" s="71"/>
      <c r="T773" s="53"/>
      <c r="U773" s="13"/>
      <c r="V773" s="72"/>
      <c r="W773" s="71"/>
      <c r="X773" s="53"/>
      <c r="Y773" s="71"/>
      <c r="Z773" s="53"/>
      <c r="AA773" s="13"/>
    </row>
    <row r="774" spans="10:27" x14ac:dyDescent="0.3">
      <c r="J774" s="197"/>
      <c r="K774" s="198"/>
      <c r="L774" s="196"/>
      <c r="M774" s="198"/>
      <c r="N774" s="202"/>
      <c r="P774" s="72"/>
      <c r="Q774" s="71"/>
      <c r="R774" s="53"/>
      <c r="S774" s="71"/>
      <c r="T774" s="53"/>
      <c r="U774" s="13"/>
      <c r="V774" s="72"/>
      <c r="W774" s="71"/>
      <c r="X774" s="53"/>
      <c r="Y774" s="71"/>
      <c r="Z774" s="53"/>
      <c r="AA774" s="13"/>
    </row>
    <row r="775" spans="10:27" x14ac:dyDescent="0.3">
      <c r="J775" s="197"/>
      <c r="K775" s="198"/>
      <c r="L775" s="196"/>
      <c r="M775" s="198"/>
      <c r="N775" s="202"/>
      <c r="P775" s="72"/>
      <c r="Q775" s="71"/>
      <c r="R775" s="53"/>
      <c r="S775" s="71"/>
      <c r="T775" s="53"/>
      <c r="U775" s="13"/>
      <c r="V775" s="72"/>
      <c r="W775" s="71"/>
      <c r="X775" s="53"/>
      <c r="Y775" s="71"/>
      <c r="Z775" s="53"/>
      <c r="AA775" s="13"/>
    </row>
    <row r="776" spans="10:27" x14ac:dyDescent="0.3">
      <c r="J776" s="197"/>
      <c r="K776" s="198"/>
      <c r="L776" s="196"/>
      <c r="M776" s="198"/>
      <c r="N776" s="202"/>
      <c r="P776" s="72"/>
      <c r="Q776" s="71"/>
      <c r="R776" s="53"/>
      <c r="S776" s="71"/>
      <c r="T776" s="53"/>
      <c r="U776" s="13"/>
      <c r="V776" s="72"/>
      <c r="W776" s="71"/>
      <c r="X776" s="53"/>
      <c r="Y776" s="71"/>
      <c r="Z776" s="53"/>
      <c r="AA776" s="13"/>
    </row>
    <row r="777" spans="10:27" x14ac:dyDescent="0.3">
      <c r="J777" s="197"/>
      <c r="K777" s="198"/>
      <c r="L777" s="196"/>
      <c r="M777" s="198"/>
      <c r="N777" s="202"/>
      <c r="P777" s="72"/>
      <c r="Q777" s="71"/>
      <c r="R777" s="53"/>
      <c r="S777" s="71"/>
      <c r="T777" s="53"/>
      <c r="U777" s="13"/>
      <c r="V777" s="72"/>
      <c r="W777" s="71"/>
      <c r="X777" s="53"/>
      <c r="Y777" s="71"/>
      <c r="Z777" s="53"/>
      <c r="AA777" s="13"/>
    </row>
    <row r="778" spans="10:27" x14ac:dyDescent="0.3">
      <c r="J778" s="197"/>
      <c r="K778" s="198"/>
      <c r="L778" s="196"/>
      <c r="M778" s="198"/>
      <c r="N778" s="202"/>
      <c r="P778" s="72"/>
      <c r="Q778" s="71"/>
      <c r="R778" s="53"/>
      <c r="S778" s="71"/>
      <c r="T778" s="53"/>
      <c r="U778" s="13"/>
      <c r="V778" s="72"/>
      <c r="W778" s="71"/>
      <c r="X778" s="53"/>
      <c r="Y778" s="71"/>
      <c r="Z778" s="53"/>
      <c r="AA778" s="13"/>
    </row>
    <row r="779" spans="10:27" x14ac:dyDescent="0.3">
      <c r="J779" s="197"/>
      <c r="K779" s="198"/>
      <c r="L779" s="196"/>
      <c r="M779" s="198"/>
      <c r="N779" s="202"/>
      <c r="P779" s="72"/>
      <c r="Q779" s="71"/>
      <c r="R779" s="53"/>
      <c r="S779" s="71"/>
      <c r="T779" s="53"/>
      <c r="U779" s="13"/>
      <c r="V779" s="72"/>
      <c r="W779" s="71"/>
      <c r="X779" s="53"/>
      <c r="Y779" s="71"/>
      <c r="Z779" s="53"/>
      <c r="AA779" s="13"/>
    </row>
    <row r="780" spans="10:27" x14ac:dyDescent="0.3">
      <c r="J780" s="197"/>
      <c r="K780" s="198"/>
      <c r="L780" s="196"/>
      <c r="M780" s="198"/>
      <c r="N780" s="202"/>
      <c r="P780" s="72"/>
      <c r="Q780" s="71"/>
      <c r="R780" s="53"/>
      <c r="S780" s="71"/>
      <c r="T780" s="53"/>
      <c r="U780" s="13"/>
      <c r="V780" s="72"/>
      <c r="W780" s="71"/>
      <c r="X780" s="53"/>
      <c r="Y780" s="71"/>
      <c r="Z780" s="53"/>
      <c r="AA780" s="13"/>
    </row>
    <row r="781" spans="10:27" x14ac:dyDescent="0.3">
      <c r="J781" s="197"/>
      <c r="K781" s="198"/>
      <c r="L781" s="196"/>
      <c r="M781" s="198"/>
      <c r="N781" s="202"/>
      <c r="P781" s="72"/>
      <c r="Q781" s="71"/>
      <c r="R781" s="53"/>
      <c r="S781" s="71"/>
      <c r="T781" s="53"/>
      <c r="U781" s="13"/>
      <c r="V781" s="72"/>
      <c r="W781" s="71"/>
      <c r="X781" s="53"/>
      <c r="Y781" s="71"/>
      <c r="Z781" s="53"/>
      <c r="AA781" s="13"/>
    </row>
    <row r="782" spans="10:27" x14ac:dyDescent="0.3">
      <c r="J782" s="197"/>
      <c r="K782" s="198"/>
      <c r="L782" s="196"/>
      <c r="M782" s="198"/>
      <c r="N782" s="202"/>
      <c r="P782" s="72"/>
      <c r="Q782" s="71"/>
      <c r="R782" s="53"/>
      <c r="S782" s="71"/>
      <c r="T782" s="53"/>
      <c r="U782" s="13"/>
      <c r="V782" s="72"/>
      <c r="W782" s="71"/>
      <c r="X782" s="53"/>
      <c r="Y782" s="71"/>
      <c r="Z782" s="53"/>
      <c r="AA782" s="13"/>
    </row>
    <row r="783" spans="10:27" x14ac:dyDescent="0.3">
      <c r="J783" s="197"/>
      <c r="K783" s="198"/>
      <c r="L783" s="196"/>
      <c r="M783" s="198"/>
      <c r="N783" s="202"/>
      <c r="P783" s="72"/>
      <c r="Q783" s="71"/>
      <c r="R783" s="53"/>
      <c r="S783" s="71"/>
      <c r="T783" s="53"/>
      <c r="U783" s="13"/>
      <c r="V783" s="72"/>
      <c r="W783" s="71"/>
      <c r="X783" s="53"/>
      <c r="Y783" s="71"/>
      <c r="Z783" s="53"/>
      <c r="AA783" s="13"/>
    </row>
    <row r="784" spans="10:27" x14ac:dyDescent="0.3">
      <c r="J784" s="197"/>
      <c r="K784" s="198"/>
      <c r="L784" s="196"/>
      <c r="M784" s="198"/>
      <c r="N784" s="202"/>
      <c r="P784" s="72"/>
      <c r="Q784" s="71"/>
      <c r="R784" s="53"/>
      <c r="S784" s="71"/>
      <c r="T784" s="53"/>
      <c r="U784" s="13"/>
      <c r="V784" s="72"/>
      <c r="W784" s="71"/>
      <c r="X784" s="53"/>
      <c r="Y784" s="71"/>
      <c r="Z784" s="53"/>
      <c r="AA784" s="13"/>
    </row>
    <row r="785" spans="10:27" x14ac:dyDescent="0.3">
      <c r="J785" s="197"/>
      <c r="K785" s="198"/>
      <c r="L785" s="196"/>
      <c r="M785" s="198"/>
      <c r="N785" s="202"/>
      <c r="P785" s="72"/>
      <c r="Q785" s="71"/>
      <c r="R785" s="53"/>
      <c r="S785" s="71"/>
      <c r="T785" s="53"/>
      <c r="U785" s="13"/>
      <c r="V785" s="72"/>
      <c r="W785" s="71"/>
      <c r="X785" s="53"/>
      <c r="Y785" s="71"/>
      <c r="Z785" s="53"/>
      <c r="AA785" s="13"/>
    </row>
    <row r="786" spans="10:27" x14ac:dyDescent="0.3">
      <c r="J786" s="197"/>
      <c r="K786" s="198"/>
      <c r="L786" s="196"/>
      <c r="M786" s="198"/>
      <c r="N786" s="202"/>
      <c r="P786" s="72"/>
      <c r="Q786" s="71"/>
      <c r="R786" s="53"/>
      <c r="S786" s="71"/>
      <c r="T786" s="53"/>
      <c r="U786" s="13"/>
      <c r="V786" s="72"/>
      <c r="W786" s="71"/>
      <c r="X786" s="53"/>
      <c r="Y786" s="71"/>
      <c r="Z786" s="53"/>
      <c r="AA786" s="13"/>
    </row>
    <row r="787" spans="10:27" x14ac:dyDescent="0.3">
      <c r="J787" s="197"/>
      <c r="K787" s="198"/>
      <c r="L787" s="196"/>
      <c r="M787" s="198"/>
      <c r="N787" s="202"/>
      <c r="P787" s="72"/>
      <c r="Q787" s="71"/>
      <c r="R787" s="53"/>
      <c r="S787" s="71"/>
      <c r="T787" s="53"/>
      <c r="U787" s="13"/>
      <c r="V787" s="72"/>
      <c r="W787" s="71"/>
      <c r="X787" s="53"/>
      <c r="Y787" s="71"/>
      <c r="Z787" s="53"/>
      <c r="AA787" s="13"/>
    </row>
    <row r="788" spans="10:27" x14ac:dyDescent="0.3">
      <c r="J788" s="197"/>
      <c r="K788" s="198"/>
      <c r="L788" s="196"/>
      <c r="M788" s="198"/>
      <c r="N788" s="202"/>
      <c r="P788" s="72"/>
      <c r="Q788" s="71"/>
      <c r="R788" s="53"/>
      <c r="S788" s="71"/>
      <c r="T788" s="53"/>
      <c r="U788" s="13"/>
      <c r="V788" s="72"/>
      <c r="W788" s="71"/>
      <c r="X788" s="53"/>
      <c r="Y788" s="71"/>
      <c r="Z788" s="53"/>
      <c r="AA788" s="13"/>
    </row>
    <row r="789" spans="10:27" x14ac:dyDescent="0.3">
      <c r="J789" s="197"/>
      <c r="K789" s="198"/>
      <c r="L789" s="196"/>
      <c r="M789" s="198"/>
      <c r="N789" s="202"/>
      <c r="P789" s="72"/>
      <c r="Q789" s="71"/>
      <c r="R789" s="53"/>
      <c r="S789" s="71"/>
      <c r="T789" s="53"/>
      <c r="U789" s="13"/>
      <c r="V789" s="72"/>
      <c r="W789" s="71"/>
      <c r="X789" s="53"/>
      <c r="Y789" s="71"/>
      <c r="Z789" s="53"/>
      <c r="AA789" s="13"/>
    </row>
    <row r="790" spans="10:27" x14ac:dyDescent="0.3">
      <c r="J790" s="197"/>
      <c r="K790" s="198"/>
      <c r="L790" s="196"/>
      <c r="M790" s="198"/>
      <c r="N790" s="202"/>
      <c r="P790" s="72"/>
      <c r="Q790" s="71"/>
      <c r="R790" s="53"/>
      <c r="S790" s="71"/>
      <c r="T790" s="53"/>
      <c r="U790" s="13"/>
      <c r="V790" s="72"/>
      <c r="W790" s="71"/>
      <c r="X790" s="53"/>
      <c r="Y790" s="71"/>
      <c r="Z790" s="53"/>
      <c r="AA790" s="13"/>
    </row>
    <row r="791" spans="10:27" x14ac:dyDescent="0.3">
      <c r="J791" s="197"/>
      <c r="K791" s="198"/>
      <c r="L791" s="196"/>
      <c r="M791" s="198"/>
      <c r="N791" s="202"/>
      <c r="P791" s="72"/>
      <c r="Q791" s="71"/>
      <c r="R791" s="53"/>
      <c r="S791" s="71"/>
      <c r="T791" s="53"/>
      <c r="U791" s="13"/>
      <c r="V791" s="72"/>
      <c r="W791" s="71"/>
      <c r="X791" s="53"/>
      <c r="Y791" s="71"/>
      <c r="Z791" s="53"/>
      <c r="AA791" s="13"/>
    </row>
    <row r="792" spans="10:27" x14ac:dyDescent="0.3">
      <c r="J792" s="197"/>
      <c r="K792" s="198"/>
      <c r="L792" s="196"/>
      <c r="M792" s="198"/>
      <c r="N792" s="202"/>
      <c r="P792" s="72"/>
      <c r="Q792" s="71"/>
      <c r="R792" s="53"/>
      <c r="S792" s="71"/>
      <c r="T792" s="53"/>
      <c r="U792" s="13"/>
      <c r="V792" s="72"/>
      <c r="W792" s="71"/>
      <c r="X792" s="53"/>
      <c r="Y792" s="71"/>
      <c r="Z792" s="53"/>
      <c r="AA792" s="13"/>
    </row>
    <row r="793" spans="10:27" x14ac:dyDescent="0.3">
      <c r="J793" s="197"/>
      <c r="K793" s="198"/>
      <c r="L793" s="196"/>
      <c r="M793" s="198"/>
      <c r="N793" s="202"/>
      <c r="P793" s="72"/>
      <c r="Q793" s="71"/>
      <c r="R793" s="53"/>
      <c r="S793" s="71"/>
      <c r="T793" s="53"/>
      <c r="U793" s="13"/>
      <c r="V793" s="72"/>
      <c r="W793" s="71"/>
      <c r="X793" s="53"/>
      <c r="Y793" s="71"/>
      <c r="Z793" s="53"/>
      <c r="AA793" s="13"/>
    </row>
    <row r="794" spans="10:27" x14ac:dyDescent="0.3">
      <c r="J794" s="197"/>
      <c r="K794" s="198"/>
      <c r="L794" s="196"/>
      <c r="M794" s="198"/>
      <c r="N794" s="202"/>
      <c r="P794" s="72"/>
      <c r="Q794" s="71"/>
      <c r="R794" s="53"/>
      <c r="S794" s="71"/>
      <c r="T794" s="53"/>
      <c r="U794" s="13"/>
      <c r="V794" s="72"/>
      <c r="W794" s="71"/>
      <c r="X794" s="53"/>
      <c r="Y794" s="71"/>
      <c r="Z794" s="53"/>
      <c r="AA794" s="13"/>
    </row>
    <row r="795" spans="10:27" x14ac:dyDescent="0.3">
      <c r="J795" s="197"/>
      <c r="K795" s="198"/>
      <c r="L795" s="196"/>
      <c r="M795" s="198"/>
      <c r="N795" s="202"/>
      <c r="P795" s="72"/>
      <c r="Q795" s="71"/>
      <c r="R795" s="53"/>
      <c r="S795" s="71"/>
      <c r="T795" s="53"/>
      <c r="U795" s="13"/>
      <c r="V795" s="72"/>
      <c r="W795" s="71"/>
      <c r="X795" s="53"/>
      <c r="Y795" s="71"/>
      <c r="Z795" s="53"/>
      <c r="AA795" s="13"/>
    </row>
    <row r="796" spans="10:27" x14ac:dyDescent="0.3">
      <c r="J796" s="197"/>
      <c r="K796" s="198"/>
      <c r="L796" s="196"/>
      <c r="M796" s="198"/>
      <c r="N796" s="202"/>
      <c r="P796" s="72"/>
      <c r="Q796" s="71"/>
      <c r="R796" s="53"/>
      <c r="S796" s="71"/>
      <c r="T796" s="53"/>
      <c r="U796" s="13"/>
      <c r="V796" s="72"/>
      <c r="W796" s="71"/>
      <c r="X796" s="53"/>
      <c r="Y796" s="71"/>
      <c r="Z796" s="53"/>
      <c r="AA796" s="13"/>
    </row>
    <row r="797" spans="10:27" x14ac:dyDescent="0.3">
      <c r="J797" s="197"/>
      <c r="K797" s="198"/>
      <c r="L797" s="196"/>
      <c r="M797" s="198"/>
      <c r="N797" s="202"/>
      <c r="P797" s="72"/>
      <c r="Q797" s="71"/>
      <c r="R797" s="53"/>
      <c r="S797" s="71"/>
      <c r="T797" s="53"/>
      <c r="U797" s="13"/>
      <c r="V797" s="72"/>
      <c r="W797" s="71"/>
      <c r="X797" s="53"/>
      <c r="Y797" s="71"/>
      <c r="Z797" s="53"/>
      <c r="AA797" s="13"/>
    </row>
    <row r="798" spans="10:27" x14ac:dyDescent="0.3">
      <c r="J798" s="197"/>
      <c r="K798" s="198"/>
      <c r="L798" s="196"/>
      <c r="M798" s="198"/>
      <c r="N798" s="202"/>
      <c r="P798" s="72"/>
      <c r="Q798" s="71"/>
      <c r="R798" s="53"/>
      <c r="S798" s="71"/>
      <c r="T798" s="53"/>
      <c r="U798" s="13"/>
      <c r="V798" s="72"/>
      <c r="W798" s="71"/>
      <c r="X798" s="53"/>
      <c r="Y798" s="71"/>
      <c r="Z798" s="53"/>
      <c r="AA798" s="13"/>
    </row>
    <row r="799" spans="10:27" x14ac:dyDescent="0.3">
      <c r="J799" s="197"/>
      <c r="K799" s="198"/>
      <c r="L799" s="196"/>
      <c r="M799" s="198"/>
      <c r="N799" s="202"/>
      <c r="P799" s="72"/>
      <c r="Q799" s="71"/>
      <c r="R799" s="53"/>
      <c r="S799" s="71"/>
      <c r="T799" s="53"/>
      <c r="U799" s="13"/>
      <c r="V799" s="72"/>
      <c r="W799" s="71"/>
      <c r="X799" s="53"/>
      <c r="Y799" s="71"/>
      <c r="Z799" s="53"/>
      <c r="AA799" s="13"/>
    </row>
    <row r="800" spans="10:27" x14ac:dyDescent="0.3">
      <c r="J800" s="197"/>
      <c r="K800" s="198"/>
      <c r="L800" s="196"/>
      <c r="M800" s="198"/>
      <c r="N800" s="202"/>
      <c r="P800" s="72"/>
      <c r="Q800" s="71"/>
      <c r="R800" s="53"/>
      <c r="S800" s="71"/>
      <c r="T800" s="53"/>
      <c r="U800" s="13"/>
      <c r="V800" s="72"/>
      <c r="W800" s="71"/>
      <c r="X800" s="53"/>
      <c r="Y800" s="71"/>
      <c r="Z800" s="53"/>
      <c r="AA800" s="13"/>
    </row>
    <row r="801" spans="10:27" x14ac:dyDescent="0.3">
      <c r="J801" s="197"/>
      <c r="K801" s="198"/>
      <c r="L801" s="196"/>
      <c r="M801" s="198"/>
      <c r="N801" s="202"/>
      <c r="P801" s="72"/>
      <c r="Q801" s="71"/>
      <c r="R801" s="53"/>
      <c r="S801" s="71"/>
      <c r="T801" s="53"/>
      <c r="U801" s="13"/>
      <c r="V801" s="72"/>
      <c r="W801" s="71"/>
      <c r="X801" s="53"/>
      <c r="Y801" s="71"/>
      <c r="Z801" s="53"/>
      <c r="AA801" s="13"/>
    </row>
    <row r="802" spans="10:27" x14ac:dyDescent="0.3">
      <c r="J802" s="197"/>
      <c r="K802" s="198"/>
      <c r="L802" s="196"/>
      <c r="M802" s="198"/>
      <c r="N802" s="202"/>
      <c r="P802" s="72"/>
      <c r="Q802" s="71"/>
      <c r="R802" s="53"/>
      <c r="S802" s="71"/>
      <c r="T802" s="53"/>
      <c r="U802" s="13"/>
      <c r="V802" s="72"/>
      <c r="W802" s="71"/>
      <c r="X802" s="53"/>
      <c r="Y802" s="71"/>
      <c r="Z802" s="53"/>
      <c r="AA802" s="13"/>
    </row>
    <row r="803" spans="10:27" x14ac:dyDescent="0.3">
      <c r="J803" s="197"/>
      <c r="K803" s="198"/>
      <c r="L803" s="196"/>
      <c r="M803" s="198"/>
      <c r="N803" s="202"/>
      <c r="P803" s="72"/>
      <c r="Q803" s="71"/>
      <c r="R803" s="53"/>
      <c r="S803" s="71"/>
      <c r="T803" s="53"/>
      <c r="U803" s="13"/>
      <c r="V803" s="72"/>
      <c r="W803" s="71"/>
      <c r="X803" s="53"/>
      <c r="Y803" s="71"/>
      <c r="Z803" s="53"/>
      <c r="AA803" s="13"/>
    </row>
    <row r="804" spans="10:27" x14ac:dyDescent="0.3">
      <c r="J804" s="197"/>
      <c r="K804" s="198"/>
      <c r="L804" s="196"/>
      <c r="M804" s="198"/>
      <c r="N804" s="202"/>
      <c r="P804" s="72"/>
      <c r="Q804" s="71"/>
      <c r="R804" s="53"/>
      <c r="S804" s="71"/>
      <c r="T804" s="53"/>
      <c r="U804" s="13"/>
      <c r="V804" s="72"/>
      <c r="W804" s="71"/>
      <c r="X804" s="53"/>
      <c r="Y804" s="71"/>
      <c r="Z804" s="53"/>
      <c r="AA804" s="13"/>
    </row>
    <row r="805" spans="10:27" x14ac:dyDescent="0.3">
      <c r="J805" s="197"/>
      <c r="K805" s="198"/>
      <c r="L805" s="196"/>
      <c r="M805" s="198"/>
      <c r="N805" s="202"/>
      <c r="P805" s="72"/>
      <c r="Q805" s="71"/>
      <c r="R805" s="53"/>
      <c r="S805" s="71"/>
      <c r="T805" s="53"/>
      <c r="U805" s="13"/>
      <c r="V805" s="72"/>
      <c r="W805" s="71"/>
      <c r="X805" s="53"/>
      <c r="Y805" s="71"/>
      <c r="Z805" s="53"/>
      <c r="AA805" s="13"/>
    </row>
    <row r="806" spans="10:27" x14ac:dyDescent="0.3">
      <c r="J806" s="197"/>
      <c r="K806" s="198"/>
      <c r="L806" s="196"/>
      <c r="M806" s="198"/>
      <c r="N806" s="202"/>
      <c r="P806" s="72"/>
      <c r="Q806" s="71"/>
      <c r="R806" s="53"/>
      <c r="S806" s="71"/>
      <c r="T806" s="53"/>
      <c r="U806" s="13"/>
      <c r="V806" s="72"/>
      <c r="W806" s="71"/>
      <c r="X806" s="53"/>
      <c r="Y806" s="71"/>
      <c r="Z806" s="53"/>
      <c r="AA806" s="13"/>
    </row>
    <row r="807" spans="10:27" x14ac:dyDescent="0.3">
      <c r="J807" s="197"/>
      <c r="K807" s="198"/>
      <c r="L807" s="196"/>
      <c r="M807" s="198"/>
      <c r="N807" s="202"/>
      <c r="P807" s="72"/>
      <c r="Q807" s="71"/>
      <c r="R807" s="53"/>
      <c r="S807" s="71"/>
      <c r="T807" s="53"/>
      <c r="U807" s="13"/>
      <c r="V807" s="72"/>
      <c r="W807" s="71"/>
      <c r="X807" s="53"/>
      <c r="Y807" s="71"/>
      <c r="Z807" s="53"/>
      <c r="AA807" s="13"/>
    </row>
    <row r="808" spans="10:27" x14ac:dyDescent="0.3">
      <c r="J808" s="197"/>
      <c r="K808" s="198"/>
      <c r="L808" s="196"/>
      <c r="M808" s="198"/>
      <c r="N808" s="202"/>
      <c r="P808" s="72"/>
      <c r="Q808" s="71"/>
      <c r="R808" s="53"/>
      <c r="S808" s="71"/>
      <c r="T808" s="53"/>
      <c r="U808" s="13"/>
      <c r="V808" s="72"/>
      <c r="W808" s="71"/>
      <c r="X808" s="53"/>
      <c r="Y808" s="71"/>
      <c r="Z808" s="53"/>
      <c r="AA808" s="13"/>
    </row>
    <row r="809" spans="10:27" x14ac:dyDescent="0.3">
      <c r="J809" s="197"/>
      <c r="K809" s="198"/>
      <c r="L809" s="196"/>
      <c r="M809" s="198"/>
      <c r="N809" s="202"/>
      <c r="P809" s="72"/>
      <c r="Q809" s="71"/>
      <c r="R809" s="53"/>
      <c r="S809" s="71"/>
      <c r="T809" s="53"/>
      <c r="U809" s="13"/>
      <c r="V809" s="72"/>
      <c r="W809" s="71"/>
      <c r="X809" s="53"/>
      <c r="Y809" s="71"/>
      <c r="Z809" s="53"/>
      <c r="AA809" s="13"/>
    </row>
    <row r="810" spans="10:27" x14ac:dyDescent="0.3">
      <c r="J810" s="197"/>
      <c r="K810" s="198"/>
      <c r="L810" s="196"/>
      <c r="M810" s="198"/>
      <c r="N810" s="202"/>
      <c r="P810" s="72"/>
      <c r="Q810" s="71"/>
      <c r="R810" s="53"/>
      <c r="S810" s="71"/>
      <c r="T810" s="53"/>
      <c r="U810" s="13"/>
      <c r="V810" s="72"/>
      <c r="W810" s="71"/>
      <c r="X810" s="53"/>
      <c r="Y810" s="71"/>
      <c r="Z810" s="53"/>
      <c r="AA810" s="13"/>
    </row>
    <row r="811" spans="10:27" x14ac:dyDescent="0.3">
      <c r="J811" s="197"/>
      <c r="K811" s="198"/>
      <c r="L811" s="196"/>
      <c r="M811" s="198"/>
      <c r="N811" s="202"/>
      <c r="P811" s="72"/>
      <c r="Q811" s="71"/>
      <c r="R811" s="53"/>
      <c r="S811" s="71"/>
      <c r="T811" s="53"/>
      <c r="U811" s="13"/>
      <c r="V811" s="72"/>
      <c r="W811" s="71"/>
      <c r="X811" s="53"/>
      <c r="Y811" s="71"/>
      <c r="Z811" s="53"/>
      <c r="AA811" s="13"/>
    </row>
    <row r="812" spans="10:27" x14ac:dyDescent="0.3">
      <c r="J812" s="197"/>
      <c r="K812" s="198"/>
      <c r="L812" s="196"/>
      <c r="M812" s="198"/>
      <c r="N812" s="202"/>
      <c r="P812" s="72"/>
      <c r="Q812" s="71"/>
      <c r="R812" s="53"/>
      <c r="S812" s="71"/>
      <c r="T812" s="53"/>
      <c r="U812" s="13"/>
      <c r="V812" s="72"/>
      <c r="W812" s="71"/>
      <c r="X812" s="53"/>
      <c r="Y812" s="71"/>
      <c r="Z812" s="53"/>
      <c r="AA812" s="13"/>
    </row>
    <row r="813" spans="10:27" x14ac:dyDescent="0.3">
      <c r="J813" s="197"/>
      <c r="K813" s="198"/>
      <c r="L813" s="196"/>
      <c r="M813" s="198"/>
      <c r="N813" s="202"/>
      <c r="P813" s="72"/>
      <c r="Q813" s="71"/>
      <c r="R813" s="53"/>
      <c r="S813" s="71"/>
      <c r="T813" s="53"/>
      <c r="U813" s="13"/>
      <c r="V813" s="72"/>
      <c r="W813" s="71"/>
      <c r="X813" s="53"/>
      <c r="Y813" s="71"/>
      <c r="Z813" s="53"/>
      <c r="AA813" s="13"/>
    </row>
    <row r="814" spans="10:27" x14ac:dyDescent="0.3">
      <c r="J814" s="197"/>
      <c r="K814" s="198"/>
      <c r="L814" s="196"/>
      <c r="M814" s="198"/>
      <c r="N814" s="202"/>
      <c r="P814" s="72"/>
      <c r="Q814" s="71"/>
      <c r="R814" s="53"/>
      <c r="S814" s="71"/>
      <c r="T814" s="53"/>
      <c r="U814" s="13"/>
      <c r="V814" s="72"/>
      <c r="W814" s="71"/>
      <c r="X814" s="53"/>
      <c r="Y814" s="71"/>
      <c r="Z814" s="53"/>
      <c r="AA814" s="13"/>
    </row>
    <row r="815" spans="10:27" x14ac:dyDescent="0.3">
      <c r="J815" s="197"/>
      <c r="K815" s="198"/>
      <c r="L815" s="196"/>
      <c r="M815" s="198"/>
      <c r="N815" s="202"/>
      <c r="P815" s="72"/>
      <c r="Q815" s="71"/>
      <c r="R815" s="53"/>
      <c r="S815" s="71"/>
      <c r="T815" s="53"/>
      <c r="U815" s="13"/>
      <c r="V815" s="72"/>
      <c r="W815" s="71"/>
      <c r="X815" s="53"/>
      <c r="Y815" s="71"/>
      <c r="Z815" s="53"/>
      <c r="AA815" s="13"/>
    </row>
    <row r="816" spans="10:27" x14ac:dyDescent="0.3">
      <c r="J816" s="197"/>
      <c r="K816" s="198"/>
      <c r="L816" s="196"/>
      <c r="M816" s="198"/>
      <c r="N816" s="202"/>
      <c r="P816" s="72"/>
      <c r="Q816" s="71"/>
      <c r="R816" s="53"/>
      <c r="S816" s="71"/>
      <c r="T816" s="53"/>
      <c r="U816" s="13"/>
      <c r="V816" s="72"/>
      <c r="W816" s="71"/>
      <c r="X816" s="53"/>
      <c r="Y816" s="71"/>
      <c r="Z816" s="53"/>
      <c r="AA816" s="13"/>
    </row>
    <row r="817" spans="10:27" x14ac:dyDescent="0.3">
      <c r="J817" s="197"/>
      <c r="K817" s="198"/>
      <c r="L817" s="196"/>
      <c r="M817" s="198"/>
      <c r="N817" s="202"/>
      <c r="P817" s="72"/>
      <c r="Q817" s="71"/>
      <c r="R817" s="53"/>
      <c r="S817" s="71"/>
      <c r="T817" s="53"/>
      <c r="U817" s="13"/>
      <c r="V817" s="72"/>
      <c r="W817" s="71"/>
      <c r="X817" s="53"/>
      <c r="Y817" s="71"/>
      <c r="Z817" s="53"/>
      <c r="AA817" s="13"/>
    </row>
    <row r="818" spans="10:27" x14ac:dyDescent="0.3">
      <c r="J818" s="197"/>
      <c r="K818" s="198"/>
      <c r="L818" s="196"/>
      <c r="M818" s="198"/>
      <c r="N818" s="202"/>
      <c r="P818" s="72"/>
      <c r="Q818" s="71"/>
      <c r="R818" s="53"/>
      <c r="S818" s="71"/>
      <c r="T818" s="53"/>
      <c r="U818" s="13"/>
      <c r="V818" s="72"/>
      <c r="W818" s="71"/>
      <c r="X818" s="53"/>
      <c r="Y818" s="71"/>
      <c r="Z818" s="53"/>
      <c r="AA818" s="13"/>
    </row>
    <row r="819" spans="10:27" x14ac:dyDescent="0.3">
      <c r="J819" s="197"/>
      <c r="K819" s="198"/>
      <c r="L819" s="196"/>
      <c r="M819" s="198"/>
      <c r="N819" s="202"/>
      <c r="P819" s="72"/>
      <c r="Q819" s="71"/>
      <c r="R819" s="53"/>
      <c r="S819" s="71"/>
      <c r="T819" s="53"/>
      <c r="U819" s="13"/>
      <c r="V819" s="72"/>
      <c r="W819" s="71"/>
      <c r="X819" s="53"/>
      <c r="Y819" s="71"/>
      <c r="Z819" s="53"/>
      <c r="AA819" s="13"/>
    </row>
    <row r="820" spans="10:27" x14ac:dyDescent="0.3">
      <c r="J820" s="197"/>
      <c r="K820" s="198"/>
      <c r="L820" s="196"/>
      <c r="M820" s="198"/>
      <c r="N820" s="202"/>
      <c r="P820" s="72"/>
      <c r="Q820" s="71"/>
      <c r="R820" s="53"/>
      <c r="S820" s="71"/>
      <c r="T820" s="53"/>
      <c r="U820" s="13"/>
      <c r="V820" s="72"/>
      <c r="W820" s="71"/>
      <c r="X820" s="53"/>
      <c r="Y820" s="71"/>
      <c r="Z820" s="53"/>
      <c r="AA820" s="13"/>
    </row>
    <row r="821" spans="10:27" x14ac:dyDescent="0.3">
      <c r="J821" s="197"/>
      <c r="K821" s="198"/>
      <c r="L821" s="196"/>
      <c r="M821" s="198"/>
      <c r="N821" s="202"/>
      <c r="P821" s="72"/>
      <c r="Q821" s="71"/>
      <c r="R821" s="53"/>
      <c r="S821" s="71"/>
      <c r="T821" s="53"/>
      <c r="U821" s="13"/>
      <c r="V821" s="72"/>
      <c r="W821" s="71"/>
      <c r="X821" s="53"/>
      <c r="Y821" s="71"/>
      <c r="Z821" s="53"/>
      <c r="AA821" s="13"/>
    </row>
    <row r="822" spans="10:27" x14ac:dyDescent="0.3">
      <c r="J822" s="197"/>
      <c r="K822" s="198"/>
      <c r="L822" s="196"/>
      <c r="M822" s="198"/>
      <c r="N822" s="202"/>
      <c r="P822" s="72"/>
      <c r="Q822" s="71"/>
      <c r="R822" s="53"/>
      <c r="S822" s="71"/>
      <c r="T822" s="53"/>
      <c r="U822" s="13"/>
      <c r="V822" s="72"/>
      <c r="W822" s="71"/>
      <c r="X822" s="53"/>
      <c r="Y822" s="71"/>
      <c r="Z822" s="53"/>
      <c r="AA822" s="13"/>
    </row>
    <row r="823" spans="10:27" x14ac:dyDescent="0.3">
      <c r="J823" s="197"/>
      <c r="K823" s="198"/>
      <c r="L823" s="196"/>
      <c r="M823" s="198"/>
      <c r="N823" s="202"/>
      <c r="P823" s="72"/>
      <c r="Q823" s="71"/>
      <c r="R823" s="53"/>
      <c r="S823" s="71"/>
      <c r="T823" s="53"/>
      <c r="U823" s="13"/>
      <c r="V823" s="72"/>
      <c r="W823" s="71"/>
      <c r="X823" s="53"/>
      <c r="Y823" s="71"/>
      <c r="Z823" s="53"/>
      <c r="AA823" s="13"/>
    </row>
    <row r="824" spans="10:27" x14ac:dyDescent="0.3">
      <c r="J824" s="197"/>
      <c r="K824" s="198"/>
      <c r="L824" s="196"/>
      <c r="M824" s="198"/>
      <c r="N824" s="202"/>
      <c r="P824" s="72"/>
      <c r="Q824" s="71"/>
      <c r="R824" s="53"/>
      <c r="S824" s="71"/>
      <c r="T824" s="53"/>
      <c r="U824" s="13"/>
      <c r="V824" s="72"/>
      <c r="W824" s="71"/>
      <c r="X824" s="53"/>
      <c r="Y824" s="71"/>
      <c r="Z824" s="53"/>
      <c r="AA824" s="13"/>
    </row>
    <row r="825" spans="10:27" x14ac:dyDescent="0.3">
      <c r="J825" s="197"/>
      <c r="K825" s="198"/>
      <c r="L825" s="196"/>
      <c r="M825" s="198"/>
      <c r="N825" s="202"/>
      <c r="P825" s="72"/>
      <c r="Q825" s="71"/>
      <c r="R825" s="53"/>
      <c r="S825" s="71"/>
      <c r="T825" s="53"/>
      <c r="U825" s="13"/>
      <c r="V825" s="72"/>
      <c r="W825" s="71"/>
      <c r="X825" s="53"/>
      <c r="Y825" s="71"/>
      <c r="Z825" s="53"/>
      <c r="AA825" s="13"/>
    </row>
    <row r="826" spans="10:27" x14ac:dyDescent="0.3">
      <c r="J826" s="197"/>
      <c r="K826" s="198"/>
      <c r="L826" s="196"/>
      <c r="M826" s="198"/>
      <c r="N826" s="202"/>
      <c r="P826" s="72"/>
      <c r="Q826" s="71"/>
      <c r="R826" s="53"/>
      <c r="S826" s="71"/>
      <c r="T826" s="53"/>
      <c r="U826" s="13"/>
      <c r="V826" s="72"/>
      <c r="W826" s="71"/>
      <c r="X826" s="53"/>
      <c r="Y826" s="71"/>
      <c r="Z826" s="53"/>
      <c r="AA826" s="13"/>
    </row>
    <row r="827" spans="10:27" x14ac:dyDescent="0.3">
      <c r="J827" s="197"/>
      <c r="K827" s="198"/>
      <c r="L827" s="196"/>
      <c r="M827" s="198"/>
      <c r="N827" s="202"/>
      <c r="P827" s="72"/>
      <c r="Q827" s="71"/>
      <c r="R827" s="53"/>
      <c r="S827" s="71"/>
      <c r="T827" s="53"/>
      <c r="U827" s="13"/>
      <c r="V827" s="72"/>
      <c r="W827" s="71"/>
      <c r="X827" s="53"/>
      <c r="Y827" s="71"/>
      <c r="Z827" s="53"/>
      <c r="AA827" s="13"/>
    </row>
    <row r="828" spans="10:27" x14ac:dyDescent="0.3">
      <c r="J828" s="197"/>
      <c r="K828" s="198"/>
      <c r="L828" s="196"/>
      <c r="M828" s="198"/>
      <c r="N828" s="202"/>
      <c r="P828" s="72"/>
      <c r="Q828" s="71"/>
      <c r="R828" s="53"/>
      <c r="S828" s="71"/>
      <c r="T828" s="53"/>
      <c r="U828" s="13"/>
      <c r="V828" s="72"/>
      <c r="W828" s="71"/>
      <c r="X828" s="53"/>
      <c r="Y828" s="71"/>
      <c r="Z828" s="53"/>
      <c r="AA828" s="13"/>
    </row>
    <row r="829" spans="10:27" x14ac:dyDescent="0.3">
      <c r="J829" s="197"/>
      <c r="K829" s="198"/>
      <c r="L829" s="196"/>
      <c r="M829" s="198"/>
      <c r="N829" s="202"/>
      <c r="P829" s="72"/>
      <c r="Q829" s="71"/>
      <c r="R829" s="53"/>
      <c r="S829" s="71"/>
      <c r="T829" s="53"/>
      <c r="U829" s="13"/>
      <c r="V829" s="72"/>
      <c r="W829" s="71"/>
      <c r="X829" s="53"/>
      <c r="Y829" s="71"/>
      <c r="Z829" s="53"/>
      <c r="AA829" s="13"/>
    </row>
    <row r="830" spans="10:27" x14ac:dyDescent="0.3">
      <c r="J830" s="197"/>
      <c r="K830" s="198"/>
      <c r="L830" s="196"/>
      <c r="M830" s="198"/>
      <c r="N830" s="202"/>
      <c r="P830" s="72"/>
      <c r="Q830" s="71"/>
      <c r="R830" s="53"/>
      <c r="S830" s="71"/>
      <c r="T830" s="53"/>
      <c r="U830" s="13"/>
      <c r="V830" s="72"/>
      <c r="W830" s="71"/>
      <c r="X830" s="53"/>
      <c r="Y830" s="71"/>
      <c r="Z830" s="53"/>
      <c r="AA830" s="13"/>
    </row>
    <row r="831" spans="10:27" x14ac:dyDescent="0.3">
      <c r="J831" s="197"/>
      <c r="K831" s="198"/>
      <c r="L831" s="196"/>
      <c r="M831" s="198"/>
      <c r="N831" s="202"/>
      <c r="P831" s="72"/>
      <c r="Q831" s="71"/>
      <c r="R831" s="53"/>
      <c r="S831" s="71"/>
      <c r="T831" s="53"/>
      <c r="U831" s="13"/>
      <c r="V831" s="72"/>
      <c r="W831" s="71"/>
      <c r="X831" s="53"/>
      <c r="Y831" s="71"/>
      <c r="Z831" s="53"/>
      <c r="AA831" s="13"/>
    </row>
    <row r="832" spans="10:27" x14ac:dyDescent="0.3">
      <c r="J832" s="197"/>
      <c r="K832" s="198"/>
      <c r="L832" s="196"/>
      <c r="M832" s="198"/>
      <c r="N832" s="202"/>
      <c r="P832" s="72"/>
      <c r="Q832" s="71"/>
      <c r="R832" s="53"/>
      <c r="S832" s="71"/>
      <c r="T832" s="53"/>
      <c r="U832" s="13"/>
      <c r="V832" s="72"/>
      <c r="W832" s="71"/>
      <c r="X832" s="53"/>
      <c r="Y832" s="71"/>
      <c r="Z832" s="53"/>
      <c r="AA832" s="13"/>
    </row>
    <row r="833" spans="10:27" x14ac:dyDescent="0.3">
      <c r="J833" s="197"/>
      <c r="K833" s="198"/>
      <c r="L833" s="196"/>
      <c r="M833" s="198"/>
      <c r="N833" s="202"/>
      <c r="P833" s="72"/>
      <c r="Q833" s="71"/>
      <c r="R833" s="53"/>
      <c r="S833" s="71"/>
      <c r="T833" s="53"/>
      <c r="U833" s="13"/>
      <c r="V833" s="72"/>
      <c r="W833" s="71"/>
      <c r="X833" s="53"/>
      <c r="Y833" s="71"/>
      <c r="Z833" s="53"/>
      <c r="AA833" s="13"/>
    </row>
    <row r="834" spans="10:27" x14ac:dyDescent="0.3">
      <c r="J834" s="197"/>
      <c r="K834" s="198"/>
      <c r="L834" s="196"/>
      <c r="M834" s="198"/>
      <c r="N834" s="202"/>
      <c r="P834" s="72"/>
      <c r="Q834" s="71"/>
      <c r="R834" s="53"/>
      <c r="S834" s="71"/>
      <c r="T834" s="53"/>
      <c r="U834" s="13"/>
      <c r="V834" s="72"/>
      <c r="W834" s="71"/>
      <c r="X834" s="53"/>
      <c r="Y834" s="71"/>
      <c r="Z834" s="53"/>
      <c r="AA834" s="13"/>
    </row>
    <row r="835" spans="10:27" x14ac:dyDescent="0.3">
      <c r="J835" s="197"/>
      <c r="K835" s="198"/>
      <c r="L835" s="196"/>
      <c r="M835" s="198"/>
      <c r="N835" s="202"/>
      <c r="P835" s="72"/>
      <c r="Q835" s="71"/>
      <c r="R835" s="53"/>
      <c r="S835" s="71"/>
      <c r="T835" s="53"/>
      <c r="U835" s="13"/>
      <c r="V835" s="72"/>
      <c r="W835" s="71"/>
      <c r="X835" s="53"/>
      <c r="Y835" s="71"/>
      <c r="Z835" s="53"/>
      <c r="AA835" s="13"/>
    </row>
    <row r="836" spans="10:27" x14ac:dyDescent="0.3">
      <c r="J836" s="197"/>
      <c r="K836" s="198"/>
      <c r="L836" s="196"/>
      <c r="M836" s="198"/>
      <c r="N836" s="202"/>
      <c r="P836" s="72"/>
      <c r="Q836" s="71"/>
      <c r="R836" s="53"/>
      <c r="S836" s="71"/>
      <c r="T836" s="53"/>
      <c r="U836" s="13"/>
      <c r="V836" s="72"/>
      <c r="W836" s="71"/>
      <c r="X836" s="53"/>
      <c r="Y836" s="71"/>
      <c r="Z836" s="53"/>
      <c r="AA836" s="13"/>
    </row>
    <row r="837" spans="10:27" x14ac:dyDescent="0.3">
      <c r="J837" s="197"/>
      <c r="K837" s="198"/>
      <c r="L837" s="196"/>
      <c r="M837" s="198"/>
      <c r="N837" s="202"/>
      <c r="P837" s="72"/>
      <c r="Q837" s="71"/>
      <c r="R837" s="53"/>
      <c r="S837" s="71"/>
      <c r="T837" s="53"/>
      <c r="U837" s="13"/>
      <c r="V837" s="72"/>
      <c r="W837" s="71"/>
      <c r="X837" s="53"/>
      <c r="Y837" s="71"/>
      <c r="Z837" s="53"/>
      <c r="AA837" s="13"/>
    </row>
    <row r="838" spans="10:27" x14ac:dyDescent="0.3">
      <c r="J838" s="197"/>
      <c r="K838" s="198"/>
      <c r="L838" s="196"/>
      <c r="M838" s="198"/>
      <c r="N838" s="202"/>
      <c r="P838" s="72"/>
      <c r="Q838" s="71"/>
      <c r="R838" s="53"/>
      <c r="S838" s="71"/>
      <c r="T838" s="53"/>
      <c r="U838" s="13"/>
      <c r="V838" s="72"/>
      <c r="W838" s="71"/>
      <c r="X838" s="53"/>
      <c r="Y838" s="71"/>
      <c r="Z838" s="53"/>
      <c r="AA838" s="13"/>
    </row>
    <row r="839" spans="10:27" x14ac:dyDescent="0.3">
      <c r="J839" s="197"/>
      <c r="K839" s="198"/>
      <c r="L839" s="196"/>
      <c r="M839" s="198"/>
      <c r="N839" s="202"/>
      <c r="P839" s="72"/>
      <c r="Q839" s="71"/>
      <c r="R839" s="53"/>
      <c r="S839" s="71"/>
      <c r="T839" s="53"/>
      <c r="U839" s="13"/>
      <c r="V839" s="72"/>
      <c r="W839" s="71"/>
      <c r="X839" s="53"/>
      <c r="Y839" s="71"/>
      <c r="Z839" s="53"/>
      <c r="AA839" s="13"/>
    </row>
    <row r="840" spans="10:27" x14ac:dyDescent="0.3">
      <c r="J840" s="197"/>
      <c r="K840" s="198"/>
      <c r="L840" s="196"/>
      <c r="M840" s="198"/>
      <c r="N840" s="202"/>
      <c r="P840" s="72"/>
      <c r="Q840" s="71"/>
      <c r="R840" s="53"/>
      <c r="S840" s="71"/>
      <c r="T840" s="53"/>
      <c r="U840" s="13"/>
      <c r="V840" s="72"/>
      <c r="W840" s="71"/>
      <c r="X840" s="53"/>
      <c r="Y840" s="71"/>
      <c r="Z840" s="53"/>
      <c r="AA840" s="13"/>
    </row>
    <row r="841" spans="10:27" x14ac:dyDescent="0.3">
      <c r="J841" s="197"/>
      <c r="K841" s="198"/>
      <c r="L841" s="196"/>
      <c r="M841" s="198"/>
      <c r="N841" s="202"/>
      <c r="P841" s="72"/>
      <c r="Q841" s="71"/>
      <c r="R841" s="53"/>
      <c r="S841" s="71"/>
      <c r="T841" s="53"/>
      <c r="U841" s="13"/>
      <c r="V841" s="72"/>
      <c r="W841" s="71"/>
      <c r="X841" s="53"/>
      <c r="Y841" s="71"/>
      <c r="Z841" s="53"/>
      <c r="AA841" s="13"/>
    </row>
    <row r="842" spans="10:27" x14ac:dyDescent="0.3">
      <c r="J842" s="197"/>
      <c r="K842" s="198"/>
      <c r="L842" s="196"/>
      <c r="M842" s="198"/>
      <c r="N842" s="202"/>
      <c r="P842" s="72"/>
      <c r="Q842" s="71"/>
      <c r="R842" s="53"/>
      <c r="S842" s="71"/>
      <c r="T842" s="53"/>
      <c r="U842" s="13"/>
      <c r="V842" s="72"/>
      <c r="W842" s="71"/>
      <c r="X842" s="53"/>
      <c r="Y842" s="71"/>
      <c r="Z842" s="53"/>
      <c r="AA842" s="13"/>
    </row>
    <row r="843" spans="10:27" x14ac:dyDescent="0.3">
      <c r="J843" s="197"/>
      <c r="K843" s="198"/>
      <c r="L843" s="196"/>
      <c r="M843" s="198"/>
      <c r="N843" s="202"/>
      <c r="P843" s="72"/>
      <c r="Q843" s="71"/>
      <c r="R843" s="53"/>
      <c r="S843" s="71"/>
      <c r="T843" s="53"/>
      <c r="U843" s="13"/>
      <c r="V843" s="72"/>
      <c r="W843" s="71"/>
      <c r="X843" s="53"/>
      <c r="Y843" s="71"/>
      <c r="Z843" s="53"/>
      <c r="AA843" s="13"/>
    </row>
    <row r="844" spans="10:27" x14ac:dyDescent="0.3">
      <c r="J844" s="197"/>
      <c r="K844" s="198"/>
      <c r="L844" s="196"/>
      <c r="M844" s="198"/>
      <c r="N844" s="202"/>
      <c r="P844" s="72"/>
      <c r="Q844" s="71"/>
      <c r="R844" s="53"/>
      <c r="S844" s="71"/>
      <c r="T844" s="53"/>
      <c r="U844" s="13"/>
      <c r="V844" s="72"/>
      <c r="W844" s="71"/>
      <c r="X844" s="53"/>
      <c r="Y844" s="71"/>
      <c r="Z844" s="53"/>
      <c r="AA844" s="13"/>
    </row>
    <row r="845" spans="10:27" x14ac:dyDescent="0.3">
      <c r="J845" s="197"/>
      <c r="K845" s="198"/>
      <c r="L845" s="196"/>
      <c r="M845" s="198"/>
      <c r="N845" s="202"/>
      <c r="P845" s="72"/>
      <c r="Q845" s="71"/>
      <c r="R845" s="53"/>
      <c r="S845" s="71"/>
      <c r="T845" s="53"/>
      <c r="U845" s="13"/>
      <c r="V845" s="72"/>
      <c r="W845" s="71"/>
      <c r="X845" s="53"/>
      <c r="Y845" s="71"/>
      <c r="Z845" s="53"/>
      <c r="AA845" s="13"/>
    </row>
    <row r="846" spans="10:27" x14ac:dyDescent="0.3">
      <c r="J846" s="197"/>
      <c r="K846" s="198"/>
      <c r="L846" s="196"/>
      <c r="M846" s="198"/>
      <c r="N846" s="202"/>
      <c r="P846" s="72"/>
      <c r="Q846" s="71"/>
      <c r="R846" s="53"/>
      <c r="S846" s="71"/>
      <c r="T846" s="53"/>
      <c r="U846" s="13"/>
      <c r="V846" s="72"/>
      <c r="W846" s="71"/>
      <c r="X846" s="53"/>
      <c r="Y846" s="71"/>
      <c r="Z846" s="53"/>
      <c r="AA846" s="13"/>
    </row>
    <row r="847" spans="10:27" x14ac:dyDescent="0.3">
      <c r="J847" s="197"/>
      <c r="K847" s="198"/>
      <c r="L847" s="196"/>
      <c r="M847" s="198"/>
      <c r="N847" s="202"/>
      <c r="P847" s="72"/>
      <c r="Q847" s="71"/>
      <c r="R847" s="53"/>
      <c r="S847" s="71"/>
      <c r="T847" s="53"/>
      <c r="U847" s="13"/>
      <c r="V847" s="72"/>
      <c r="W847" s="71"/>
      <c r="X847" s="53"/>
      <c r="Y847" s="71"/>
      <c r="Z847" s="53"/>
      <c r="AA847" s="13"/>
    </row>
    <row r="848" spans="10:27" x14ac:dyDescent="0.3">
      <c r="J848" s="197"/>
      <c r="K848" s="198"/>
      <c r="L848" s="196"/>
      <c r="M848" s="198"/>
      <c r="N848" s="202"/>
      <c r="P848" s="72"/>
      <c r="Q848" s="71"/>
      <c r="R848" s="53"/>
      <c r="S848" s="71"/>
      <c r="T848" s="53"/>
      <c r="U848" s="13"/>
      <c r="V848" s="72"/>
      <c r="W848" s="71"/>
      <c r="X848" s="53"/>
      <c r="Y848" s="71"/>
      <c r="Z848" s="53"/>
      <c r="AA848" s="13"/>
    </row>
    <row r="849" spans="10:27" x14ac:dyDescent="0.3">
      <c r="J849" s="197"/>
      <c r="K849" s="198"/>
      <c r="L849" s="196"/>
      <c r="M849" s="198"/>
      <c r="N849" s="202"/>
      <c r="P849" s="72"/>
      <c r="Q849" s="71"/>
      <c r="R849" s="53"/>
      <c r="S849" s="71"/>
      <c r="T849" s="53"/>
      <c r="U849" s="13"/>
      <c r="V849" s="72"/>
      <c r="W849" s="71"/>
      <c r="X849" s="53"/>
      <c r="Y849" s="71"/>
      <c r="Z849" s="53"/>
      <c r="AA849" s="13"/>
    </row>
    <row r="850" spans="10:27" x14ac:dyDescent="0.3">
      <c r="J850" s="197"/>
      <c r="K850" s="198"/>
      <c r="L850" s="196"/>
      <c r="M850" s="198"/>
      <c r="N850" s="202"/>
      <c r="P850" s="72"/>
      <c r="Q850" s="71"/>
      <c r="R850" s="53"/>
      <c r="S850" s="71"/>
      <c r="T850" s="53"/>
      <c r="U850" s="13"/>
      <c r="V850" s="72"/>
      <c r="W850" s="71"/>
      <c r="X850" s="53"/>
      <c r="Y850" s="71"/>
      <c r="Z850" s="53"/>
      <c r="AA850" s="13"/>
    </row>
    <row r="851" spans="10:27" x14ac:dyDescent="0.3">
      <c r="J851" s="197"/>
      <c r="K851" s="198"/>
      <c r="L851" s="196"/>
      <c r="M851" s="198"/>
      <c r="N851" s="202"/>
      <c r="P851" s="72"/>
      <c r="Q851" s="71"/>
      <c r="R851" s="53"/>
      <c r="S851" s="71"/>
      <c r="T851" s="53"/>
      <c r="U851" s="13"/>
      <c r="V851" s="72"/>
      <c r="W851" s="71"/>
      <c r="X851" s="53"/>
      <c r="Y851" s="71"/>
      <c r="Z851" s="53"/>
      <c r="AA851" s="13"/>
    </row>
    <row r="852" spans="10:27" x14ac:dyDescent="0.3">
      <c r="J852" s="197"/>
      <c r="K852" s="198"/>
      <c r="L852" s="196"/>
      <c r="M852" s="198"/>
      <c r="N852" s="202"/>
      <c r="P852" s="72"/>
      <c r="Q852" s="71"/>
      <c r="R852" s="53"/>
      <c r="S852" s="71"/>
      <c r="T852" s="53"/>
      <c r="U852" s="13"/>
      <c r="V852" s="72"/>
      <c r="W852" s="71"/>
      <c r="X852" s="53"/>
      <c r="Y852" s="71"/>
      <c r="Z852" s="53"/>
      <c r="AA852" s="13"/>
    </row>
    <row r="853" spans="10:27" x14ac:dyDescent="0.3">
      <c r="J853" s="197"/>
      <c r="K853" s="198"/>
      <c r="L853" s="196"/>
      <c r="M853" s="198"/>
      <c r="N853" s="202"/>
      <c r="P853" s="72"/>
      <c r="Q853" s="71"/>
      <c r="R853" s="53"/>
      <c r="S853" s="71"/>
      <c r="T853" s="53"/>
      <c r="U853" s="13"/>
      <c r="V853" s="72"/>
      <c r="W853" s="71"/>
      <c r="X853" s="53"/>
      <c r="Y853" s="71"/>
      <c r="Z853" s="53"/>
      <c r="AA853" s="13"/>
    </row>
    <row r="854" spans="10:27" x14ac:dyDescent="0.3">
      <c r="J854" s="197"/>
      <c r="K854" s="198"/>
      <c r="L854" s="196"/>
      <c r="M854" s="198"/>
      <c r="N854" s="202"/>
      <c r="P854" s="72"/>
      <c r="Q854" s="71"/>
      <c r="R854" s="53"/>
      <c r="S854" s="71"/>
      <c r="T854" s="53"/>
      <c r="U854" s="13"/>
      <c r="V854" s="72"/>
      <c r="W854" s="71"/>
      <c r="X854" s="53"/>
      <c r="Y854" s="71"/>
      <c r="Z854" s="53"/>
      <c r="AA854" s="13"/>
    </row>
    <row r="855" spans="10:27" x14ac:dyDescent="0.3">
      <c r="J855" s="197"/>
      <c r="K855" s="198"/>
      <c r="L855" s="196"/>
      <c r="M855" s="198"/>
      <c r="N855" s="202"/>
      <c r="P855" s="72"/>
      <c r="Q855" s="71"/>
      <c r="R855" s="53"/>
      <c r="S855" s="71"/>
      <c r="T855" s="53"/>
      <c r="U855" s="13"/>
      <c r="V855" s="72"/>
      <c r="W855" s="71"/>
      <c r="X855" s="53"/>
      <c r="Y855" s="71"/>
      <c r="Z855" s="53"/>
      <c r="AA855" s="13"/>
    </row>
    <row r="856" spans="10:27" x14ac:dyDescent="0.3">
      <c r="J856" s="197"/>
      <c r="K856" s="198"/>
      <c r="L856" s="196"/>
      <c r="M856" s="198"/>
      <c r="N856" s="202"/>
      <c r="P856" s="72"/>
      <c r="Q856" s="71"/>
      <c r="R856" s="53"/>
      <c r="S856" s="71"/>
      <c r="T856" s="53"/>
      <c r="U856" s="13"/>
      <c r="V856" s="72"/>
      <c r="W856" s="71"/>
      <c r="X856" s="53"/>
      <c r="Y856" s="71"/>
      <c r="Z856" s="53"/>
      <c r="AA856" s="13"/>
    </row>
    <row r="857" spans="10:27" x14ac:dyDescent="0.3">
      <c r="J857" s="197"/>
      <c r="K857" s="198"/>
      <c r="L857" s="196"/>
      <c r="M857" s="198"/>
      <c r="N857" s="202"/>
      <c r="P857" s="72"/>
      <c r="Q857" s="71"/>
      <c r="R857" s="53"/>
      <c r="S857" s="71"/>
      <c r="T857" s="53"/>
      <c r="U857" s="13"/>
      <c r="V857" s="72"/>
      <c r="W857" s="71"/>
      <c r="X857" s="53"/>
      <c r="Y857" s="71"/>
      <c r="Z857" s="53"/>
      <c r="AA857" s="13"/>
    </row>
    <row r="858" spans="10:27" x14ac:dyDescent="0.3">
      <c r="J858" s="197"/>
      <c r="K858" s="198"/>
      <c r="L858" s="196"/>
      <c r="M858" s="198"/>
      <c r="N858" s="202"/>
      <c r="P858" s="72"/>
      <c r="Q858" s="71"/>
      <c r="R858" s="53"/>
      <c r="S858" s="71"/>
      <c r="T858" s="53"/>
      <c r="U858" s="13"/>
      <c r="V858" s="72"/>
      <c r="W858" s="71"/>
      <c r="X858" s="53"/>
      <c r="Y858" s="71"/>
      <c r="Z858" s="53"/>
      <c r="AA858" s="13"/>
    </row>
    <row r="859" spans="10:27" x14ac:dyDescent="0.3">
      <c r="J859" s="197"/>
      <c r="K859" s="198"/>
      <c r="L859" s="196"/>
      <c r="M859" s="198"/>
      <c r="N859" s="202"/>
      <c r="P859" s="72"/>
      <c r="Q859" s="71"/>
      <c r="R859" s="53"/>
      <c r="S859" s="71"/>
      <c r="T859" s="53"/>
      <c r="U859" s="13"/>
      <c r="V859" s="72"/>
      <c r="W859" s="71"/>
      <c r="X859" s="53"/>
      <c r="Y859" s="71"/>
      <c r="Z859" s="53"/>
      <c r="AA859" s="13"/>
    </row>
    <row r="860" spans="10:27" x14ac:dyDescent="0.3">
      <c r="J860" s="197"/>
      <c r="K860" s="198"/>
      <c r="L860" s="196"/>
      <c r="M860" s="198"/>
      <c r="N860" s="202"/>
      <c r="P860" s="72"/>
      <c r="Q860" s="71"/>
      <c r="R860" s="53"/>
      <c r="S860" s="71"/>
      <c r="T860" s="53"/>
      <c r="U860" s="13"/>
      <c r="V860" s="72"/>
      <c r="W860" s="71"/>
      <c r="X860" s="53"/>
      <c r="Y860" s="71"/>
      <c r="Z860" s="53"/>
      <c r="AA860" s="13"/>
    </row>
    <row r="861" spans="10:27" x14ac:dyDescent="0.3">
      <c r="J861" s="197"/>
      <c r="K861" s="198"/>
      <c r="L861" s="196"/>
      <c r="M861" s="198"/>
      <c r="N861" s="202"/>
      <c r="P861" s="72"/>
      <c r="Q861" s="71"/>
      <c r="R861" s="53"/>
      <c r="S861" s="71"/>
      <c r="T861" s="53"/>
      <c r="U861" s="13"/>
      <c r="V861" s="72"/>
      <c r="W861" s="71"/>
      <c r="X861" s="53"/>
      <c r="Y861" s="71"/>
      <c r="Z861" s="53"/>
      <c r="AA861" s="13"/>
    </row>
    <row r="862" spans="10:27" x14ac:dyDescent="0.3">
      <c r="J862" s="197"/>
      <c r="K862" s="198"/>
      <c r="L862" s="196"/>
      <c r="M862" s="198"/>
      <c r="N862" s="202"/>
      <c r="P862" s="72"/>
      <c r="Q862" s="71"/>
      <c r="R862" s="53"/>
      <c r="S862" s="71"/>
      <c r="T862" s="53"/>
      <c r="U862" s="13"/>
      <c r="V862" s="72"/>
      <c r="W862" s="71"/>
      <c r="X862" s="53"/>
      <c r="Y862" s="71"/>
      <c r="Z862" s="53"/>
      <c r="AA862" s="13"/>
    </row>
    <row r="863" spans="10:27" x14ac:dyDescent="0.3">
      <c r="J863" s="197"/>
      <c r="K863" s="198"/>
      <c r="L863" s="196"/>
      <c r="M863" s="198"/>
      <c r="N863" s="202"/>
      <c r="P863" s="72"/>
      <c r="Q863" s="71"/>
      <c r="R863" s="53"/>
      <c r="S863" s="71"/>
      <c r="T863" s="53"/>
      <c r="U863" s="13"/>
      <c r="V863" s="72"/>
      <c r="W863" s="71"/>
      <c r="X863" s="53"/>
      <c r="Y863" s="71"/>
      <c r="Z863" s="53"/>
      <c r="AA863" s="13"/>
    </row>
    <row r="864" spans="10:27" x14ac:dyDescent="0.3">
      <c r="J864" s="197"/>
      <c r="K864" s="198"/>
      <c r="L864" s="196"/>
      <c r="M864" s="198"/>
      <c r="N864" s="202"/>
      <c r="P864" s="72"/>
      <c r="Q864" s="71"/>
      <c r="R864" s="53"/>
      <c r="S864" s="71"/>
      <c r="T864" s="53"/>
      <c r="U864" s="13"/>
      <c r="V864" s="72"/>
      <c r="W864" s="71"/>
      <c r="X864" s="53"/>
      <c r="Y864" s="71"/>
      <c r="Z864" s="53"/>
      <c r="AA864" s="13"/>
    </row>
    <row r="865" spans="10:27" x14ac:dyDescent="0.3">
      <c r="J865" s="197"/>
      <c r="K865" s="198"/>
      <c r="L865" s="196"/>
      <c r="M865" s="198"/>
      <c r="N865" s="202"/>
      <c r="P865" s="72"/>
      <c r="Q865" s="71"/>
      <c r="R865" s="53"/>
      <c r="S865" s="71"/>
      <c r="T865" s="53"/>
      <c r="U865" s="13"/>
      <c r="V865" s="72"/>
      <c r="W865" s="71"/>
      <c r="X865" s="53"/>
      <c r="Y865" s="71"/>
      <c r="Z865" s="53"/>
      <c r="AA865" s="13"/>
    </row>
    <row r="866" spans="10:27" x14ac:dyDescent="0.3">
      <c r="J866" s="197"/>
      <c r="K866" s="198"/>
      <c r="L866" s="196"/>
      <c r="M866" s="198"/>
      <c r="N866" s="202"/>
      <c r="P866" s="72"/>
      <c r="Q866" s="71"/>
      <c r="R866" s="53"/>
      <c r="S866" s="71"/>
      <c r="T866" s="53"/>
      <c r="U866" s="13"/>
      <c r="V866" s="72"/>
      <c r="W866" s="71"/>
      <c r="X866" s="53"/>
      <c r="Y866" s="71"/>
      <c r="Z866" s="53"/>
      <c r="AA866" s="13"/>
    </row>
    <row r="867" spans="10:27" x14ac:dyDescent="0.3">
      <c r="J867" s="197"/>
      <c r="K867" s="198"/>
      <c r="L867" s="196"/>
      <c r="M867" s="198"/>
      <c r="N867" s="202"/>
      <c r="P867" s="72"/>
      <c r="Q867" s="71"/>
      <c r="R867" s="53"/>
      <c r="S867" s="71"/>
      <c r="T867" s="53"/>
      <c r="U867" s="13"/>
      <c r="V867" s="72"/>
      <c r="W867" s="71"/>
      <c r="X867" s="53"/>
      <c r="Y867" s="71"/>
      <c r="Z867" s="53"/>
      <c r="AA867" s="13"/>
    </row>
    <row r="868" spans="10:27" x14ac:dyDescent="0.3">
      <c r="J868" s="197"/>
      <c r="K868" s="198"/>
      <c r="L868" s="196"/>
      <c r="M868" s="198"/>
      <c r="N868" s="202"/>
      <c r="P868" s="72"/>
      <c r="Q868" s="71"/>
      <c r="R868" s="53"/>
      <c r="S868" s="71"/>
      <c r="T868" s="53"/>
      <c r="U868" s="13"/>
      <c r="V868" s="72"/>
      <c r="W868" s="71"/>
      <c r="X868" s="53"/>
      <c r="Y868" s="71"/>
      <c r="Z868" s="53"/>
      <c r="AA868" s="13"/>
    </row>
    <row r="869" spans="10:27" x14ac:dyDescent="0.3">
      <c r="J869" s="197"/>
      <c r="K869" s="198"/>
      <c r="L869" s="196"/>
      <c r="M869" s="198"/>
      <c r="N869" s="202"/>
      <c r="P869" s="72"/>
      <c r="Q869" s="71"/>
      <c r="R869" s="53"/>
      <c r="S869" s="71"/>
      <c r="T869" s="53"/>
      <c r="U869" s="13"/>
      <c r="V869" s="72"/>
      <c r="W869" s="71"/>
      <c r="X869" s="53"/>
      <c r="Y869" s="71"/>
      <c r="Z869" s="53"/>
      <c r="AA869" s="13"/>
    </row>
    <row r="870" spans="10:27" x14ac:dyDescent="0.3">
      <c r="J870" s="197"/>
      <c r="K870" s="198"/>
      <c r="L870" s="196"/>
      <c r="M870" s="198"/>
      <c r="N870" s="202"/>
      <c r="P870" s="72"/>
      <c r="Q870" s="71"/>
      <c r="R870" s="53"/>
      <c r="S870" s="71"/>
      <c r="T870" s="53"/>
      <c r="U870" s="13"/>
      <c r="V870" s="72"/>
      <c r="W870" s="71"/>
      <c r="X870" s="53"/>
      <c r="Y870" s="71"/>
      <c r="Z870" s="53"/>
      <c r="AA870" s="13"/>
    </row>
    <row r="871" spans="10:27" x14ac:dyDescent="0.3">
      <c r="J871" s="197"/>
      <c r="K871" s="198"/>
      <c r="L871" s="196"/>
      <c r="M871" s="198"/>
      <c r="N871" s="202"/>
      <c r="P871" s="72"/>
      <c r="Q871" s="71"/>
      <c r="R871" s="53"/>
      <c r="S871" s="71"/>
      <c r="T871" s="53"/>
      <c r="U871" s="13"/>
      <c r="V871" s="72"/>
      <c r="W871" s="71"/>
      <c r="X871" s="53"/>
      <c r="Y871" s="71"/>
      <c r="Z871" s="53"/>
      <c r="AA871" s="13"/>
    </row>
    <row r="872" spans="10:27" x14ac:dyDescent="0.3">
      <c r="J872" s="197"/>
      <c r="K872" s="198"/>
      <c r="L872" s="196"/>
      <c r="M872" s="198"/>
      <c r="N872" s="202"/>
      <c r="P872" s="72"/>
      <c r="Q872" s="71"/>
      <c r="R872" s="53"/>
      <c r="S872" s="71"/>
      <c r="T872" s="53"/>
      <c r="U872" s="13"/>
      <c r="V872" s="72"/>
      <c r="W872" s="71"/>
      <c r="X872" s="53"/>
      <c r="Y872" s="71"/>
      <c r="Z872" s="53"/>
      <c r="AA872" s="13"/>
    </row>
    <row r="873" spans="10:27" x14ac:dyDescent="0.3">
      <c r="J873" s="197"/>
      <c r="K873" s="198"/>
      <c r="L873" s="196"/>
      <c r="M873" s="198"/>
      <c r="N873" s="202"/>
      <c r="P873" s="72"/>
      <c r="Q873" s="71"/>
      <c r="R873" s="53"/>
      <c r="S873" s="71"/>
      <c r="T873" s="53"/>
      <c r="U873" s="13"/>
      <c r="V873" s="72"/>
      <c r="W873" s="71"/>
      <c r="X873" s="53"/>
      <c r="Y873" s="71"/>
      <c r="Z873" s="53"/>
      <c r="AA873" s="13"/>
    </row>
    <row r="874" spans="10:27" x14ac:dyDescent="0.3">
      <c r="J874" s="197"/>
      <c r="K874" s="198"/>
      <c r="L874" s="196"/>
      <c r="M874" s="198"/>
      <c r="N874" s="202"/>
      <c r="P874" s="72"/>
      <c r="Q874" s="71"/>
      <c r="R874" s="53"/>
      <c r="S874" s="71"/>
      <c r="T874" s="53"/>
      <c r="U874" s="13"/>
      <c r="V874" s="72"/>
      <c r="W874" s="71"/>
      <c r="X874" s="53"/>
      <c r="Y874" s="71"/>
      <c r="Z874" s="53"/>
      <c r="AA874" s="13"/>
    </row>
    <row r="875" spans="10:27" x14ac:dyDescent="0.3">
      <c r="J875" s="197"/>
      <c r="K875" s="198"/>
      <c r="L875" s="196"/>
      <c r="M875" s="198"/>
      <c r="N875" s="202"/>
      <c r="P875" s="72"/>
      <c r="Q875" s="71"/>
      <c r="R875" s="53"/>
      <c r="S875" s="71"/>
      <c r="T875" s="53"/>
      <c r="U875" s="13"/>
      <c r="V875" s="72"/>
      <c r="W875" s="71"/>
      <c r="X875" s="53"/>
      <c r="Y875" s="71"/>
      <c r="Z875" s="53"/>
      <c r="AA875" s="13"/>
    </row>
    <row r="876" spans="10:27" x14ac:dyDescent="0.3">
      <c r="J876" s="197"/>
      <c r="K876" s="198"/>
      <c r="L876" s="196"/>
      <c r="M876" s="198"/>
      <c r="N876" s="202"/>
      <c r="P876" s="72"/>
      <c r="Q876" s="71"/>
      <c r="R876" s="53"/>
      <c r="S876" s="71"/>
      <c r="T876" s="53"/>
      <c r="U876" s="13"/>
      <c r="V876" s="72"/>
      <c r="W876" s="71"/>
      <c r="X876" s="53"/>
      <c r="Y876" s="71"/>
      <c r="Z876" s="53"/>
      <c r="AA876" s="13"/>
    </row>
    <row r="877" spans="10:27" x14ac:dyDescent="0.3">
      <c r="J877" s="197"/>
      <c r="K877" s="198"/>
      <c r="L877" s="196"/>
      <c r="M877" s="198"/>
      <c r="N877" s="202"/>
      <c r="P877" s="72"/>
      <c r="Q877" s="71"/>
      <c r="R877" s="53"/>
      <c r="S877" s="71"/>
      <c r="T877" s="53"/>
      <c r="U877" s="13"/>
      <c r="V877" s="72"/>
      <c r="W877" s="71"/>
      <c r="X877" s="53"/>
      <c r="Y877" s="71"/>
      <c r="Z877" s="53"/>
      <c r="AA877" s="13"/>
    </row>
    <row r="878" spans="10:27" x14ac:dyDescent="0.3">
      <c r="J878" s="197"/>
      <c r="K878" s="198"/>
      <c r="L878" s="196"/>
      <c r="M878" s="198"/>
      <c r="N878" s="202"/>
      <c r="P878" s="72"/>
      <c r="Q878" s="71"/>
      <c r="R878" s="53"/>
      <c r="S878" s="71"/>
      <c r="T878" s="53"/>
      <c r="U878" s="13"/>
      <c r="V878" s="72"/>
      <c r="W878" s="71"/>
      <c r="X878" s="53"/>
      <c r="Y878" s="71"/>
      <c r="Z878" s="53"/>
      <c r="AA878" s="13"/>
    </row>
    <row r="879" spans="10:27" x14ac:dyDescent="0.3">
      <c r="J879" s="197"/>
      <c r="K879" s="198"/>
      <c r="L879" s="196"/>
      <c r="M879" s="198"/>
      <c r="N879" s="202"/>
      <c r="P879" s="72"/>
      <c r="Q879" s="71"/>
      <c r="R879" s="53"/>
      <c r="S879" s="71"/>
      <c r="T879" s="53"/>
      <c r="U879" s="13"/>
      <c r="V879" s="72"/>
      <c r="W879" s="71"/>
      <c r="X879" s="53"/>
      <c r="Y879" s="71"/>
      <c r="Z879" s="53"/>
      <c r="AA879" s="13"/>
    </row>
    <row r="880" spans="10:27" x14ac:dyDescent="0.3">
      <c r="J880" s="197"/>
      <c r="K880" s="198"/>
      <c r="L880" s="196"/>
      <c r="M880" s="198"/>
      <c r="N880" s="202"/>
      <c r="P880" s="72"/>
      <c r="Q880" s="71"/>
      <c r="R880" s="53"/>
      <c r="S880" s="71"/>
      <c r="T880" s="53"/>
      <c r="U880" s="13"/>
      <c r="V880" s="72"/>
      <c r="W880" s="71"/>
      <c r="X880" s="53"/>
      <c r="Y880" s="71"/>
      <c r="Z880" s="53"/>
      <c r="AA880" s="13"/>
    </row>
    <row r="881" spans="10:27" x14ac:dyDescent="0.3">
      <c r="J881" s="197"/>
      <c r="K881" s="198"/>
      <c r="L881" s="196"/>
      <c r="M881" s="198"/>
      <c r="N881" s="202"/>
      <c r="P881" s="72"/>
      <c r="Q881" s="71"/>
      <c r="R881" s="53"/>
      <c r="S881" s="71"/>
      <c r="T881" s="53"/>
      <c r="U881" s="13"/>
      <c r="V881" s="72"/>
      <c r="W881" s="71"/>
      <c r="X881" s="53"/>
      <c r="Y881" s="71"/>
      <c r="Z881" s="53"/>
      <c r="AA881" s="13"/>
    </row>
    <row r="882" spans="10:27" x14ac:dyDescent="0.3">
      <c r="J882" s="197"/>
      <c r="K882" s="198"/>
      <c r="L882" s="196"/>
      <c r="M882" s="198"/>
      <c r="N882" s="202"/>
      <c r="P882" s="72"/>
      <c r="Q882" s="71"/>
      <c r="R882" s="53"/>
      <c r="S882" s="71"/>
      <c r="T882" s="53"/>
      <c r="U882" s="13"/>
      <c r="V882" s="72"/>
      <c r="W882" s="71"/>
      <c r="X882" s="53"/>
      <c r="Y882" s="71"/>
      <c r="Z882" s="53"/>
      <c r="AA882" s="13"/>
    </row>
    <row r="883" spans="10:27" x14ac:dyDescent="0.3">
      <c r="J883" s="197"/>
      <c r="K883" s="198"/>
      <c r="L883" s="196"/>
      <c r="M883" s="198"/>
      <c r="N883" s="202"/>
      <c r="P883" s="72"/>
      <c r="Q883" s="71"/>
      <c r="R883" s="53"/>
      <c r="S883" s="71"/>
      <c r="T883" s="53"/>
      <c r="U883" s="13"/>
      <c r="V883" s="72"/>
      <c r="W883" s="71"/>
      <c r="X883" s="53"/>
      <c r="Y883" s="71"/>
      <c r="Z883" s="53"/>
      <c r="AA883" s="13"/>
    </row>
    <row r="884" spans="10:27" x14ac:dyDescent="0.3">
      <c r="J884" s="197"/>
      <c r="K884" s="198"/>
      <c r="L884" s="196"/>
      <c r="M884" s="198"/>
      <c r="N884" s="202"/>
      <c r="P884" s="72"/>
      <c r="Q884" s="71"/>
      <c r="R884" s="53"/>
      <c r="S884" s="71"/>
      <c r="T884" s="53"/>
      <c r="U884" s="13"/>
      <c r="V884" s="72"/>
      <c r="W884" s="71"/>
      <c r="X884" s="53"/>
      <c r="Y884" s="71"/>
      <c r="Z884" s="53"/>
      <c r="AA884" s="13"/>
    </row>
    <row r="885" spans="10:27" x14ac:dyDescent="0.3">
      <c r="J885" s="197"/>
      <c r="K885" s="198"/>
      <c r="L885" s="196"/>
      <c r="M885" s="198"/>
      <c r="N885" s="202"/>
      <c r="P885" s="72"/>
      <c r="Q885" s="71"/>
      <c r="R885" s="53"/>
      <c r="S885" s="71"/>
      <c r="T885" s="53"/>
      <c r="U885" s="13"/>
      <c r="V885" s="72"/>
      <c r="W885" s="71"/>
      <c r="X885" s="53"/>
      <c r="Y885" s="71"/>
      <c r="Z885" s="53"/>
      <c r="AA885" s="13"/>
    </row>
    <row r="886" spans="10:27" x14ac:dyDescent="0.3">
      <c r="J886" s="197"/>
      <c r="K886" s="198"/>
      <c r="L886" s="196"/>
      <c r="M886" s="198"/>
      <c r="N886" s="202"/>
      <c r="P886" s="72"/>
      <c r="Q886" s="71"/>
      <c r="R886" s="53"/>
      <c r="S886" s="71"/>
      <c r="T886" s="53"/>
      <c r="U886" s="13"/>
      <c r="V886" s="72"/>
      <c r="W886" s="71"/>
      <c r="X886" s="53"/>
      <c r="Y886" s="71"/>
      <c r="Z886" s="53"/>
      <c r="AA886" s="13"/>
    </row>
    <row r="887" spans="10:27" x14ac:dyDescent="0.3">
      <c r="J887" s="197"/>
      <c r="K887" s="198"/>
      <c r="L887" s="196"/>
      <c r="M887" s="198"/>
      <c r="N887" s="202"/>
      <c r="P887" s="72"/>
      <c r="Q887" s="71"/>
      <c r="R887" s="53"/>
      <c r="S887" s="71"/>
      <c r="T887" s="53"/>
      <c r="U887" s="13"/>
      <c r="V887" s="72"/>
      <c r="W887" s="71"/>
      <c r="X887" s="53"/>
      <c r="Y887" s="71"/>
      <c r="Z887" s="53"/>
      <c r="AA887" s="13"/>
    </row>
    <row r="888" spans="10:27" x14ac:dyDescent="0.3">
      <c r="J888" s="197"/>
      <c r="K888" s="198"/>
      <c r="L888" s="196"/>
      <c r="M888" s="198"/>
      <c r="N888" s="202"/>
      <c r="P888" s="72"/>
      <c r="Q888" s="71"/>
      <c r="R888" s="53"/>
      <c r="S888" s="71"/>
      <c r="T888" s="53"/>
      <c r="U888" s="13"/>
      <c r="V888" s="72"/>
      <c r="W888" s="71"/>
      <c r="X888" s="53"/>
      <c r="Y888" s="71"/>
      <c r="Z888" s="53"/>
      <c r="AA888" s="13"/>
    </row>
    <row r="889" spans="10:27" x14ac:dyDescent="0.3">
      <c r="J889" s="197"/>
      <c r="K889" s="198"/>
      <c r="L889" s="196"/>
      <c r="M889" s="198"/>
      <c r="N889" s="202"/>
      <c r="P889" s="72"/>
      <c r="Q889" s="71"/>
      <c r="R889" s="53"/>
      <c r="S889" s="71"/>
      <c r="T889" s="53"/>
      <c r="U889" s="13"/>
      <c r="V889" s="72"/>
      <c r="W889" s="71"/>
      <c r="X889" s="53"/>
      <c r="Y889" s="71"/>
      <c r="Z889" s="53"/>
      <c r="AA889" s="13"/>
    </row>
    <row r="890" spans="10:27" x14ac:dyDescent="0.3">
      <c r="J890" s="197"/>
      <c r="K890" s="198"/>
      <c r="L890" s="196"/>
      <c r="M890" s="198"/>
      <c r="N890" s="202"/>
      <c r="P890" s="72"/>
      <c r="Q890" s="71"/>
      <c r="R890" s="53"/>
      <c r="S890" s="71"/>
      <c r="T890" s="53"/>
      <c r="U890" s="13"/>
      <c r="V890" s="72"/>
      <c r="W890" s="71"/>
      <c r="X890" s="53"/>
      <c r="Y890" s="71"/>
      <c r="Z890" s="53"/>
      <c r="AA890" s="13"/>
    </row>
    <row r="891" spans="10:27" x14ac:dyDescent="0.3">
      <c r="J891" s="197"/>
      <c r="K891" s="198"/>
      <c r="L891" s="196"/>
      <c r="M891" s="198"/>
      <c r="N891" s="202"/>
      <c r="P891" s="72"/>
      <c r="Q891" s="71"/>
      <c r="R891" s="53"/>
      <c r="S891" s="71"/>
      <c r="T891" s="53"/>
      <c r="U891" s="13"/>
      <c r="V891" s="72"/>
      <c r="W891" s="71"/>
      <c r="X891" s="53"/>
      <c r="Y891" s="71"/>
      <c r="Z891" s="53"/>
      <c r="AA891" s="13"/>
    </row>
    <row r="892" spans="10:27" x14ac:dyDescent="0.3">
      <c r="J892" s="197"/>
      <c r="K892" s="198"/>
      <c r="L892" s="196"/>
      <c r="M892" s="198"/>
      <c r="N892" s="202"/>
      <c r="P892" s="72"/>
      <c r="Q892" s="71"/>
      <c r="R892" s="53"/>
      <c r="S892" s="71"/>
      <c r="T892" s="53"/>
      <c r="U892" s="13"/>
      <c r="V892" s="72"/>
      <c r="W892" s="71"/>
      <c r="X892" s="53"/>
      <c r="Y892" s="71"/>
      <c r="Z892" s="53"/>
      <c r="AA892" s="13"/>
    </row>
    <row r="893" spans="10:27" x14ac:dyDescent="0.3">
      <c r="J893" s="197"/>
      <c r="K893" s="198"/>
      <c r="L893" s="196"/>
      <c r="M893" s="198"/>
      <c r="N893" s="202"/>
      <c r="P893" s="72"/>
      <c r="Q893" s="71"/>
      <c r="R893" s="53"/>
      <c r="S893" s="71"/>
      <c r="T893" s="53"/>
      <c r="U893" s="13"/>
      <c r="V893" s="72"/>
      <c r="W893" s="71"/>
      <c r="X893" s="53"/>
      <c r="Y893" s="71"/>
      <c r="Z893" s="53"/>
      <c r="AA893" s="13"/>
    </row>
    <row r="894" spans="10:27" x14ac:dyDescent="0.3">
      <c r="J894" s="197"/>
      <c r="K894" s="198"/>
      <c r="L894" s="196"/>
      <c r="M894" s="198"/>
      <c r="N894" s="202"/>
      <c r="P894" s="72"/>
      <c r="Q894" s="71"/>
      <c r="R894" s="53"/>
      <c r="S894" s="71"/>
      <c r="T894" s="53"/>
      <c r="U894" s="13"/>
      <c r="V894" s="72"/>
      <c r="W894" s="71"/>
      <c r="X894" s="53"/>
      <c r="Y894" s="71"/>
      <c r="Z894" s="53"/>
      <c r="AA894" s="13"/>
    </row>
    <row r="895" spans="10:27" x14ac:dyDescent="0.3">
      <c r="J895" s="197"/>
      <c r="K895" s="198"/>
      <c r="L895" s="196"/>
      <c r="M895" s="198"/>
      <c r="N895" s="202"/>
      <c r="P895" s="72"/>
      <c r="Q895" s="71"/>
      <c r="R895" s="53"/>
      <c r="S895" s="71"/>
      <c r="T895" s="53"/>
      <c r="U895" s="13"/>
      <c r="V895" s="72"/>
      <c r="W895" s="71"/>
      <c r="X895" s="53"/>
      <c r="Y895" s="71"/>
      <c r="Z895" s="53"/>
      <c r="AA895" s="13"/>
    </row>
    <row r="896" spans="10:27" x14ac:dyDescent="0.3">
      <c r="J896" s="197"/>
      <c r="K896" s="198"/>
      <c r="L896" s="196"/>
      <c r="M896" s="198"/>
      <c r="N896" s="202"/>
      <c r="P896" s="72"/>
      <c r="Q896" s="71"/>
      <c r="R896" s="53"/>
      <c r="S896" s="71"/>
      <c r="T896" s="53"/>
      <c r="U896" s="13"/>
      <c r="V896" s="72"/>
      <c r="W896" s="71"/>
      <c r="X896" s="53"/>
      <c r="Y896" s="71"/>
      <c r="Z896" s="53"/>
      <c r="AA896" s="13"/>
    </row>
    <row r="897" spans="10:27" x14ac:dyDescent="0.3">
      <c r="J897" s="197"/>
      <c r="K897" s="198"/>
      <c r="L897" s="196"/>
      <c r="M897" s="198"/>
      <c r="N897" s="202"/>
      <c r="P897" s="72"/>
      <c r="Q897" s="71"/>
      <c r="R897" s="53"/>
      <c r="S897" s="71"/>
      <c r="T897" s="53"/>
      <c r="U897" s="13"/>
      <c r="V897" s="72"/>
      <c r="W897" s="71"/>
      <c r="X897" s="53"/>
      <c r="Y897" s="71"/>
      <c r="Z897" s="53"/>
      <c r="AA897" s="13"/>
    </row>
    <row r="898" spans="10:27" x14ac:dyDescent="0.3">
      <c r="J898" s="197"/>
      <c r="K898" s="198"/>
      <c r="L898" s="196"/>
      <c r="M898" s="198"/>
      <c r="N898" s="202"/>
      <c r="P898" s="72"/>
      <c r="Q898" s="71"/>
      <c r="R898" s="53"/>
      <c r="S898" s="71"/>
      <c r="T898" s="53"/>
      <c r="U898" s="13"/>
      <c r="V898" s="72"/>
      <c r="W898" s="71"/>
      <c r="X898" s="53"/>
      <c r="Y898" s="71"/>
      <c r="Z898" s="53"/>
      <c r="AA898" s="13"/>
    </row>
    <row r="899" spans="10:27" x14ac:dyDescent="0.3">
      <c r="J899" s="197"/>
      <c r="K899" s="198"/>
      <c r="L899" s="196"/>
      <c r="M899" s="198"/>
      <c r="N899" s="202"/>
      <c r="P899" s="72"/>
      <c r="Q899" s="71"/>
      <c r="R899" s="53"/>
      <c r="S899" s="71"/>
      <c r="T899" s="53"/>
      <c r="U899" s="13"/>
      <c r="V899" s="72"/>
      <c r="W899" s="71"/>
      <c r="X899" s="53"/>
      <c r="Y899" s="71"/>
      <c r="Z899" s="53"/>
      <c r="AA899" s="13"/>
    </row>
    <row r="900" spans="10:27" x14ac:dyDescent="0.3">
      <c r="J900" s="197"/>
      <c r="K900" s="198"/>
      <c r="L900" s="196"/>
      <c r="M900" s="198"/>
      <c r="N900" s="202"/>
      <c r="P900" s="72"/>
      <c r="Q900" s="71"/>
      <c r="R900" s="53"/>
      <c r="S900" s="71"/>
      <c r="T900" s="53"/>
      <c r="U900" s="13"/>
      <c r="V900" s="72"/>
      <c r="W900" s="71"/>
      <c r="X900" s="53"/>
      <c r="Y900" s="71"/>
      <c r="Z900" s="53"/>
      <c r="AA900" s="13"/>
    </row>
    <row r="901" spans="10:27" x14ac:dyDescent="0.3">
      <c r="J901" s="197"/>
      <c r="K901" s="198"/>
      <c r="L901" s="196"/>
      <c r="M901" s="198"/>
      <c r="N901" s="202"/>
      <c r="P901" s="72"/>
      <c r="Q901" s="71"/>
      <c r="R901" s="53"/>
      <c r="S901" s="71"/>
      <c r="T901" s="53"/>
      <c r="U901" s="13"/>
      <c r="V901" s="72"/>
      <c r="W901" s="71"/>
      <c r="X901" s="53"/>
      <c r="Y901" s="71"/>
      <c r="Z901" s="53"/>
      <c r="AA901" s="13"/>
    </row>
    <row r="902" spans="10:27" x14ac:dyDescent="0.3">
      <c r="J902" s="197"/>
      <c r="K902" s="198"/>
      <c r="L902" s="196"/>
      <c r="M902" s="198"/>
      <c r="N902" s="202"/>
      <c r="P902" s="72"/>
      <c r="Q902" s="71"/>
      <c r="R902" s="53"/>
      <c r="S902" s="71"/>
      <c r="T902" s="53"/>
      <c r="U902" s="13"/>
      <c r="V902" s="72"/>
      <c r="W902" s="71"/>
      <c r="X902" s="53"/>
      <c r="Y902" s="71"/>
      <c r="Z902" s="53"/>
      <c r="AA902" s="13"/>
    </row>
    <row r="903" spans="10:27" x14ac:dyDescent="0.3">
      <c r="J903" s="197"/>
      <c r="K903" s="198"/>
      <c r="L903" s="196"/>
      <c r="M903" s="198"/>
      <c r="N903" s="202"/>
      <c r="P903" s="72"/>
      <c r="Q903" s="71"/>
      <c r="R903" s="53"/>
      <c r="S903" s="71"/>
      <c r="T903" s="53"/>
      <c r="U903" s="13"/>
      <c r="V903" s="72"/>
      <c r="W903" s="71"/>
      <c r="X903" s="53"/>
      <c r="Y903" s="71"/>
      <c r="Z903" s="53"/>
      <c r="AA903" s="13"/>
    </row>
    <row r="904" spans="10:27" x14ac:dyDescent="0.3">
      <c r="J904" s="197"/>
      <c r="K904" s="198"/>
      <c r="L904" s="196"/>
      <c r="M904" s="198"/>
      <c r="N904" s="202"/>
      <c r="P904" s="72"/>
      <c r="Q904" s="71"/>
      <c r="R904" s="53"/>
      <c r="S904" s="71"/>
      <c r="T904" s="53"/>
      <c r="U904" s="13"/>
      <c r="V904" s="72"/>
      <c r="W904" s="71"/>
      <c r="X904" s="53"/>
      <c r="Y904" s="71"/>
      <c r="Z904" s="53"/>
      <c r="AA904" s="13"/>
    </row>
    <row r="905" spans="10:27" x14ac:dyDescent="0.3">
      <c r="J905" s="197"/>
      <c r="K905" s="198"/>
      <c r="L905" s="196"/>
      <c r="M905" s="198"/>
      <c r="N905" s="202"/>
      <c r="P905" s="72"/>
      <c r="Q905" s="71"/>
      <c r="R905" s="53"/>
      <c r="S905" s="71"/>
      <c r="T905" s="53"/>
      <c r="U905" s="13"/>
      <c r="V905" s="72"/>
      <c r="W905" s="71"/>
      <c r="X905" s="53"/>
      <c r="Y905" s="71"/>
      <c r="Z905" s="53"/>
      <c r="AA905" s="13"/>
    </row>
    <row r="906" spans="10:27" x14ac:dyDescent="0.3">
      <c r="J906" s="197"/>
      <c r="K906" s="198"/>
      <c r="L906" s="196"/>
      <c r="M906" s="198"/>
      <c r="N906" s="202"/>
      <c r="P906" s="72"/>
      <c r="Q906" s="71"/>
      <c r="R906" s="53"/>
      <c r="S906" s="71"/>
      <c r="T906" s="53"/>
      <c r="U906" s="13"/>
      <c r="V906" s="72"/>
      <c r="W906" s="71"/>
      <c r="X906" s="53"/>
      <c r="Y906" s="71"/>
      <c r="Z906" s="53"/>
      <c r="AA906" s="13"/>
    </row>
    <row r="907" spans="10:27" x14ac:dyDescent="0.3">
      <c r="J907" s="197"/>
      <c r="K907" s="198"/>
      <c r="L907" s="196"/>
      <c r="M907" s="198"/>
      <c r="N907" s="202"/>
      <c r="P907" s="72"/>
      <c r="Q907" s="71"/>
      <c r="R907" s="53"/>
      <c r="S907" s="71"/>
      <c r="T907" s="53"/>
      <c r="U907" s="13"/>
      <c r="V907" s="72"/>
      <c r="W907" s="71"/>
      <c r="X907" s="53"/>
      <c r="Y907" s="71"/>
      <c r="Z907" s="53"/>
      <c r="AA907" s="13"/>
    </row>
    <row r="908" spans="10:27" x14ac:dyDescent="0.3">
      <c r="J908" s="197"/>
      <c r="K908" s="198"/>
      <c r="L908" s="196"/>
      <c r="M908" s="198"/>
      <c r="N908" s="202"/>
      <c r="P908" s="72"/>
      <c r="Q908" s="71"/>
      <c r="R908" s="53"/>
      <c r="S908" s="71"/>
      <c r="T908" s="53"/>
      <c r="U908" s="13"/>
      <c r="V908" s="72"/>
      <c r="W908" s="71"/>
      <c r="X908" s="53"/>
      <c r="Y908" s="71"/>
      <c r="Z908" s="53"/>
      <c r="AA908" s="13"/>
    </row>
    <row r="909" spans="10:27" x14ac:dyDescent="0.3">
      <c r="J909" s="197"/>
      <c r="K909" s="198"/>
      <c r="L909" s="196"/>
      <c r="M909" s="198"/>
      <c r="N909" s="202"/>
      <c r="P909" s="72"/>
      <c r="Q909" s="71"/>
      <c r="R909" s="53"/>
      <c r="S909" s="71"/>
      <c r="T909" s="53"/>
      <c r="U909" s="13"/>
      <c r="V909" s="72"/>
      <c r="W909" s="71"/>
      <c r="X909" s="53"/>
      <c r="Y909" s="71"/>
      <c r="Z909" s="53"/>
      <c r="AA909" s="13"/>
    </row>
    <row r="910" spans="10:27" x14ac:dyDescent="0.3">
      <c r="J910" s="197"/>
      <c r="K910" s="198"/>
      <c r="L910" s="196"/>
      <c r="M910" s="198"/>
      <c r="N910" s="202"/>
      <c r="P910" s="72"/>
      <c r="Q910" s="71"/>
      <c r="R910" s="53"/>
      <c r="S910" s="71"/>
      <c r="T910" s="53"/>
      <c r="U910" s="13"/>
      <c r="V910" s="72"/>
      <c r="W910" s="71"/>
      <c r="X910" s="53"/>
      <c r="Y910" s="71"/>
      <c r="Z910" s="53"/>
      <c r="AA910" s="13"/>
    </row>
    <row r="911" spans="10:27" x14ac:dyDescent="0.3">
      <c r="J911" s="197"/>
      <c r="K911" s="198"/>
      <c r="L911" s="196"/>
      <c r="M911" s="198"/>
      <c r="N911" s="202"/>
      <c r="P911" s="72"/>
      <c r="Q911" s="71"/>
      <c r="R911" s="53"/>
      <c r="S911" s="71"/>
      <c r="T911" s="53"/>
      <c r="U911" s="13"/>
      <c r="V911" s="72"/>
      <c r="W911" s="71"/>
      <c r="X911" s="53"/>
      <c r="Y911" s="71"/>
      <c r="Z911" s="53"/>
      <c r="AA911" s="13"/>
    </row>
    <row r="912" spans="10:27" x14ac:dyDescent="0.3">
      <c r="J912" s="197"/>
      <c r="K912" s="198"/>
      <c r="L912" s="196"/>
      <c r="M912" s="198"/>
      <c r="N912" s="202"/>
      <c r="P912" s="72"/>
      <c r="Q912" s="71"/>
      <c r="R912" s="53"/>
      <c r="S912" s="71"/>
      <c r="T912" s="53"/>
      <c r="U912" s="13"/>
      <c r="V912" s="72"/>
      <c r="W912" s="71"/>
      <c r="X912" s="53"/>
      <c r="Y912" s="71"/>
      <c r="Z912" s="53"/>
      <c r="AA912" s="13"/>
    </row>
    <row r="913" spans="10:27" x14ac:dyDescent="0.3">
      <c r="J913" s="197"/>
      <c r="K913" s="198"/>
      <c r="L913" s="196"/>
      <c r="M913" s="198"/>
      <c r="N913" s="202"/>
      <c r="P913" s="72"/>
      <c r="Q913" s="71"/>
      <c r="R913" s="53"/>
      <c r="S913" s="71"/>
      <c r="T913" s="53"/>
      <c r="U913" s="13"/>
      <c r="V913" s="72"/>
      <c r="W913" s="71"/>
      <c r="X913" s="53"/>
      <c r="Y913" s="71"/>
      <c r="Z913" s="53"/>
      <c r="AA913" s="13"/>
    </row>
    <row r="914" spans="10:27" x14ac:dyDescent="0.3">
      <c r="J914" s="197"/>
      <c r="K914" s="198"/>
      <c r="L914" s="196"/>
      <c r="M914" s="198"/>
      <c r="N914" s="202"/>
      <c r="P914" s="72"/>
      <c r="Q914" s="71"/>
      <c r="R914" s="53"/>
      <c r="S914" s="71"/>
      <c r="T914" s="53"/>
      <c r="U914" s="13"/>
      <c r="V914" s="72"/>
      <c r="W914" s="71"/>
      <c r="X914" s="53"/>
      <c r="Y914" s="71"/>
      <c r="Z914" s="53"/>
      <c r="AA914" s="13"/>
    </row>
    <row r="915" spans="10:27" x14ac:dyDescent="0.3">
      <c r="J915" s="197"/>
      <c r="K915" s="198"/>
      <c r="L915" s="196"/>
      <c r="M915" s="198"/>
      <c r="N915" s="202"/>
      <c r="P915" s="72"/>
      <c r="Q915" s="71"/>
      <c r="R915" s="53"/>
      <c r="S915" s="71"/>
      <c r="T915" s="53"/>
      <c r="U915" s="13"/>
      <c r="V915" s="72"/>
      <c r="W915" s="71"/>
      <c r="X915" s="53"/>
      <c r="Y915" s="71"/>
      <c r="Z915" s="53"/>
      <c r="AA915" s="13"/>
    </row>
    <row r="916" spans="10:27" x14ac:dyDescent="0.3">
      <c r="J916" s="197"/>
      <c r="K916" s="198"/>
      <c r="L916" s="196"/>
      <c r="M916" s="198"/>
      <c r="N916" s="202"/>
      <c r="P916" s="72"/>
      <c r="Q916" s="71"/>
      <c r="R916" s="53"/>
      <c r="S916" s="71"/>
      <c r="T916" s="53"/>
      <c r="U916" s="13"/>
      <c r="V916" s="72"/>
      <c r="W916" s="71"/>
      <c r="X916" s="53"/>
      <c r="Y916" s="71"/>
      <c r="Z916" s="53"/>
      <c r="AA916" s="13"/>
    </row>
    <row r="917" spans="10:27" x14ac:dyDescent="0.3">
      <c r="J917" s="197"/>
      <c r="K917" s="198"/>
      <c r="L917" s="196"/>
      <c r="M917" s="198"/>
      <c r="N917" s="202"/>
      <c r="P917" s="72"/>
      <c r="Q917" s="71"/>
      <c r="R917" s="53"/>
      <c r="S917" s="71"/>
      <c r="T917" s="53"/>
      <c r="U917" s="13"/>
      <c r="V917" s="72"/>
      <c r="W917" s="71"/>
      <c r="X917" s="53"/>
      <c r="Y917" s="71"/>
      <c r="Z917" s="53"/>
      <c r="AA917" s="13"/>
    </row>
    <row r="918" spans="10:27" x14ac:dyDescent="0.3">
      <c r="J918" s="197"/>
      <c r="K918" s="198"/>
      <c r="L918" s="196"/>
      <c r="M918" s="198"/>
      <c r="N918" s="202"/>
      <c r="P918" s="72"/>
      <c r="Q918" s="71"/>
      <c r="R918" s="53"/>
      <c r="S918" s="71"/>
      <c r="T918" s="53"/>
      <c r="U918" s="13"/>
      <c r="V918" s="72"/>
      <c r="W918" s="71"/>
      <c r="X918" s="53"/>
      <c r="Y918" s="71"/>
      <c r="Z918" s="53"/>
      <c r="AA918" s="13"/>
    </row>
    <row r="919" spans="10:27" x14ac:dyDescent="0.3">
      <c r="J919" s="197"/>
      <c r="K919" s="198"/>
      <c r="L919" s="196"/>
      <c r="M919" s="198"/>
      <c r="N919" s="202"/>
      <c r="P919" s="72"/>
      <c r="Q919" s="71"/>
      <c r="R919" s="53"/>
      <c r="S919" s="71"/>
      <c r="T919" s="53"/>
      <c r="U919" s="13"/>
      <c r="V919" s="72"/>
      <c r="W919" s="71"/>
      <c r="X919" s="53"/>
      <c r="Y919" s="71"/>
      <c r="Z919" s="53"/>
      <c r="AA919" s="13"/>
    </row>
    <row r="920" spans="10:27" x14ac:dyDescent="0.3">
      <c r="J920" s="197"/>
      <c r="K920" s="198"/>
      <c r="L920" s="196"/>
      <c r="M920" s="198"/>
      <c r="N920" s="202"/>
      <c r="P920" s="72"/>
      <c r="Q920" s="71"/>
      <c r="R920" s="53"/>
      <c r="S920" s="71"/>
      <c r="T920" s="53"/>
      <c r="U920" s="13"/>
      <c r="V920" s="72"/>
      <c r="W920" s="71"/>
      <c r="X920" s="53"/>
      <c r="Y920" s="71"/>
      <c r="Z920" s="53"/>
      <c r="AA920" s="13"/>
    </row>
    <row r="921" spans="10:27" x14ac:dyDescent="0.3">
      <c r="J921" s="197"/>
      <c r="K921" s="198"/>
      <c r="L921" s="196"/>
      <c r="M921" s="198"/>
      <c r="N921" s="202"/>
      <c r="P921" s="72"/>
      <c r="Q921" s="71"/>
      <c r="R921" s="53"/>
      <c r="S921" s="71"/>
      <c r="T921" s="53"/>
      <c r="U921" s="13"/>
      <c r="V921" s="72"/>
      <c r="W921" s="71"/>
      <c r="X921" s="53"/>
      <c r="Y921" s="71"/>
      <c r="Z921" s="53"/>
      <c r="AA921" s="13"/>
    </row>
    <row r="922" spans="10:27" x14ac:dyDescent="0.3">
      <c r="J922" s="197"/>
      <c r="K922" s="198"/>
      <c r="L922" s="196"/>
      <c r="M922" s="198"/>
      <c r="N922" s="202"/>
      <c r="P922" s="72"/>
      <c r="Q922" s="71"/>
      <c r="R922" s="53"/>
      <c r="S922" s="71"/>
      <c r="T922" s="53"/>
      <c r="U922" s="13"/>
      <c r="V922" s="72"/>
      <c r="W922" s="71"/>
      <c r="X922" s="53"/>
      <c r="Y922" s="71"/>
      <c r="Z922" s="53"/>
      <c r="AA922" s="13"/>
    </row>
    <row r="923" spans="10:27" x14ac:dyDescent="0.3">
      <c r="J923" s="197"/>
      <c r="K923" s="198"/>
      <c r="L923" s="196"/>
      <c r="M923" s="198"/>
      <c r="N923" s="202"/>
      <c r="P923" s="72"/>
      <c r="Q923" s="71"/>
      <c r="R923" s="53"/>
      <c r="S923" s="71"/>
      <c r="T923" s="53"/>
      <c r="U923" s="13"/>
      <c r="V923" s="72"/>
      <c r="W923" s="71"/>
      <c r="X923" s="53"/>
      <c r="Y923" s="71"/>
      <c r="Z923" s="53"/>
      <c r="AA923" s="13"/>
    </row>
    <row r="924" spans="10:27" x14ac:dyDescent="0.3">
      <c r="J924" s="197"/>
      <c r="K924" s="198"/>
      <c r="L924" s="196"/>
      <c r="M924" s="198"/>
      <c r="N924" s="202"/>
      <c r="P924" s="72"/>
      <c r="Q924" s="71"/>
      <c r="R924" s="53"/>
      <c r="S924" s="71"/>
      <c r="T924" s="53"/>
      <c r="U924" s="13"/>
      <c r="V924" s="72"/>
      <c r="W924" s="71"/>
      <c r="X924" s="53"/>
      <c r="Y924" s="71"/>
      <c r="Z924" s="53"/>
      <c r="AA924" s="13"/>
    </row>
    <row r="925" spans="10:27" x14ac:dyDescent="0.3">
      <c r="J925" s="197"/>
      <c r="K925" s="198"/>
      <c r="L925" s="196"/>
      <c r="M925" s="198"/>
      <c r="N925" s="202"/>
      <c r="P925" s="72"/>
      <c r="Q925" s="71"/>
      <c r="R925" s="53"/>
      <c r="S925" s="71"/>
      <c r="T925" s="53"/>
      <c r="U925" s="13"/>
      <c r="V925" s="72"/>
      <c r="W925" s="71"/>
      <c r="X925" s="53"/>
      <c r="Y925" s="71"/>
      <c r="Z925" s="53"/>
      <c r="AA925" s="13"/>
    </row>
    <row r="926" spans="10:27" x14ac:dyDescent="0.3">
      <c r="J926" s="197"/>
      <c r="K926" s="198"/>
      <c r="L926" s="196"/>
      <c r="M926" s="198"/>
      <c r="N926" s="202"/>
      <c r="P926" s="72"/>
      <c r="Q926" s="71"/>
      <c r="R926" s="53"/>
      <c r="S926" s="71"/>
      <c r="T926" s="53"/>
      <c r="U926" s="13"/>
      <c r="V926" s="72"/>
      <c r="W926" s="71"/>
      <c r="X926" s="53"/>
      <c r="Y926" s="71"/>
      <c r="Z926" s="53"/>
      <c r="AA926" s="13"/>
    </row>
    <row r="927" spans="10:27" x14ac:dyDescent="0.3">
      <c r="J927" s="197"/>
      <c r="K927" s="198"/>
      <c r="L927" s="196"/>
      <c r="M927" s="198"/>
      <c r="N927" s="202"/>
      <c r="P927" s="72"/>
      <c r="Q927" s="71"/>
      <c r="R927" s="53"/>
      <c r="S927" s="71"/>
      <c r="T927" s="53"/>
      <c r="U927" s="13"/>
      <c r="V927" s="72"/>
      <c r="W927" s="71"/>
      <c r="X927" s="53"/>
      <c r="Y927" s="71"/>
      <c r="Z927" s="53"/>
      <c r="AA927" s="13"/>
    </row>
    <row r="928" spans="10:27" x14ac:dyDescent="0.3">
      <c r="J928" s="197"/>
      <c r="K928" s="198"/>
      <c r="L928" s="196"/>
      <c r="M928" s="198"/>
      <c r="N928" s="202"/>
      <c r="P928" s="72"/>
      <c r="Q928" s="71"/>
      <c r="R928" s="53"/>
      <c r="S928" s="71"/>
      <c r="T928" s="53"/>
      <c r="U928" s="13"/>
      <c r="V928" s="72"/>
      <c r="W928" s="71"/>
      <c r="X928" s="53"/>
      <c r="Y928" s="71"/>
      <c r="Z928" s="53"/>
      <c r="AA928" s="13"/>
    </row>
    <row r="929" spans="10:27" x14ac:dyDescent="0.3">
      <c r="J929" s="197"/>
      <c r="K929" s="198"/>
      <c r="L929" s="196"/>
      <c r="M929" s="198"/>
      <c r="N929" s="202"/>
      <c r="P929" s="72"/>
      <c r="Q929" s="71"/>
      <c r="R929" s="53"/>
      <c r="S929" s="71"/>
      <c r="T929" s="53"/>
      <c r="U929" s="13"/>
      <c r="V929" s="72"/>
      <c r="W929" s="71"/>
      <c r="X929" s="53"/>
      <c r="Y929" s="71"/>
      <c r="Z929" s="53"/>
      <c r="AA929" s="13"/>
    </row>
    <row r="930" spans="10:27" x14ac:dyDescent="0.3">
      <c r="J930" s="197"/>
      <c r="K930" s="198"/>
      <c r="L930" s="196"/>
      <c r="M930" s="198"/>
      <c r="N930" s="202"/>
      <c r="P930" s="72"/>
      <c r="Q930" s="71"/>
      <c r="R930" s="53"/>
      <c r="S930" s="71"/>
      <c r="T930" s="53"/>
      <c r="U930" s="13"/>
      <c r="V930" s="72"/>
      <c r="W930" s="71"/>
      <c r="X930" s="53"/>
      <c r="Y930" s="71"/>
      <c r="Z930" s="53"/>
      <c r="AA930" s="13"/>
    </row>
    <row r="931" spans="10:27" x14ac:dyDescent="0.3">
      <c r="J931" s="197"/>
      <c r="K931" s="198"/>
      <c r="L931" s="196"/>
      <c r="M931" s="198"/>
      <c r="N931" s="202"/>
      <c r="P931" s="72"/>
      <c r="Q931" s="71"/>
      <c r="R931" s="53"/>
      <c r="S931" s="71"/>
      <c r="T931" s="53"/>
      <c r="U931" s="13"/>
      <c r="V931" s="72"/>
      <c r="W931" s="71"/>
      <c r="X931" s="53"/>
      <c r="Y931" s="71"/>
      <c r="Z931" s="53"/>
      <c r="AA931" s="13"/>
    </row>
    <row r="932" spans="10:27" x14ac:dyDescent="0.3">
      <c r="J932" s="197"/>
      <c r="K932" s="198"/>
      <c r="L932" s="196"/>
      <c r="M932" s="198"/>
      <c r="N932" s="202"/>
      <c r="P932" s="72"/>
      <c r="Q932" s="71"/>
      <c r="R932" s="53"/>
      <c r="S932" s="71"/>
      <c r="T932" s="53"/>
      <c r="U932" s="13"/>
      <c r="V932" s="72"/>
      <c r="W932" s="71"/>
      <c r="X932" s="53"/>
      <c r="Y932" s="71"/>
      <c r="Z932" s="53"/>
      <c r="AA932" s="13"/>
    </row>
    <row r="933" spans="10:27" x14ac:dyDescent="0.3">
      <c r="J933" s="197"/>
      <c r="K933" s="198"/>
      <c r="L933" s="196"/>
      <c r="M933" s="198"/>
      <c r="N933" s="202"/>
      <c r="P933" s="72"/>
      <c r="Q933" s="71"/>
      <c r="R933" s="53"/>
      <c r="S933" s="71"/>
      <c r="T933" s="53"/>
      <c r="U933" s="13"/>
      <c r="V933" s="72"/>
      <c r="W933" s="71"/>
      <c r="X933" s="53"/>
      <c r="Y933" s="71"/>
      <c r="Z933" s="53"/>
      <c r="AA933" s="13"/>
    </row>
    <row r="934" spans="10:27" x14ac:dyDescent="0.3">
      <c r="J934" s="197"/>
      <c r="K934" s="198"/>
      <c r="L934" s="196"/>
      <c r="M934" s="198"/>
      <c r="N934" s="202"/>
      <c r="P934" s="72"/>
      <c r="Q934" s="71"/>
      <c r="R934" s="53"/>
      <c r="S934" s="71"/>
      <c r="T934" s="53"/>
      <c r="U934" s="13"/>
      <c r="V934" s="72"/>
      <c r="W934" s="71"/>
      <c r="X934" s="53"/>
      <c r="Y934" s="71"/>
      <c r="Z934" s="53"/>
      <c r="AA934" s="13"/>
    </row>
    <row r="935" spans="10:27" x14ac:dyDescent="0.3">
      <c r="J935" s="197"/>
      <c r="K935" s="198"/>
      <c r="L935" s="196"/>
      <c r="M935" s="198"/>
      <c r="N935" s="202"/>
      <c r="P935" s="72"/>
      <c r="Q935" s="71"/>
      <c r="R935" s="53"/>
      <c r="S935" s="71"/>
      <c r="T935" s="53"/>
      <c r="U935" s="13"/>
      <c r="V935" s="72"/>
      <c r="W935" s="71"/>
      <c r="X935" s="53"/>
      <c r="Y935" s="71"/>
      <c r="Z935" s="53"/>
      <c r="AA935" s="13"/>
    </row>
    <row r="936" spans="10:27" x14ac:dyDescent="0.3">
      <c r="J936" s="197"/>
      <c r="K936" s="198"/>
      <c r="L936" s="196"/>
      <c r="M936" s="198"/>
      <c r="N936" s="202"/>
      <c r="P936" s="72"/>
      <c r="Q936" s="71"/>
      <c r="R936" s="53"/>
      <c r="S936" s="71"/>
      <c r="T936" s="53"/>
      <c r="U936" s="13"/>
      <c r="V936" s="72"/>
      <c r="W936" s="71"/>
      <c r="X936" s="53"/>
      <c r="Y936" s="71"/>
      <c r="Z936" s="53"/>
      <c r="AA936" s="13"/>
    </row>
    <row r="937" spans="10:27" x14ac:dyDescent="0.3">
      <c r="J937" s="197"/>
      <c r="K937" s="198"/>
      <c r="L937" s="196"/>
      <c r="M937" s="198"/>
      <c r="N937" s="202"/>
      <c r="P937" s="72"/>
      <c r="Q937" s="71"/>
      <c r="R937" s="53"/>
      <c r="S937" s="71"/>
      <c r="T937" s="53"/>
      <c r="U937" s="13"/>
      <c r="V937" s="72"/>
      <c r="W937" s="71"/>
      <c r="X937" s="53"/>
      <c r="Y937" s="71"/>
      <c r="Z937" s="53"/>
      <c r="AA937" s="13"/>
    </row>
    <row r="938" spans="10:27" x14ac:dyDescent="0.3">
      <c r="J938" s="197"/>
      <c r="K938" s="198"/>
      <c r="L938" s="196"/>
      <c r="M938" s="198"/>
      <c r="N938" s="202"/>
      <c r="P938" s="72"/>
      <c r="Q938" s="71"/>
      <c r="R938" s="53"/>
      <c r="S938" s="71"/>
      <c r="T938" s="53"/>
      <c r="U938" s="13"/>
      <c r="V938" s="72"/>
      <c r="W938" s="71"/>
      <c r="X938" s="53"/>
      <c r="Y938" s="71"/>
      <c r="Z938" s="53"/>
      <c r="AA938" s="13"/>
    </row>
    <row r="939" spans="10:27" x14ac:dyDescent="0.3">
      <c r="J939" s="197"/>
      <c r="K939" s="198"/>
      <c r="L939" s="196"/>
      <c r="M939" s="198"/>
      <c r="N939" s="202"/>
      <c r="P939" s="72"/>
      <c r="Q939" s="71"/>
      <c r="R939" s="53"/>
      <c r="S939" s="71"/>
      <c r="T939" s="53"/>
      <c r="U939" s="13"/>
      <c r="V939" s="72"/>
      <c r="W939" s="71"/>
      <c r="X939" s="53"/>
      <c r="Y939" s="71"/>
      <c r="Z939" s="53"/>
      <c r="AA939" s="13"/>
    </row>
    <row r="940" spans="10:27" x14ac:dyDescent="0.3">
      <c r="J940" s="197"/>
      <c r="K940" s="198"/>
      <c r="L940" s="196"/>
      <c r="M940" s="198"/>
      <c r="N940" s="202"/>
      <c r="P940" s="72"/>
      <c r="Q940" s="71"/>
      <c r="R940" s="53"/>
      <c r="S940" s="71"/>
      <c r="T940" s="53"/>
      <c r="U940" s="13"/>
      <c r="V940" s="72"/>
      <c r="W940" s="71"/>
      <c r="X940" s="53"/>
      <c r="Y940" s="71"/>
      <c r="Z940" s="53"/>
      <c r="AA940" s="13"/>
    </row>
    <row r="941" spans="10:27" x14ac:dyDescent="0.3">
      <c r="J941" s="197"/>
      <c r="K941" s="198"/>
      <c r="L941" s="196"/>
      <c r="M941" s="198"/>
      <c r="N941" s="202"/>
      <c r="P941" s="72"/>
      <c r="Q941" s="71"/>
      <c r="R941" s="53"/>
      <c r="S941" s="71"/>
      <c r="T941" s="53"/>
      <c r="U941" s="13"/>
      <c r="V941" s="72"/>
      <c r="W941" s="71"/>
      <c r="X941" s="53"/>
      <c r="Y941" s="71"/>
      <c r="Z941" s="53"/>
      <c r="AA941" s="13"/>
    </row>
    <row r="942" spans="10:27" x14ac:dyDescent="0.3">
      <c r="J942" s="197"/>
      <c r="K942" s="198"/>
      <c r="L942" s="196"/>
      <c r="M942" s="198"/>
      <c r="N942" s="202"/>
      <c r="P942" s="72"/>
      <c r="Q942" s="71"/>
      <c r="R942" s="53"/>
      <c r="S942" s="71"/>
      <c r="T942" s="53"/>
      <c r="U942" s="13"/>
      <c r="V942" s="72"/>
      <c r="W942" s="71"/>
      <c r="X942" s="53"/>
      <c r="Y942" s="71"/>
      <c r="Z942" s="53"/>
      <c r="AA942" s="13"/>
    </row>
    <row r="943" spans="10:27" x14ac:dyDescent="0.3">
      <c r="J943" s="197"/>
      <c r="K943" s="198"/>
      <c r="L943" s="196"/>
      <c r="M943" s="198"/>
      <c r="N943" s="202"/>
      <c r="P943" s="72"/>
      <c r="Q943" s="71"/>
      <c r="R943" s="53"/>
      <c r="S943" s="71"/>
      <c r="T943" s="53"/>
      <c r="U943" s="13"/>
      <c r="V943" s="72"/>
      <c r="W943" s="71"/>
      <c r="X943" s="53"/>
      <c r="Y943" s="71"/>
      <c r="Z943" s="53"/>
      <c r="AA943" s="13"/>
    </row>
    <row r="944" spans="10:27" x14ac:dyDescent="0.3">
      <c r="J944" s="197"/>
      <c r="K944" s="198"/>
      <c r="L944" s="196"/>
      <c r="M944" s="198"/>
      <c r="N944" s="202"/>
      <c r="P944" s="72"/>
      <c r="Q944" s="71"/>
      <c r="R944" s="53"/>
      <c r="S944" s="71"/>
      <c r="T944" s="53"/>
      <c r="U944" s="13"/>
      <c r="V944" s="72"/>
      <c r="W944" s="71"/>
      <c r="X944" s="53"/>
      <c r="Y944" s="71"/>
      <c r="Z944" s="53"/>
      <c r="AA944" s="13"/>
    </row>
    <row r="945" spans="10:27" x14ac:dyDescent="0.3">
      <c r="J945" s="197"/>
      <c r="K945" s="198"/>
      <c r="L945" s="196"/>
      <c r="M945" s="198"/>
      <c r="N945" s="202"/>
      <c r="P945" s="72"/>
      <c r="Q945" s="71"/>
      <c r="R945" s="53"/>
      <c r="S945" s="71"/>
      <c r="T945" s="53"/>
      <c r="U945" s="13"/>
      <c r="V945" s="72"/>
      <c r="W945" s="71"/>
      <c r="X945" s="53"/>
      <c r="Y945" s="71"/>
      <c r="Z945" s="53"/>
      <c r="AA945" s="13"/>
    </row>
    <row r="946" spans="10:27" x14ac:dyDescent="0.3">
      <c r="J946" s="197"/>
      <c r="K946" s="198"/>
      <c r="L946" s="196"/>
      <c r="M946" s="198"/>
      <c r="N946" s="202"/>
      <c r="P946" s="72"/>
      <c r="Q946" s="71"/>
      <c r="R946" s="53"/>
      <c r="S946" s="71"/>
      <c r="T946" s="53"/>
      <c r="U946" s="13"/>
      <c r="V946" s="72"/>
      <c r="W946" s="71"/>
      <c r="X946" s="53"/>
      <c r="Y946" s="71"/>
      <c r="Z946" s="53"/>
      <c r="AA946" s="13"/>
    </row>
    <row r="947" spans="10:27" x14ac:dyDescent="0.3">
      <c r="J947" s="197"/>
      <c r="K947" s="198"/>
      <c r="L947" s="196"/>
      <c r="M947" s="198"/>
      <c r="N947" s="202"/>
      <c r="P947" s="72"/>
      <c r="Q947" s="71"/>
      <c r="R947" s="53"/>
      <c r="S947" s="71"/>
      <c r="T947" s="53"/>
      <c r="U947" s="13"/>
      <c r="V947" s="72"/>
      <c r="W947" s="71"/>
      <c r="X947" s="53"/>
      <c r="Y947" s="71"/>
      <c r="Z947" s="53"/>
      <c r="AA947" s="13"/>
    </row>
    <row r="948" spans="10:27" x14ac:dyDescent="0.3">
      <c r="J948" s="197"/>
      <c r="K948" s="198"/>
      <c r="L948" s="196"/>
      <c r="M948" s="198"/>
      <c r="N948" s="202"/>
      <c r="P948" s="72"/>
      <c r="Q948" s="71"/>
      <c r="R948" s="53"/>
      <c r="S948" s="71"/>
      <c r="T948" s="53"/>
      <c r="U948" s="13"/>
      <c r="V948" s="72"/>
      <c r="W948" s="71"/>
      <c r="X948" s="53"/>
      <c r="Y948" s="71"/>
      <c r="Z948" s="53"/>
      <c r="AA948" s="13"/>
    </row>
    <row r="949" spans="10:27" x14ac:dyDescent="0.3">
      <c r="J949" s="197"/>
      <c r="K949" s="198"/>
      <c r="L949" s="196"/>
      <c r="M949" s="198"/>
      <c r="N949" s="202"/>
      <c r="P949" s="72"/>
      <c r="Q949" s="71"/>
      <c r="R949" s="53"/>
      <c r="S949" s="71"/>
      <c r="T949" s="53"/>
      <c r="U949" s="13"/>
      <c r="V949" s="72"/>
      <c r="W949" s="71"/>
      <c r="X949" s="53"/>
      <c r="Y949" s="71"/>
      <c r="Z949" s="53"/>
      <c r="AA949" s="13"/>
    </row>
    <row r="950" spans="10:27" x14ac:dyDescent="0.3">
      <c r="J950" s="197"/>
      <c r="K950" s="198"/>
      <c r="L950" s="196"/>
      <c r="M950" s="198"/>
      <c r="N950" s="202"/>
      <c r="P950" s="72"/>
      <c r="Q950" s="71"/>
      <c r="R950" s="53"/>
      <c r="S950" s="71"/>
      <c r="T950" s="53"/>
      <c r="U950" s="13"/>
      <c r="V950" s="72"/>
      <c r="W950" s="71"/>
      <c r="X950" s="53"/>
      <c r="Y950" s="71"/>
      <c r="Z950" s="53"/>
      <c r="AA950" s="13"/>
    </row>
    <row r="951" spans="10:27" x14ac:dyDescent="0.3">
      <c r="J951" s="197"/>
      <c r="K951" s="198"/>
      <c r="L951" s="196"/>
      <c r="M951" s="198"/>
      <c r="N951" s="202"/>
      <c r="P951" s="72"/>
      <c r="Q951" s="71"/>
      <c r="R951" s="53"/>
      <c r="S951" s="71"/>
      <c r="T951" s="53"/>
      <c r="U951" s="13"/>
      <c r="V951" s="72"/>
      <c r="W951" s="71"/>
      <c r="X951" s="53"/>
      <c r="Y951" s="71"/>
      <c r="Z951" s="53"/>
      <c r="AA951" s="13"/>
    </row>
    <row r="952" spans="10:27" x14ac:dyDescent="0.3">
      <c r="J952" s="197"/>
      <c r="K952" s="198"/>
      <c r="L952" s="196"/>
      <c r="M952" s="198"/>
      <c r="N952" s="202"/>
      <c r="P952" s="72"/>
      <c r="Q952" s="71"/>
      <c r="R952" s="53"/>
      <c r="S952" s="71"/>
      <c r="T952" s="53"/>
      <c r="U952" s="13"/>
      <c r="V952" s="72"/>
      <c r="W952" s="71"/>
      <c r="X952" s="53"/>
      <c r="Y952" s="71"/>
      <c r="Z952" s="53"/>
      <c r="AA952" s="13"/>
    </row>
    <row r="953" spans="10:27" x14ac:dyDescent="0.3">
      <c r="J953" s="197"/>
      <c r="K953" s="198"/>
      <c r="L953" s="196"/>
      <c r="M953" s="198"/>
      <c r="N953" s="202"/>
      <c r="P953" s="72"/>
      <c r="Q953" s="71"/>
      <c r="R953" s="53"/>
      <c r="S953" s="71"/>
      <c r="T953" s="53"/>
      <c r="U953" s="13"/>
      <c r="V953" s="72"/>
      <c r="W953" s="71"/>
      <c r="X953" s="53"/>
      <c r="Y953" s="71"/>
      <c r="Z953" s="53"/>
      <c r="AA953" s="13"/>
    </row>
    <row r="954" spans="10:27" x14ac:dyDescent="0.3">
      <c r="J954" s="197"/>
      <c r="K954" s="198"/>
      <c r="L954" s="196"/>
      <c r="M954" s="198"/>
      <c r="N954" s="202"/>
      <c r="P954" s="72"/>
      <c r="Q954" s="71"/>
      <c r="R954" s="53"/>
      <c r="S954" s="71"/>
      <c r="T954" s="53"/>
      <c r="U954" s="13"/>
      <c r="V954" s="72"/>
      <c r="W954" s="71"/>
      <c r="X954" s="53"/>
      <c r="Y954" s="71"/>
      <c r="Z954" s="53"/>
      <c r="AA954" s="13"/>
    </row>
    <row r="955" spans="10:27" x14ac:dyDescent="0.3">
      <c r="J955" s="197"/>
      <c r="K955" s="198"/>
      <c r="L955" s="196"/>
      <c r="M955" s="198"/>
      <c r="N955" s="202"/>
      <c r="P955" s="72"/>
      <c r="Q955" s="71"/>
      <c r="R955" s="53"/>
      <c r="S955" s="71"/>
      <c r="T955" s="53"/>
      <c r="U955" s="13"/>
      <c r="V955" s="72"/>
      <c r="W955" s="71"/>
      <c r="X955" s="53"/>
      <c r="Y955" s="71"/>
      <c r="Z955" s="53"/>
      <c r="AA955" s="13"/>
    </row>
    <row r="956" spans="10:27" x14ac:dyDescent="0.3">
      <c r="J956" s="197"/>
      <c r="K956" s="198"/>
      <c r="L956" s="196"/>
      <c r="M956" s="198"/>
      <c r="N956" s="202"/>
      <c r="P956" s="72"/>
      <c r="Q956" s="71"/>
      <c r="R956" s="53"/>
      <c r="S956" s="71"/>
      <c r="T956" s="53"/>
      <c r="U956" s="13"/>
      <c r="V956" s="72"/>
      <c r="W956" s="71"/>
      <c r="X956" s="53"/>
      <c r="Y956" s="71"/>
      <c r="Z956" s="53"/>
      <c r="AA956" s="13"/>
    </row>
    <row r="957" spans="10:27" x14ac:dyDescent="0.3">
      <c r="J957" s="197"/>
      <c r="K957" s="198"/>
      <c r="L957" s="196"/>
      <c r="M957" s="198"/>
      <c r="N957" s="202"/>
      <c r="P957" s="72"/>
      <c r="Q957" s="71"/>
      <c r="R957" s="53"/>
      <c r="S957" s="71"/>
      <c r="T957" s="53"/>
      <c r="U957" s="13"/>
      <c r="V957" s="72"/>
      <c r="W957" s="71"/>
      <c r="X957" s="53"/>
      <c r="Y957" s="71"/>
      <c r="Z957" s="53"/>
      <c r="AA957" s="13"/>
    </row>
    <row r="958" spans="10:27" x14ac:dyDescent="0.3">
      <c r="J958" s="197"/>
      <c r="K958" s="198"/>
      <c r="L958" s="196"/>
      <c r="M958" s="198"/>
      <c r="N958" s="202"/>
      <c r="P958" s="72"/>
      <c r="Q958" s="71"/>
      <c r="R958" s="53"/>
      <c r="S958" s="71"/>
      <c r="T958" s="53"/>
      <c r="U958" s="13"/>
      <c r="V958" s="72"/>
      <c r="W958" s="71"/>
      <c r="X958" s="53"/>
      <c r="Y958" s="71"/>
      <c r="Z958" s="53"/>
      <c r="AA958" s="13"/>
    </row>
    <row r="959" spans="10:27" x14ac:dyDescent="0.3">
      <c r="J959" s="197"/>
      <c r="K959" s="198"/>
      <c r="L959" s="196"/>
      <c r="M959" s="198"/>
      <c r="N959" s="202"/>
      <c r="P959" s="72"/>
      <c r="Q959" s="71"/>
      <c r="R959" s="53"/>
      <c r="S959" s="71"/>
      <c r="T959" s="53"/>
      <c r="U959" s="13"/>
      <c r="V959" s="72"/>
      <c r="W959" s="71"/>
      <c r="X959" s="53"/>
      <c r="Y959" s="71"/>
      <c r="Z959" s="53"/>
      <c r="AA959" s="13"/>
    </row>
    <row r="960" spans="10:27" x14ac:dyDescent="0.3">
      <c r="J960" s="197"/>
      <c r="K960" s="198"/>
      <c r="L960" s="196"/>
      <c r="M960" s="198"/>
      <c r="N960" s="202"/>
      <c r="P960" s="72"/>
      <c r="Q960" s="71"/>
      <c r="R960" s="53"/>
      <c r="S960" s="71"/>
      <c r="T960" s="53"/>
      <c r="U960" s="13"/>
      <c r="V960" s="72"/>
      <c r="W960" s="71"/>
      <c r="X960" s="53"/>
      <c r="Y960" s="71"/>
      <c r="Z960" s="53"/>
      <c r="AA960" s="13"/>
    </row>
    <row r="961" spans="10:27" x14ac:dyDescent="0.3">
      <c r="J961" s="197"/>
      <c r="K961" s="198"/>
      <c r="L961" s="196"/>
      <c r="M961" s="198"/>
      <c r="N961" s="202"/>
      <c r="P961" s="72"/>
      <c r="Q961" s="71"/>
      <c r="R961" s="53"/>
      <c r="S961" s="71"/>
      <c r="T961" s="53"/>
      <c r="U961" s="13"/>
      <c r="V961" s="72"/>
      <c r="W961" s="71"/>
      <c r="X961" s="53"/>
      <c r="Y961" s="71"/>
      <c r="Z961" s="53"/>
      <c r="AA961" s="13"/>
    </row>
    <row r="962" spans="10:27" x14ac:dyDescent="0.3">
      <c r="J962" s="197"/>
      <c r="K962" s="198"/>
      <c r="L962" s="196"/>
      <c r="M962" s="198"/>
      <c r="N962" s="202"/>
      <c r="P962" s="72"/>
      <c r="Q962" s="71"/>
      <c r="R962" s="53"/>
      <c r="S962" s="71"/>
      <c r="T962" s="53"/>
      <c r="U962" s="13"/>
      <c r="V962" s="72"/>
      <c r="W962" s="71"/>
      <c r="X962" s="53"/>
      <c r="Y962" s="71"/>
      <c r="Z962" s="53"/>
      <c r="AA962" s="13"/>
    </row>
    <row r="963" spans="10:27" x14ac:dyDescent="0.3">
      <c r="J963" s="197"/>
      <c r="K963" s="198"/>
      <c r="L963" s="196"/>
      <c r="M963" s="198"/>
      <c r="N963" s="202"/>
      <c r="P963" s="72"/>
      <c r="Q963" s="71"/>
      <c r="R963" s="53"/>
      <c r="S963" s="71"/>
      <c r="T963" s="53"/>
      <c r="U963" s="13"/>
      <c r="V963" s="72"/>
      <c r="W963" s="71"/>
      <c r="X963" s="53"/>
      <c r="Y963" s="71"/>
      <c r="Z963" s="53"/>
      <c r="AA963" s="13"/>
    </row>
    <row r="964" spans="10:27" x14ac:dyDescent="0.3">
      <c r="J964" s="197"/>
      <c r="K964" s="198"/>
      <c r="L964" s="196"/>
      <c r="M964" s="198"/>
      <c r="N964" s="202"/>
      <c r="P964" s="72"/>
      <c r="Q964" s="71"/>
      <c r="R964" s="53"/>
      <c r="S964" s="71"/>
      <c r="T964" s="53"/>
      <c r="U964" s="13"/>
      <c r="V964" s="72"/>
      <c r="W964" s="71"/>
      <c r="X964" s="53"/>
      <c r="Y964" s="71"/>
      <c r="Z964" s="53"/>
      <c r="AA964" s="13"/>
    </row>
    <row r="965" spans="10:27" x14ac:dyDescent="0.3">
      <c r="J965" s="197"/>
      <c r="K965" s="198"/>
      <c r="L965" s="196"/>
      <c r="M965" s="198"/>
      <c r="N965" s="202"/>
      <c r="P965" s="72"/>
      <c r="Q965" s="71"/>
      <c r="R965" s="53"/>
      <c r="S965" s="71"/>
      <c r="T965" s="53"/>
      <c r="U965" s="13"/>
      <c r="V965" s="72"/>
      <c r="W965" s="71"/>
      <c r="X965" s="53"/>
      <c r="Y965" s="71"/>
      <c r="Z965" s="53"/>
      <c r="AA965" s="13"/>
    </row>
    <row r="966" spans="10:27" x14ac:dyDescent="0.3">
      <c r="J966" s="197"/>
      <c r="K966" s="198"/>
      <c r="L966" s="196"/>
      <c r="M966" s="198"/>
      <c r="N966" s="202"/>
      <c r="P966" s="72"/>
      <c r="Q966" s="71"/>
      <c r="R966" s="53"/>
      <c r="S966" s="71"/>
      <c r="T966" s="53"/>
      <c r="U966" s="13"/>
      <c r="V966" s="72"/>
      <c r="W966" s="71"/>
      <c r="X966" s="53"/>
      <c r="Y966" s="71"/>
      <c r="Z966" s="53"/>
      <c r="AA966" s="13"/>
    </row>
    <row r="967" spans="10:27" x14ac:dyDescent="0.3">
      <c r="J967" s="197"/>
      <c r="K967" s="198"/>
      <c r="L967" s="196"/>
      <c r="M967" s="198"/>
      <c r="N967" s="202"/>
      <c r="P967" s="72"/>
      <c r="Q967" s="71"/>
      <c r="R967" s="53"/>
      <c r="S967" s="71"/>
      <c r="T967" s="53"/>
      <c r="U967" s="13"/>
      <c r="V967" s="72"/>
      <c r="W967" s="71"/>
      <c r="X967" s="53"/>
      <c r="Y967" s="71"/>
      <c r="Z967" s="53"/>
      <c r="AA967" s="13"/>
    </row>
    <row r="968" spans="10:27" x14ac:dyDescent="0.3">
      <c r="J968" s="197"/>
      <c r="K968" s="198"/>
      <c r="L968" s="196"/>
      <c r="M968" s="198"/>
      <c r="N968" s="202"/>
      <c r="P968" s="72"/>
      <c r="Q968" s="71"/>
      <c r="R968" s="53"/>
      <c r="S968" s="71"/>
      <c r="T968" s="53"/>
      <c r="U968" s="13"/>
      <c r="V968" s="72"/>
      <c r="W968" s="71"/>
      <c r="X968" s="53"/>
      <c r="Y968" s="71"/>
      <c r="Z968" s="53"/>
      <c r="AA968" s="13"/>
    </row>
    <row r="969" spans="10:27" x14ac:dyDescent="0.3">
      <c r="J969" s="197"/>
      <c r="K969" s="198"/>
      <c r="L969" s="196"/>
      <c r="M969" s="198"/>
      <c r="N969" s="202"/>
      <c r="P969" s="72"/>
      <c r="Q969" s="71"/>
      <c r="R969" s="53"/>
      <c r="S969" s="71"/>
      <c r="T969" s="53"/>
      <c r="U969" s="13"/>
      <c r="V969" s="72"/>
      <c r="W969" s="71"/>
      <c r="X969" s="53"/>
      <c r="Y969" s="71"/>
      <c r="Z969" s="53"/>
      <c r="AA969" s="13"/>
    </row>
    <row r="970" spans="10:27" x14ac:dyDescent="0.3">
      <c r="J970" s="197"/>
      <c r="K970" s="198"/>
      <c r="L970" s="196"/>
      <c r="M970" s="198"/>
      <c r="N970" s="202"/>
      <c r="P970" s="72"/>
      <c r="Q970" s="71"/>
      <c r="R970" s="53"/>
      <c r="S970" s="71"/>
      <c r="T970" s="53"/>
      <c r="U970" s="13"/>
      <c r="V970" s="72"/>
      <c r="W970" s="71"/>
      <c r="X970" s="53"/>
      <c r="Y970" s="71"/>
      <c r="Z970" s="53"/>
      <c r="AA970" s="13"/>
    </row>
    <row r="971" spans="10:27" x14ac:dyDescent="0.3">
      <c r="J971" s="197"/>
      <c r="K971" s="198"/>
      <c r="L971" s="196"/>
      <c r="M971" s="198"/>
      <c r="N971" s="202"/>
      <c r="P971" s="72"/>
      <c r="Q971" s="71"/>
      <c r="R971" s="53"/>
      <c r="S971" s="71"/>
      <c r="T971" s="53"/>
      <c r="U971" s="13"/>
      <c r="V971" s="72"/>
      <c r="W971" s="71"/>
      <c r="X971" s="53"/>
      <c r="Y971" s="71"/>
      <c r="Z971" s="53"/>
      <c r="AA971" s="13"/>
    </row>
    <row r="972" spans="10:27" x14ac:dyDescent="0.3">
      <c r="J972" s="197"/>
      <c r="K972" s="198"/>
      <c r="L972" s="196"/>
      <c r="M972" s="198"/>
      <c r="N972" s="202"/>
      <c r="P972" s="72"/>
      <c r="Q972" s="71"/>
      <c r="R972" s="53"/>
      <c r="S972" s="71"/>
      <c r="T972" s="53"/>
      <c r="U972" s="13"/>
      <c r="V972" s="72"/>
      <c r="W972" s="71"/>
      <c r="X972" s="53"/>
      <c r="Y972" s="71"/>
      <c r="Z972" s="53"/>
      <c r="AA972" s="13"/>
    </row>
    <row r="973" spans="10:27" x14ac:dyDescent="0.3">
      <c r="J973" s="197"/>
      <c r="K973" s="198"/>
      <c r="L973" s="196"/>
      <c r="M973" s="198"/>
      <c r="N973" s="202"/>
      <c r="P973" s="72"/>
      <c r="Q973" s="71"/>
      <c r="R973" s="53"/>
      <c r="S973" s="71"/>
      <c r="T973" s="53"/>
      <c r="U973" s="13"/>
      <c r="V973" s="72"/>
      <c r="W973" s="71"/>
      <c r="X973" s="53"/>
      <c r="Y973" s="71"/>
      <c r="Z973" s="53"/>
      <c r="AA973" s="13"/>
    </row>
    <row r="974" spans="10:27" x14ac:dyDescent="0.3">
      <c r="J974" s="197"/>
      <c r="K974" s="198"/>
      <c r="L974" s="196"/>
      <c r="M974" s="198"/>
      <c r="N974" s="202"/>
      <c r="P974" s="72"/>
      <c r="Q974" s="71"/>
      <c r="R974" s="53"/>
      <c r="S974" s="71"/>
      <c r="T974" s="53"/>
      <c r="U974" s="13"/>
      <c r="V974" s="72"/>
      <c r="W974" s="71"/>
      <c r="X974" s="53"/>
      <c r="Y974" s="71"/>
      <c r="Z974" s="53"/>
      <c r="AA974" s="13"/>
    </row>
    <row r="975" spans="10:27" x14ac:dyDescent="0.3">
      <c r="J975" s="197"/>
      <c r="K975" s="198"/>
      <c r="L975" s="196"/>
      <c r="M975" s="198"/>
      <c r="N975" s="202"/>
      <c r="P975" s="72"/>
      <c r="Q975" s="71"/>
      <c r="R975" s="53"/>
      <c r="S975" s="71"/>
      <c r="T975" s="53"/>
      <c r="U975" s="13"/>
      <c r="V975" s="72"/>
      <c r="W975" s="71"/>
      <c r="X975" s="53"/>
      <c r="Y975" s="71"/>
      <c r="Z975" s="53"/>
      <c r="AA975" s="13"/>
    </row>
    <row r="976" spans="10:27" x14ac:dyDescent="0.3">
      <c r="J976" s="197"/>
      <c r="K976" s="198"/>
      <c r="L976" s="196"/>
      <c r="M976" s="198"/>
      <c r="N976" s="202"/>
      <c r="P976" s="72"/>
      <c r="Q976" s="71"/>
      <c r="R976" s="53"/>
      <c r="S976" s="71"/>
      <c r="T976" s="53"/>
      <c r="U976" s="13"/>
      <c r="V976" s="72"/>
      <c r="W976" s="71"/>
      <c r="X976" s="53"/>
      <c r="Y976" s="71"/>
      <c r="Z976" s="53"/>
      <c r="AA976" s="13"/>
    </row>
    <row r="977" spans="10:27" x14ac:dyDescent="0.3">
      <c r="J977" s="197"/>
      <c r="K977" s="198"/>
      <c r="L977" s="196"/>
      <c r="M977" s="198"/>
      <c r="N977" s="202"/>
      <c r="P977" s="72"/>
      <c r="Q977" s="71"/>
      <c r="R977" s="53"/>
      <c r="S977" s="71"/>
      <c r="T977" s="53"/>
      <c r="U977" s="13"/>
      <c r="V977" s="72"/>
      <c r="W977" s="71"/>
      <c r="X977" s="53"/>
      <c r="Y977" s="71"/>
      <c r="Z977" s="53"/>
      <c r="AA977" s="13"/>
    </row>
    <row r="978" spans="10:27" x14ac:dyDescent="0.3">
      <c r="J978" s="197"/>
      <c r="K978" s="198"/>
      <c r="L978" s="196"/>
      <c r="M978" s="198"/>
      <c r="N978" s="202"/>
      <c r="P978" s="72"/>
      <c r="Q978" s="71"/>
      <c r="R978" s="53"/>
      <c r="S978" s="71"/>
      <c r="T978" s="53"/>
      <c r="U978" s="13"/>
      <c r="V978" s="72"/>
      <c r="W978" s="71"/>
      <c r="X978" s="53"/>
      <c r="Y978" s="71"/>
      <c r="Z978" s="53"/>
      <c r="AA978" s="13"/>
    </row>
    <row r="979" spans="10:27" x14ac:dyDescent="0.3">
      <c r="J979" s="197"/>
      <c r="K979" s="198"/>
      <c r="L979" s="196"/>
      <c r="M979" s="198"/>
      <c r="N979" s="202"/>
      <c r="P979" s="72"/>
      <c r="Q979" s="71"/>
      <c r="R979" s="53"/>
      <c r="S979" s="71"/>
      <c r="T979" s="53"/>
      <c r="U979" s="13"/>
      <c r="V979" s="72"/>
      <c r="W979" s="71"/>
      <c r="X979" s="53"/>
      <c r="Y979" s="71"/>
      <c r="Z979" s="53"/>
      <c r="AA979" s="13"/>
    </row>
    <row r="980" spans="10:27" x14ac:dyDescent="0.3">
      <c r="J980" s="197"/>
      <c r="K980" s="198"/>
      <c r="L980" s="196"/>
      <c r="M980" s="198"/>
      <c r="N980" s="202"/>
      <c r="P980" s="72"/>
      <c r="Q980" s="71"/>
      <c r="R980" s="53"/>
      <c r="S980" s="71"/>
      <c r="T980" s="53"/>
      <c r="U980" s="13"/>
      <c r="V980" s="72"/>
      <c r="W980" s="71"/>
      <c r="X980" s="53"/>
      <c r="Y980" s="71"/>
      <c r="Z980" s="53"/>
      <c r="AA980" s="13"/>
    </row>
    <row r="981" spans="10:27" x14ac:dyDescent="0.3">
      <c r="J981" s="197"/>
      <c r="K981" s="198"/>
      <c r="L981" s="196"/>
      <c r="M981" s="198"/>
      <c r="N981" s="202"/>
      <c r="P981" s="72"/>
      <c r="Q981" s="71"/>
      <c r="R981" s="53"/>
      <c r="S981" s="71"/>
      <c r="T981" s="53"/>
      <c r="U981" s="13"/>
      <c r="V981" s="72"/>
      <c r="W981" s="71"/>
      <c r="X981" s="53"/>
      <c r="Y981" s="71"/>
      <c r="Z981" s="53"/>
      <c r="AA981" s="13"/>
    </row>
    <row r="982" spans="10:27" x14ac:dyDescent="0.3">
      <c r="J982" s="197"/>
      <c r="K982" s="198"/>
      <c r="L982" s="196"/>
      <c r="M982" s="198"/>
      <c r="N982" s="202"/>
      <c r="P982" s="72"/>
      <c r="Q982" s="71"/>
      <c r="R982" s="53"/>
      <c r="S982" s="71"/>
      <c r="T982" s="53"/>
      <c r="U982" s="13"/>
      <c r="V982" s="72"/>
      <c r="W982" s="71"/>
      <c r="X982" s="53"/>
      <c r="Y982" s="71"/>
      <c r="Z982" s="53"/>
      <c r="AA982" s="13"/>
    </row>
    <row r="983" spans="10:27" x14ac:dyDescent="0.3">
      <c r="J983" s="197"/>
      <c r="K983" s="198"/>
      <c r="L983" s="196"/>
      <c r="M983" s="198"/>
      <c r="N983" s="202"/>
      <c r="P983" s="72"/>
      <c r="Q983" s="71"/>
      <c r="R983" s="53"/>
      <c r="S983" s="71"/>
      <c r="T983" s="53"/>
      <c r="U983" s="13"/>
      <c r="V983" s="72"/>
      <c r="W983" s="71"/>
      <c r="X983" s="53"/>
      <c r="Y983" s="71"/>
      <c r="Z983" s="53"/>
      <c r="AA983" s="13"/>
    </row>
    <row r="984" spans="10:27" x14ac:dyDescent="0.3">
      <c r="J984" s="197"/>
      <c r="K984" s="198"/>
      <c r="L984" s="196"/>
      <c r="M984" s="198"/>
      <c r="N984" s="202"/>
      <c r="P984" s="72"/>
      <c r="Q984" s="71"/>
      <c r="R984" s="53"/>
      <c r="S984" s="71"/>
      <c r="T984" s="53"/>
      <c r="U984" s="13"/>
      <c r="V984" s="72"/>
      <c r="W984" s="71"/>
      <c r="X984" s="53"/>
      <c r="Y984" s="71"/>
      <c r="Z984" s="53"/>
      <c r="AA984" s="13"/>
    </row>
    <row r="985" spans="10:27" x14ac:dyDescent="0.3">
      <c r="J985" s="197"/>
      <c r="K985" s="198"/>
      <c r="L985" s="196"/>
      <c r="M985" s="198"/>
      <c r="N985" s="202"/>
      <c r="P985" s="72"/>
      <c r="Q985" s="71"/>
      <c r="R985" s="53"/>
      <c r="S985" s="71"/>
      <c r="T985" s="53"/>
      <c r="U985" s="13"/>
      <c r="V985" s="72"/>
      <c r="W985" s="71"/>
      <c r="X985" s="53"/>
      <c r="Y985" s="71"/>
      <c r="Z985" s="53"/>
      <c r="AA985" s="13"/>
    </row>
    <row r="986" spans="10:27" x14ac:dyDescent="0.3">
      <c r="J986" s="197"/>
      <c r="K986" s="198"/>
      <c r="L986" s="196"/>
      <c r="M986" s="198"/>
      <c r="N986" s="202"/>
      <c r="P986" s="72"/>
      <c r="Q986" s="71"/>
      <c r="R986" s="53"/>
      <c r="S986" s="71"/>
      <c r="T986" s="53"/>
      <c r="U986" s="13"/>
      <c r="V986" s="72"/>
      <c r="W986" s="71"/>
      <c r="X986" s="53"/>
      <c r="Y986" s="71"/>
      <c r="Z986" s="53"/>
      <c r="AA986" s="13"/>
    </row>
    <row r="987" spans="10:27" x14ac:dyDescent="0.3">
      <c r="J987" s="197"/>
      <c r="K987" s="198"/>
      <c r="L987" s="196"/>
      <c r="M987" s="198"/>
      <c r="N987" s="202"/>
      <c r="P987" s="72"/>
      <c r="Q987" s="71"/>
      <c r="R987" s="53"/>
      <c r="S987" s="71"/>
      <c r="T987" s="53"/>
      <c r="U987" s="13"/>
      <c r="V987" s="72"/>
      <c r="W987" s="71"/>
      <c r="X987" s="53"/>
      <c r="Y987" s="71"/>
      <c r="Z987" s="53"/>
      <c r="AA987" s="13"/>
    </row>
    <row r="988" spans="10:27" x14ac:dyDescent="0.3">
      <c r="J988" s="197"/>
      <c r="K988" s="198"/>
      <c r="L988" s="196"/>
      <c r="M988" s="198"/>
      <c r="N988" s="202"/>
      <c r="P988" s="72"/>
      <c r="Q988" s="71"/>
      <c r="R988" s="53"/>
      <c r="S988" s="71"/>
      <c r="T988" s="53"/>
      <c r="U988" s="13"/>
      <c r="V988" s="72"/>
      <c r="W988" s="71"/>
      <c r="X988" s="53"/>
      <c r="Y988" s="71"/>
      <c r="Z988" s="53"/>
      <c r="AA988" s="13"/>
    </row>
    <row r="989" spans="10:27" x14ac:dyDescent="0.3">
      <c r="J989" s="197"/>
      <c r="K989" s="198"/>
      <c r="L989" s="196"/>
      <c r="M989" s="198"/>
      <c r="N989" s="202"/>
      <c r="P989" s="72"/>
      <c r="Q989" s="71"/>
      <c r="R989" s="53"/>
      <c r="S989" s="71"/>
      <c r="T989" s="53"/>
      <c r="U989" s="13"/>
      <c r="V989" s="72"/>
      <c r="W989" s="71"/>
      <c r="X989" s="53"/>
      <c r="Y989" s="71"/>
      <c r="Z989" s="53"/>
      <c r="AA989" s="13"/>
    </row>
    <row r="990" spans="10:27" x14ac:dyDescent="0.3">
      <c r="J990" s="197"/>
      <c r="K990" s="198"/>
      <c r="L990" s="196"/>
      <c r="M990" s="198"/>
      <c r="N990" s="202"/>
      <c r="P990" s="72"/>
      <c r="Q990" s="71"/>
      <c r="R990" s="53"/>
      <c r="S990" s="71"/>
      <c r="T990" s="53"/>
      <c r="U990" s="13"/>
      <c r="V990" s="72"/>
      <c r="W990" s="71"/>
      <c r="X990" s="53"/>
      <c r="Y990" s="71"/>
      <c r="Z990" s="53"/>
      <c r="AA990" s="13"/>
    </row>
    <row r="991" spans="10:27" x14ac:dyDescent="0.3">
      <c r="J991" s="197"/>
      <c r="K991" s="198"/>
      <c r="L991" s="196"/>
      <c r="M991" s="198"/>
      <c r="N991" s="202"/>
      <c r="P991" s="72"/>
      <c r="Q991" s="71"/>
      <c r="R991" s="53"/>
      <c r="S991" s="71"/>
      <c r="T991" s="53"/>
      <c r="U991" s="13"/>
      <c r="V991" s="72"/>
      <c r="W991" s="71"/>
      <c r="X991" s="53"/>
      <c r="Y991" s="71"/>
      <c r="Z991" s="53"/>
      <c r="AA991" s="13"/>
    </row>
    <row r="992" spans="10:27" x14ac:dyDescent="0.3">
      <c r="J992" s="197"/>
      <c r="K992" s="198"/>
      <c r="L992" s="196"/>
      <c r="M992" s="198"/>
      <c r="N992" s="202"/>
      <c r="P992" s="72"/>
      <c r="Q992" s="71"/>
      <c r="R992" s="53"/>
      <c r="S992" s="71"/>
      <c r="T992" s="53"/>
      <c r="U992" s="13"/>
      <c r="V992" s="72"/>
      <c r="W992" s="71"/>
      <c r="X992" s="53"/>
      <c r="Y992" s="71"/>
      <c r="Z992" s="53"/>
      <c r="AA992" s="13"/>
    </row>
    <row r="993" spans="10:27" x14ac:dyDescent="0.3">
      <c r="J993" s="197"/>
      <c r="K993" s="198"/>
      <c r="L993" s="196"/>
      <c r="M993" s="198"/>
      <c r="N993" s="202"/>
      <c r="P993" s="72"/>
      <c r="Q993" s="71"/>
      <c r="R993" s="53"/>
      <c r="S993" s="71"/>
      <c r="T993" s="53"/>
      <c r="U993" s="13"/>
      <c r="V993" s="72"/>
      <c r="W993" s="71"/>
      <c r="X993" s="53"/>
      <c r="Y993" s="71"/>
      <c r="Z993" s="53"/>
      <c r="AA993" s="13"/>
    </row>
    <row r="994" spans="10:27" x14ac:dyDescent="0.3">
      <c r="J994" s="197"/>
      <c r="K994" s="198"/>
      <c r="L994" s="196"/>
      <c r="M994" s="198"/>
      <c r="N994" s="202"/>
      <c r="P994" s="72"/>
      <c r="Q994" s="71"/>
      <c r="R994" s="53"/>
      <c r="S994" s="71"/>
      <c r="T994" s="53"/>
      <c r="U994" s="13"/>
      <c r="V994" s="72"/>
      <c r="W994" s="71"/>
      <c r="X994" s="53"/>
      <c r="Y994" s="71"/>
      <c r="Z994" s="53"/>
      <c r="AA994" s="13"/>
    </row>
    <row r="995" spans="10:27" x14ac:dyDescent="0.3">
      <c r="J995" s="197"/>
      <c r="K995" s="198"/>
      <c r="L995" s="196"/>
      <c r="M995" s="198"/>
      <c r="N995" s="202"/>
      <c r="P995" s="72"/>
      <c r="Q995" s="71"/>
      <c r="R995" s="53"/>
      <c r="S995" s="71"/>
      <c r="T995" s="53"/>
      <c r="U995" s="13"/>
      <c r="V995" s="72"/>
      <c r="W995" s="71"/>
      <c r="X995" s="53"/>
      <c r="Y995" s="71"/>
      <c r="Z995" s="53"/>
      <c r="AA995" s="13"/>
    </row>
    <row r="996" spans="10:27" x14ac:dyDescent="0.3">
      <c r="J996" s="197"/>
      <c r="K996" s="198"/>
      <c r="L996" s="196"/>
      <c r="M996" s="198"/>
      <c r="N996" s="202"/>
      <c r="P996" s="72"/>
      <c r="Q996" s="71"/>
      <c r="R996" s="53"/>
      <c r="S996" s="71"/>
      <c r="T996" s="53"/>
      <c r="U996" s="13"/>
      <c r="V996" s="72"/>
      <c r="W996" s="71"/>
      <c r="X996" s="53"/>
      <c r="Y996" s="71"/>
      <c r="Z996" s="53"/>
      <c r="AA996" s="13"/>
    </row>
    <row r="997" spans="10:27" x14ac:dyDescent="0.3">
      <c r="J997" s="197"/>
      <c r="K997" s="198"/>
      <c r="L997" s="196"/>
      <c r="M997" s="198"/>
      <c r="N997" s="202"/>
      <c r="P997" s="72"/>
      <c r="Q997" s="71"/>
      <c r="R997" s="53"/>
      <c r="S997" s="71"/>
      <c r="T997" s="53"/>
      <c r="U997" s="13"/>
      <c r="V997" s="72"/>
      <c r="W997" s="71"/>
      <c r="X997" s="53"/>
      <c r="Y997" s="71"/>
      <c r="Z997" s="53"/>
      <c r="AA997" s="13"/>
    </row>
    <row r="998" spans="10:27" x14ac:dyDescent="0.3">
      <c r="J998" s="197"/>
      <c r="K998" s="198"/>
      <c r="L998" s="196"/>
      <c r="M998" s="198"/>
      <c r="N998" s="202"/>
      <c r="P998" s="72"/>
      <c r="Q998" s="71"/>
      <c r="R998" s="53"/>
      <c r="S998" s="71"/>
      <c r="T998" s="53"/>
      <c r="U998" s="13"/>
      <c r="V998" s="72"/>
      <c r="W998" s="71"/>
      <c r="X998" s="53"/>
      <c r="Y998" s="71"/>
      <c r="Z998" s="53"/>
      <c r="AA998" s="13"/>
    </row>
    <row r="999" spans="10:27" x14ac:dyDescent="0.3">
      <c r="J999" s="197"/>
      <c r="K999" s="198"/>
      <c r="L999" s="196"/>
      <c r="M999" s="198"/>
      <c r="N999" s="202"/>
      <c r="P999" s="72"/>
      <c r="Q999" s="71"/>
      <c r="R999" s="53"/>
      <c r="S999" s="71"/>
      <c r="T999" s="53"/>
      <c r="U999" s="13"/>
      <c r="V999" s="72"/>
      <c r="W999" s="71"/>
      <c r="X999" s="53"/>
      <c r="Y999" s="71"/>
      <c r="Z999" s="53"/>
      <c r="AA999" s="13"/>
    </row>
    <row r="1000" spans="10:27" x14ac:dyDescent="0.3">
      <c r="J1000" s="197"/>
      <c r="K1000" s="198"/>
      <c r="L1000" s="196"/>
      <c r="M1000" s="198"/>
      <c r="N1000" s="202"/>
      <c r="P1000" s="72"/>
      <c r="Q1000" s="71"/>
      <c r="R1000" s="53"/>
      <c r="S1000" s="71"/>
      <c r="T1000" s="53"/>
      <c r="U1000" s="13"/>
      <c r="V1000" s="72"/>
      <c r="W1000" s="71"/>
      <c r="X1000" s="53"/>
      <c r="Y1000" s="71"/>
      <c r="Z1000" s="53"/>
      <c r="AA1000" s="13"/>
    </row>
    <row r="1001" spans="10:27" x14ac:dyDescent="0.3">
      <c r="J1001" s="197"/>
      <c r="K1001" s="198"/>
      <c r="L1001" s="196"/>
      <c r="M1001" s="198"/>
      <c r="N1001" s="202"/>
      <c r="P1001" s="72"/>
      <c r="Q1001" s="71"/>
      <c r="R1001" s="53"/>
      <c r="S1001" s="71"/>
      <c r="T1001" s="53"/>
      <c r="U1001" s="13"/>
      <c r="V1001" s="72"/>
      <c r="W1001" s="71"/>
      <c r="X1001" s="53"/>
      <c r="Y1001" s="71"/>
      <c r="Z1001" s="53"/>
      <c r="AA1001" s="13"/>
    </row>
    <row r="1002" spans="10:27" x14ac:dyDescent="0.3">
      <c r="J1002" s="197"/>
      <c r="K1002" s="198"/>
      <c r="L1002" s="196"/>
      <c r="M1002" s="198"/>
      <c r="N1002" s="202"/>
      <c r="P1002" s="72"/>
      <c r="Q1002" s="71"/>
      <c r="R1002" s="53"/>
      <c r="S1002" s="71"/>
      <c r="T1002" s="53"/>
      <c r="U1002" s="13"/>
      <c r="V1002" s="72"/>
      <c r="W1002" s="71"/>
      <c r="X1002" s="53"/>
      <c r="Y1002" s="71"/>
      <c r="Z1002" s="53"/>
      <c r="AA1002" s="13"/>
    </row>
    <row r="1003" spans="10:27" x14ac:dyDescent="0.3">
      <c r="J1003" s="197"/>
      <c r="K1003" s="198"/>
      <c r="L1003" s="196"/>
      <c r="M1003" s="198"/>
      <c r="N1003" s="202"/>
      <c r="P1003" s="72"/>
      <c r="Q1003" s="71"/>
      <c r="R1003" s="53"/>
      <c r="S1003" s="71"/>
      <c r="T1003" s="53"/>
      <c r="U1003" s="13"/>
      <c r="V1003" s="72"/>
      <c r="W1003" s="71"/>
      <c r="X1003" s="53"/>
      <c r="Y1003" s="71"/>
      <c r="Z1003" s="53"/>
      <c r="AA1003" s="13"/>
    </row>
    <row r="1004" spans="10:27" x14ac:dyDescent="0.3">
      <c r="J1004" s="197"/>
      <c r="K1004" s="198"/>
      <c r="L1004" s="196"/>
      <c r="M1004" s="198"/>
      <c r="N1004" s="202"/>
      <c r="P1004" s="72"/>
      <c r="Q1004" s="71"/>
      <c r="R1004" s="53"/>
      <c r="S1004" s="71"/>
      <c r="T1004" s="53"/>
      <c r="U1004" s="13"/>
      <c r="V1004" s="72"/>
      <c r="W1004" s="71"/>
      <c r="X1004" s="53"/>
      <c r="Y1004" s="71"/>
      <c r="Z1004" s="53"/>
      <c r="AA1004" s="13"/>
    </row>
    <row r="1005" spans="10:27" x14ac:dyDescent="0.3">
      <c r="J1005" s="197"/>
      <c r="K1005" s="198"/>
      <c r="L1005" s="196"/>
      <c r="M1005" s="198"/>
      <c r="N1005" s="202"/>
      <c r="P1005" s="72"/>
      <c r="Q1005" s="71"/>
      <c r="R1005" s="53"/>
      <c r="S1005" s="71"/>
      <c r="T1005" s="53"/>
      <c r="U1005" s="13"/>
      <c r="V1005" s="72"/>
      <c r="W1005" s="71"/>
      <c r="X1005" s="53"/>
      <c r="Y1005" s="71"/>
      <c r="Z1005" s="53"/>
      <c r="AA1005" s="13"/>
    </row>
    <row r="1006" spans="10:27" x14ac:dyDescent="0.3">
      <c r="J1006" s="197"/>
      <c r="K1006" s="198"/>
      <c r="L1006" s="196"/>
      <c r="M1006" s="198"/>
      <c r="N1006" s="202"/>
      <c r="P1006" s="72"/>
      <c r="Q1006" s="71"/>
      <c r="R1006" s="53"/>
      <c r="S1006" s="71"/>
      <c r="T1006" s="53"/>
      <c r="U1006" s="13"/>
      <c r="V1006" s="72"/>
      <c r="W1006" s="71"/>
      <c r="X1006" s="53"/>
      <c r="Y1006" s="71"/>
      <c r="Z1006" s="53"/>
      <c r="AA1006" s="13"/>
    </row>
    <row r="1007" spans="10:27" x14ac:dyDescent="0.3">
      <c r="J1007" s="197"/>
      <c r="K1007" s="198"/>
      <c r="L1007" s="196"/>
      <c r="M1007" s="198"/>
      <c r="N1007" s="202"/>
      <c r="P1007" s="72"/>
      <c r="Q1007" s="71"/>
      <c r="R1007" s="53"/>
      <c r="S1007" s="71"/>
      <c r="T1007" s="53"/>
      <c r="U1007" s="13"/>
      <c r="V1007" s="72"/>
      <c r="W1007" s="71"/>
      <c r="X1007" s="53"/>
      <c r="Y1007" s="71"/>
      <c r="Z1007" s="53"/>
      <c r="AA1007" s="13"/>
    </row>
    <row r="1008" spans="10:27" x14ac:dyDescent="0.3">
      <c r="J1008" s="197"/>
      <c r="K1008" s="198"/>
      <c r="L1008" s="196"/>
      <c r="M1008" s="198"/>
      <c r="N1008" s="202"/>
      <c r="P1008" s="72"/>
      <c r="Q1008" s="71"/>
      <c r="R1008" s="53"/>
      <c r="S1008" s="71"/>
      <c r="T1008" s="53"/>
      <c r="U1008" s="13"/>
      <c r="V1008" s="72"/>
      <c r="W1008" s="71"/>
      <c r="X1008" s="53"/>
      <c r="Y1008" s="71"/>
      <c r="Z1008" s="53"/>
      <c r="AA1008" s="13"/>
    </row>
    <row r="1009" spans="10:27" x14ac:dyDescent="0.3">
      <c r="J1009" s="197"/>
      <c r="K1009" s="198"/>
      <c r="L1009" s="196"/>
      <c r="M1009" s="198"/>
      <c r="N1009" s="202"/>
      <c r="P1009" s="72"/>
      <c r="Q1009" s="71"/>
      <c r="R1009" s="53"/>
      <c r="S1009" s="71"/>
      <c r="T1009" s="53"/>
      <c r="U1009" s="13"/>
      <c r="V1009" s="72"/>
      <c r="W1009" s="71"/>
      <c r="X1009" s="53"/>
      <c r="Y1009" s="71"/>
      <c r="Z1009" s="53"/>
      <c r="AA1009" s="13"/>
    </row>
    <row r="1010" spans="10:27" x14ac:dyDescent="0.3">
      <c r="J1010" s="197"/>
      <c r="K1010" s="198"/>
      <c r="L1010" s="196"/>
      <c r="M1010" s="198"/>
      <c r="N1010" s="202"/>
      <c r="P1010" s="72"/>
      <c r="Q1010" s="71"/>
      <c r="R1010" s="53"/>
      <c r="S1010" s="71"/>
      <c r="T1010" s="53"/>
      <c r="U1010" s="13"/>
      <c r="V1010" s="72"/>
      <c r="W1010" s="71"/>
      <c r="X1010" s="53"/>
      <c r="Y1010" s="71"/>
      <c r="Z1010" s="53"/>
      <c r="AA1010" s="13"/>
    </row>
    <row r="1011" spans="10:27" x14ac:dyDescent="0.3">
      <c r="J1011" s="197"/>
      <c r="K1011" s="198"/>
      <c r="L1011" s="196"/>
      <c r="M1011" s="198"/>
      <c r="N1011" s="202"/>
      <c r="P1011" s="72"/>
      <c r="Q1011" s="71"/>
      <c r="R1011" s="53"/>
      <c r="S1011" s="71"/>
      <c r="T1011" s="53"/>
      <c r="U1011" s="13"/>
      <c r="V1011" s="72"/>
      <c r="W1011" s="71"/>
      <c r="X1011" s="53"/>
      <c r="Y1011" s="71"/>
      <c r="Z1011" s="53"/>
      <c r="AA1011" s="13"/>
    </row>
    <row r="1012" spans="10:27" x14ac:dyDescent="0.3">
      <c r="J1012" s="197"/>
      <c r="K1012" s="198"/>
      <c r="L1012" s="196"/>
      <c r="M1012" s="198"/>
      <c r="N1012" s="202"/>
      <c r="P1012" s="72"/>
      <c r="Q1012" s="71"/>
      <c r="R1012" s="53"/>
      <c r="S1012" s="71"/>
      <c r="T1012" s="53"/>
      <c r="U1012" s="13"/>
      <c r="V1012" s="72"/>
      <c r="W1012" s="71"/>
      <c r="X1012" s="53"/>
      <c r="Y1012" s="71"/>
      <c r="Z1012" s="53"/>
      <c r="AA1012" s="13"/>
    </row>
    <row r="1013" spans="10:27" x14ac:dyDescent="0.3">
      <c r="J1013" s="197"/>
      <c r="K1013" s="198"/>
      <c r="L1013" s="196"/>
      <c r="M1013" s="198"/>
      <c r="N1013" s="202"/>
      <c r="P1013" s="72"/>
      <c r="Q1013" s="71"/>
      <c r="R1013" s="53"/>
      <c r="S1013" s="71"/>
      <c r="T1013" s="53"/>
      <c r="U1013" s="13"/>
      <c r="V1013" s="72"/>
      <c r="W1013" s="71"/>
      <c r="X1013" s="53"/>
      <c r="Y1013" s="71"/>
      <c r="Z1013" s="53"/>
      <c r="AA1013" s="13"/>
    </row>
    <row r="1014" spans="10:27" x14ac:dyDescent="0.3">
      <c r="J1014" s="197"/>
      <c r="K1014" s="198"/>
      <c r="L1014" s="196"/>
      <c r="M1014" s="198"/>
      <c r="N1014" s="202"/>
      <c r="P1014" s="72"/>
      <c r="Q1014" s="71"/>
      <c r="R1014" s="53"/>
      <c r="S1014" s="71"/>
      <c r="T1014" s="53"/>
      <c r="U1014" s="13"/>
      <c r="V1014" s="72"/>
      <c r="W1014" s="71"/>
      <c r="X1014" s="53"/>
      <c r="Y1014" s="71"/>
      <c r="Z1014" s="53"/>
      <c r="AA1014" s="13"/>
    </row>
    <row r="1015" spans="10:27" x14ac:dyDescent="0.3">
      <c r="J1015" s="197"/>
      <c r="K1015" s="198"/>
      <c r="L1015" s="196"/>
      <c r="M1015" s="198"/>
      <c r="N1015" s="202"/>
      <c r="P1015" s="72"/>
      <c r="Q1015" s="71"/>
      <c r="R1015" s="53"/>
      <c r="S1015" s="71"/>
      <c r="T1015" s="53"/>
      <c r="U1015" s="13"/>
      <c r="V1015" s="72"/>
      <c r="W1015" s="71"/>
      <c r="X1015" s="53"/>
      <c r="Y1015" s="71"/>
      <c r="Z1015" s="53"/>
      <c r="AA1015" s="13"/>
    </row>
    <row r="1016" spans="10:27" x14ac:dyDescent="0.3">
      <c r="J1016" s="197"/>
      <c r="K1016" s="198"/>
      <c r="L1016" s="196"/>
      <c r="M1016" s="198"/>
      <c r="N1016" s="202"/>
      <c r="P1016" s="72"/>
      <c r="Q1016" s="71"/>
      <c r="R1016" s="53"/>
      <c r="S1016" s="71"/>
      <c r="T1016" s="53"/>
      <c r="U1016" s="13"/>
      <c r="V1016" s="72"/>
      <c r="W1016" s="71"/>
      <c r="X1016" s="53"/>
      <c r="Y1016" s="71"/>
      <c r="Z1016" s="53"/>
      <c r="AA1016" s="13"/>
    </row>
    <row r="1017" spans="10:27" x14ac:dyDescent="0.3">
      <c r="J1017" s="197"/>
      <c r="K1017" s="198"/>
      <c r="L1017" s="196"/>
      <c r="M1017" s="198"/>
      <c r="N1017" s="202"/>
      <c r="P1017" s="72"/>
      <c r="Q1017" s="71"/>
      <c r="R1017" s="53"/>
      <c r="S1017" s="71"/>
      <c r="T1017" s="53"/>
      <c r="U1017" s="13"/>
      <c r="V1017" s="72"/>
      <c r="W1017" s="71"/>
      <c r="X1017" s="53"/>
      <c r="Y1017" s="71"/>
      <c r="Z1017" s="53"/>
      <c r="AA1017" s="13"/>
    </row>
    <row r="1018" spans="10:27" x14ac:dyDescent="0.3">
      <c r="J1018" s="197"/>
      <c r="K1018" s="198"/>
      <c r="L1018" s="196"/>
      <c r="M1018" s="198"/>
      <c r="N1018" s="202"/>
      <c r="P1018" s="72"/>
      <c r="Q1018" s="71"/>
      <c r="R1018" s="53"/>
      <c r="S1018" s="71"/>
      <c r="T1018" s="53"/>
      <c r="U1018" s="13"/>
      <c r="V1018" s="72"/>
      <c r="W1018" s="71"/>
      <c r="X1018" s="53"/>
      <c r="Y1018" s="71"/>
      <c r="Z1018" s="53"/>
      <c r="AA1018" s="13"/>
    </row>
    <row r="1019" spans="10:27" x14ac:dyDescent="0.3">
      <c r="J1019" s="197"/>
      <c r="K1019" s="198"/>
      <c r="L1019" s="196"/>
      <c r="M1019" s="198"/>
      <c r="N1019" s="202"/>
      <c r="P1019" s="72"/>
      <c r="Q1019" s="71"/>
      <c r="R1019" s="53"/>
      <c r="S1019" s="71"/>
      <c r="T1019" s="53"/>
      <c r="U1019" s="13"/>
      <c r="V1019" s="72"/>
      <c r="W1019" s="71"/>
      <c r="X1019" s="53"/>
      <c r="Y1019" s="71"/>
      <c r="Z1019" s="53"/>
      <c r="AA1019" s="13"/>
    </row>
    <row r="1020" spans="10:27" x14ac:dyDescent="0.3">
      <c r="J1020" s="197"/>
      <c r="K1020" s="198"/>
      <c r="L1020" s="196"/>
      <c r="M1020" s="198"/>
      <c r="N1020" s="202"/>
      <c r="P1020" s="72"/>
      <c r="Q1020" s="71"/>
      <c r="R1020" s="53"/>
      <c r="S1020" s="71"/>
      <c r="T1020" s="53"/>
      <c r="U1020" s="13"/>
      <c r="V1020" s="72"/>
      <c r="W1020" s="71"/>
      <c r="X1020" s="53"/>
      <c r="Y1020" s="71"/>
      <c r="Z1020" s="53"/>
      <c r="AA1020" s="13"/>
    </row>
    <row r="1021" spans="10:27" x14ac:dyDescent="0.3">
      <c r="J1021" s="197"/>
      <c r="K1021" s="198"/>
      <c r="L1021" s="196"/>
      <c r="M1021" s="203"/>
      <c r="N1021" s="202"/>
      <c r="P1021" s="72"/>
      <c r="Q1021" s="71"/>
      <c r="R1021" s="53"/>
      <c r="S1021" s="71"/>
      <c r="T1021" s="53"/>
      <c r="U1021" s="13"/>
      <c r="V1021" s="72"/>
      <c r="W1021" s="71"/>
      <c r="X1021" s="53"/>
      <c r="Y1021" s="71"/>
      <c r="Z1021" s="53"/>
      <c r="AA1021" s="13"/>
    </row>
    <row r="1022" spans="10:27" x14ac:dyDescent="0.3">
      <c r="J1022" s="204"/>
      <c r="K1022" s="203"/>
      <c r="L1022" s="196"/>
      <c r="M1022" s="203"/>
      <c r="N1022" s="202"/>
      <c r="P1022" s="72"/>
      <c r="Q1022" s="71"/>
      <c r="R1022" s="53"/>
      <c r="S1022" s="71"/>
      <c r="T1022" s="53"/>
      <c r="U1022" s="13"/>
      <c r="V1022" s="72"/>
      <c r="W1022" s="71"/>
      <c r="X1022" s="53"/>
      <c r="Y1022" s="71"/>
      <c r="Z1022" s="53"/>
      <c r="AA1022" s="13"/>
    </row>
    <row r="1023" spans="10:27" x14ac:dyDescent="0.3">
      <c r="J1023" s="204"/>
      <c r="K1023" s="203"/>
      <c r="L1023" s="196"/>
      <c r="M1023" s="203"/>
      <c r="N1023" s="202"/>
      <c r="P1023" s="72"/>
      <c r="Q1023" s="71"/>
      <c r="R1023" s="53"/>
      <c r="S1023" s="71"/>
      <c r="T1023" s="53"/>
      <c r="U1023" s="13"/>
      <c r="V1023" s="72"/>
      <c r="W1023" s="71"/>
      <c r="X1023" s="53"/>
      <c r="Y1023" s="71"/>
      <c r="Z1023" s="53"/>
      <c r="AA1023" s="13"/>
    </row>
    <row r="1024" spans="10:27" x14ac:dyDescent="0.3">
      <c r="J1024" s="204"/>
      <c r="K1024" s="203"/>
      <c r="L1024" s="196"/>
      <c r="M1024" s="203"/>
      <c r="N1024" s="202"/>
      <c r="P1024" s="72"/>
      <c r="Q1024" s="71"/>
      <c r="R1024" s="53"/>
      <c r="S1024" s="71"/>
      <c r="T1024" s="53"/>
      <c r="U1024" s="13"/>
      <c r="V1024" s="72"/>
      <c r="W1024" s="71"/>
      <c r="X1024" s="53"/>
      <c r="Y1024" s="71"/>
      <c r="Z1024" s="53"/>
      <c r="AA1024" s="13"/>
    </row>
    <row r="1025" spans="10:27" x14ac:dyDescent="0.3">
      <c r="J1025" s="204"/>
      <c r="K1025" s="203"/>
      <c r="L1025" s="196"/>
      <c r="M1025" s="203"/>
      <c r="N1025" s="202"/>
      <c r="P1025" s="72"/>
      <c r="Q1025" s="71"/>
      <c r="R1025" s="53"/>
      <c r="S1025" s="71"/>
      <c r="T1025" s="53"/>
      <c r="U1025" s="13"/>
      <c r="V1025" s="72"/>
      <c r="W1025" s="71"/>
      <c r="X1025" s="53"/>
      <c r="Y1025" s="71"/>
      <c r="Z1025" s="53"/>
      <c r="AA1025" s="13"/>
    </row>
    <row r="1026" spans="10:27" x14ac:dyDescent="0.3">
      <c r="J1026" s="204"/>
      <c r="K1026" s="203"/>
      <c r="L1026" s="196"/>
      <c r="M1026" s="203"/>
      <c r="N1026" s="202"/>
      <c r="P1026" s="72"/>
      <c r="Q1026" s="71"/>
      <c r="R1026" s="53"/>
      <c r="S1026" s="71"/>
      <c r="T1026" s="53"/>
      <c r="U1026" s="13"/>
      <c r="V1026" s="72"/>
      <c r="W1026" s="71"/>
      <c r="X1026" s="53"/>
      <c r="Y1026" s="71"/>
      <c r="Z1026" s="53"/>
      <c r="AA1026" s="13"/>
    </row>
    <row r="1027" spans="10:27" x14ac:dyDescent="0.3">
      <c r="J1027" s="204"/>
      <c r="K1027" s="203"/>
      <c r="L1027" s="196"/>
      <c r="M1027" s="203"/>
      <c r="N1027" s="202"/>
      <c r="P1027" s="72"/>
      <c r="Q1027" s="71"/>
      <c r="R1027" s="53"/>
      <c r="S1027" s="71"/>
      <c r="T1027" s="53"/>
      <c r="U1027" s="13"/>
      <c r="V1027" s="72"/>
      <c r="W1027" s="71"/>
      <c r="X1027" s="53"/>
      <c r="Y1027" s="71"/>
      <c r="Z1027" s="53"/>
      <c r="AA1027" s="13"/>
    </row>
    <row r="1028" spans="10:27" x14ac:dyDescent="0.3">
      <c r="J1028" s="204"/>
      <c r="K1028" s="203"/>
      <c r="L1028" s="196"/>
      <c r="M1028" s="203"/>
      <c r="N1028" s="202"/>
      <c r="P1028" s="72"/>
      <c r="Q1028" s="71"/>
      <c r="R1028" s="53"/>
      <c r="S1028" s="71"/>
      <c r="T1028" s="53"/>
      <c r="U1028" s="13"/>
      <c r="V1028" s="72"/>
      <c r="W1028" s="71"/>
      <c r="X1028" s="53"/>
      <c r="Y1028" s="71"/>
      <c r="Z1028" s="53"/>
      <c r="AA1028" s="13"/>
    </row>
    <row r="1029" spans="10:27" x14ac:dyDescent="0.3">
      <c r="J1029" s="204"/>
      <c r="K1029" s="203"/>
      <c r="L1029" s="196"/>
      <c r="M1029" s="203"/>
      <c r="N1029" s="202"/>
      <c r="P1029" s="72"/>
      <c r="Q1029" s="71"/>
      <c r="R1029" s="53"/>
      <c r="S1029" s="71"/>
      <c r="T1029" s="53"/>
      <c r="U1029" s="13"/>
      <c r="V1029" s="72"/>
      <c r="W1029" s="71"/>
      <c r="X1029" s="53"/>
      <c r="Y1029" s="71"/>
      <c r="Z1029" s="53"/>
      <c r="AA1029" s="13"/>
    </row>
    <row r="1030" spans="10:27" x14ac:dyDescent="0.3">
      <c r="J1030" s="204"/>
      <c r="K1030" s="203"/>
      <c r="L1030" s="196"/>
      <c r="M1030" s="203"/>
      <c r="N1030" s="202"/>
      <c r="P1030" s="72"/>
      <c r="Q1030" s="71"/>
      <c r="R1030" s="53"/>
      <c r="S1030" s="71"/>
      <c r="T1030" s="53"/>
      <c r="U1030" s="13"/>
      <c r="V1030" s="72"/>
      <c r="W1030" s="71"/>
      <c r="X1030" s="53"/>
      <c r="Y1030" s="71"/>
      <c r="Z1030" s="53"/>
      <c r="AA1030" s="13"/>
    </row>
    <row r="1031" spans="10:27" x14ac:dyDescent="0.3">
      <c r="J1031" s="204"/>
      <c r="K1031" s="203"/>
      <c r="L1031" s="196"/>
      <c r="M1031" s="203"/>
      <c r="N1031" s="202"/>
      <c r="P1031" s="72"/>
      <c r="Q1031" s="71"/>
      <c r="R1031" s="53"/>
      <c r="S1031" s="71"/>
      <c r="T1031" s="53"/>
      <c r="U1031" s="13"/>
      <c r="V1031" s="72"/>
      <c r="W1031" s="71"/>
      <c r="X1031" s="53"/>
      <c r="Y1031" s="71"/>
      <c r="Z1031" s="53"/>
      <c r="AA1031" s="13"/>
    </row>
    <row r="1032" spans="10:27" x14ac:dyDescent="0.3">
      <c r="J1032" s="204"/>
      <c r="K1032" s="203"/>
      <c r="L1032" s="196"/>
      <c r="M1032" s="203"/>
      <c r="N1032" s="202"/>
      <c r="P1032" s="72"/>
      <c r="Q1032" s="71"/>
      <c r="R1032" s="53"/>
      <c r="S1032" s="71"/>
      <c r="T1032" s="53"/>
      <c r="U1032" s="13"/>
      <c r="V1032" s="72"/>
      <c r="W1032" s="71"/>
      <c r="X1032" s="53"/>
      <c r="Y1032" s="71"/>
      <c r="Z1032" s="53"/>
      <c r="AA1032" s="13"/>
    </row>
    <row r="1033" spans="10:27" x14ac:dyDescent="0.3">
      <c r="J1033" s="204"/>
      <c r="K1033" s="203"/>
      <c r="L1033" s="196"/>
      <c r="M1033" s="203"/>
      <c r="N1033" s="202"/>
      <c r="P1033" s="72"/>
      <c r="Q1033" s="71"/>
      <c r="R1033" s="53"/>
      <c r="S1033" s="71"/>
      <c r="T1033" s="53"/>
      <c r="U1033" s="13"/>
      <c r="V1033" s="72"/>
      <c r="W1033" s="71"/>
      <c r="X1033" s="53"/>
      <c r="Y1033" s="71"/>
      <c r="Z1033" s="53"/>
      <c r="AA1033" s="13"/>
    </row>
    <row r="1034" spans="10:27" x14ac:dyDescent="0.3">
      <c r="J1034" s="204"/>
      <c r="K1034" s="203"/>
      <c r="L1034" s="196"/>
      <c r="M1034" s="203"/>
      <c r="N1034" s="202"/>
      <c r="P1034" s="72"/>
      <c r="Q1034" s="71"/>
      <c r="R1034" s="53"/>
      <c r="S1034" s="71"/>
      <c r="T1034" s="53"/>
      <c r="U1034" s="13"/>
      <c r="V1034" s="72"/>
      <c r="W1034" s="71"/>
      <c r="X1034" s="53"/>
      <c r="Y1034" s="71"/>
      <c r="Z1034" s="53"/>
      <c r="AA1034" s="13"/>
    </row>
    <row r="1035" spans="10:27" x14ac:dyDescent="0.3">
      <c r="J1035" s="204"/>
      <c r="K1035" s="203"/>
      <c r="L1035" s="196"/>
      <c r="M1035" s="203"/>
      <c r="N1035" s="202"/>
      <c r="P1035" s="72"/>
      <c r="Q1035" s="71"/>
      <c r="R1035" s="53"/>
      <c r="S1035" s="71"/>
      <c r="T1035" s="53"/>
      <c r="U1035" s="13"/>
      <c r="V1035" s="72"/>
      <c r="W1035" s="71"/>
      <c r="X1035" s="53"/>
      <c r="Y1035" s="71"/>
      <c r="Z1035" s="53"/>
      <c r="AA1035" s="13"/>
    </row>
    <row r="1036" spans="10:27" x14ac:dyDescent="0.3">
      <c r="J1036" s="204"/>
      <c r="K1036" s="203"/>
      <c r="L1036" s="196"/>
      <c r="M1036" s="203"/>
      <c r="N1036" s="202"/>
      <c r="P1036" s="72"/>
      <c r="Q1036" s="71"/>
      <c r="R1036" s="53"/>
      <c r="S1036" s="71"/>
      <c r="T1036" s="53"/>
      <c r="U1036" s="13"/>
      <c r="V1036" s="72"/>
      <c r="W1036" s="71"/>
      <c r="X1036" s="53"/>
      <c r="Y1036" s="71"/>
      <c r="Z1036" s="53"/>
      <c r="AA1036" s="13"/>
    </row>
    <row r="1037" spans="10:27" x14ac:dyDescent="0.3">
      <c r="J1037" s="204"/>
      <c r="K1037" s="203"/>
      <c r="L1037" s="196"/>
      <c r="M1037" s="203"/>
      <c r="N1037" s="202"/>
      <c r="P1037" s="72"/>
      <c r="Q1037" s="71"/>
      <c r="R1037" s="53"/>
      <c r="S1037" s="71"/>
      <c r="T1037" s="53"/>
      <c r="U1037" s="13"/>
      <c r="V1037" s="72"/>
      <c r="W1037" s="71"/>
      <c r="X1037" s="53"/>
      <c r="Y1037" s="71"/>
      <c r="Z1037" s="53"/>
      <c r="AA1037" s="13"/>
    </row>
    <row r="1038" spans="10:27" x14ac:dyDescent="0.3">
      <c r="J1038" s="204"/>
      <c r="K1038" s="203"/>
      <c r="L1038" s="196"/>
      <c r="M1038" s="203"/>
      <c r="N1038" s="202"/>
      <c r="P1038" s="72"/>
      <c r="Q1038" s="71"/>
      <c r="R1038" s="53"/>
      <c r="S1038" s="71"/>
      <c r="T1038" s="53"/>
      <c r="U1038" s="13"/>
      <c r="V1038" s="72"/>
      <c r="W1038" s="71"/>
      <c r="X1038" s="53"/>
      <c r="Y1038" s="71"/>
      <c r="Z1038" s="53"/>
      <c r="AA1038" s="13"/>
    </row>
    <row r="1039" spans="10:27" x14ac:dyDescent="0.3">
      <c r="J1039" s="204"/>
      <c r="K1039" s="203"/>
      <c r="L1039" s="196"/>
      <c r="M1039" s="203"/>
      <c r="N1039" s="202"/>
      <c r="P1039" s="72"/>
      <c r="Q1039" s="71"/>
      <c r="R1039" s="53"/>
      <c r="S1039" s="71"/>
      <c r="T1039" s="53"/>
      <c r="U1039" s="13"/>
      <c r="V1039" s="72"/>
      <c r="W1039" s="71"/>
      <c r="X1039" s="53"/>
      <c r="Y1039" s="71"/>
      <c r="Z1039" s="53"/>
      <c r="AA1039" s="13"/>
    </row>
    <row r="1040" spans="10:27" x14ac:dyDescent="0.3">
      <c r="J1040" s="204"/>
      <c r="K1040" s="203"/>
      <c r="L1040" s="196"/>
      <c r="M1040" s="203"/>
      <c r="N1040" s="202"/>
      <c r="P1040" s="72"/>
      <c r="Q1040" s="71"/>
      <c r="R1040" s="53"/>
      <c r="S1040" s="71"/>
      <c r="T1040" s="53"/>
      <c r="U1040" s="13"/>
      <c r="V1040" s="72"/>
      <c r="W1040" s="71"/>
      <c r="X1040" s="53"/>
      <c r="Y1040" s="71"/>
      <c r="Z1040" s="53"/>
      <c r="AA1040" s="13"/>
    </row>
    <row r="1041" spans="10:27" x14ac:dyDescent="0.3">
      <c r="J1041" s="204"/>
      <c r="K1041" s="203"/>
      <c r="L1041" s="196"/>
      <c r="M1041" s="203"/>
      <c r="N1041" s="202"/>
      <c r="P1041" s="72"/>
      <c r="Q1041" s="71"/>
      <c r="R1041" s="53"/>
      <c r="S1041" s="71"/>
      <c r="T1041" s="53"/>
      <c r="U1041" s="13"/>
      <c r="V1041" s="72"/>
      <c r="W1041" s="71"/>
      <c r="X1041" s="53"/>
      <c r="Y1041" s="71"/>
      <c r="Z1041" s="53"/>
      <c r="AA1041" s="13"/>
    </row>
    <row r="1042" spans="10:27" x14ac:dyDescent="0.3">
      <c r="J1042" s="204"/>
      <c r="K1042" s="203"/>
      <c r="L1042" s="196"/>
      <c r="M1042" s="203"/>
      <c r="N1042" s="202"/>
      <c r="P1042" s="72"/>
      <c r="Q1042" s="71"/>
      <c r="R1042" s="53"/>
      <c r="S1042" s="71"/>
      <c r="T1042" s="53"/>
      <c r="U1042" s="13"/>
      <c r="V1042" s="72"/>
      <c r="W1042" s="71"/>
      <c r="X1042" s="53"/>
      <c r="Y1042" s="71"/>
      <c r="Z1042" s="53"/>
      <c r="AA1042" s="13"/>
    </row>
    <row r="1043" spans="10:27" x14ac:dyDescent="0.3">
      <c r="J1043" s="204"/>
      <c r="K1043" s="203"/>
      <c r="L1043" s="196"/>
      <c r="M1043" s="203"/>
      <c r="N1043" s="202"/>
      <c r="P1043" s="72"/>
      <c r="Q1043" s="71"/>
      <c r="R1043" s="53"/>
      <c r="S1043" s="71"/>
      <c r="T1043" s="53"/>
      <c r="U1043" s="13"/>
      <c r="V1043" s="72"/>
      <c r="W1043" s="71"/>
      <c r="X1043" s="53"/>
      <c r="Y1043" s="71"/>
      <c r="Z1043" s="53"/>
      <c r="AA1043" s="13"/>
    </row>
    <row r="1044" spans="10:27" x14ac:dyDescent="0.3">
      <c r="J1044" s="204"/>
      <c r="K1044" s="203"/>
      <c r="L1044" s="196"/>
      <c r="M1044" s="203"/>
      <c r="N1044" s="202"/>
      <c r="P1044" s="72"/>
      <c r="Q1044" s="71"/>
      <c r="R1044" s="53"/>
      <c r="S1044" s="71"/>
      <c r="T1044" s="53"/>
      <c r="U1044" s="13"/>
      <c r="V1044" s="72"/>
      <c r="W1044" s="71"/>
      <c r="X1044" s="53"/>
      <c r="Y1044" s="71"/>
      <c r="Z1044" s="53"/>
      <c r="AA1044" s="13"/>
    </row>
    <row r="1045" spans="10:27" x14ac:dyDescent="0.3">
      <c r="J1045" s="204"/>
      <c r="K1045" s="203"/>
      <c r="L1045" s="196"/>
      <c r="M1045" s="203"/>
      <c r="N1045" s="202"/>
      <c r="P1045" s="72"/>
      <c r="Q1045" s="71"/>
      <c r="R1045" s="53"/>
      <c r="S1045" s="71"/>
      <c r="T1045" s="53"/>
      <c r="U1045" s="13"/>
      <c r="V1045" s="72"/>
      <c r="W1045" s="71"/>
      <c r="X1045" s="53"/>
      <c r="Y1045" s="71"/>
      <c r="Z1045" s="53"/>
      <c r="AA1045" s="13"/>
    </row>
    <row r="1046" spans="10:27" x14ac:dyDescent="0.3">
      <c r="J1046" s="204"/>
      <c r="K1046" s="203"/>
      <c r="L1046" s="196"/>
      <c r="M1046" s="203"/>
      <c r="N1046" s="202"/>
      <c r="P1046" s="72"/>
      <c r="Q1046" s="71"/>
      <c r="R1046" s="53"/>
      <c r="S1046" s="71"/>
      <c r="T1046" s="53"/>
      <c r="U1046" s="13"/>
      <c r="V1046" s="72"/>
      <c r="W1046" s="71"/>
      <c r="X1046" s="53"/>
      <c r="Y1046" s="71"/>
      <c r="Z1046" s="53"/>
      <c r="AA1046" s="13"/>
    </row>
    <row r="1047" spans="10:27" x14ac:dyDescent="0.3">
      <c r="J1047" s="204"/>
      <c r="K1047" s="203"/>
      <c r="L1047" s="196"/>
      <c r="M1047" s="203"/>
      <c r="N1047" s="202"/>
      <c r="P1047" s="72"/>
      <c r="Q1047" s="71"/>
      <c r="R1047" s="53"/>
      <c r="S1047" s="71"/>
      <c r="T1047" s="53"/>
      <c r="U1047" s="13"/>
      <c r="V1047" s="72"/>
      <c r="W1047" s="71"/>
      <c r="X1047" s="53"/>
      <c r="Y1047" s="71"/>
      <c r="Z1047" s="53"/>
      <c r="AA1047" s="13"/>
    </row>
    <row r="1048" spans="10:27" x14ac:dyDescent="0.3">
      <c r="J1048" s="204"/>
      <c r="K1048" s="203"/>
      <c r="L1048" s="196"/>
      <c r="M1048" s="203"/>
      <c r="N1048" s="202"/>
      <c r="P1048" s="72"/>
      <c r="Q1048" s="71"/>
      <c r="R1048" s="53"/>
      <c r="S1048" s="71"/>
      <c r="T1048" s="53"/>
      <c r="U1048" s="13"/>
      <c r="V1048" s="72"/>
      <c r="W1048" s="71"/>
      <c r="X1048" s="53"/>
      <c r="Y1048" s="71"/>
      <c r="Z1048" s="53"/>
      <c r="AA1048" s="13"/>
    </row>
    <row r="1049" spans="10:27" x14ac:dyDescent="0.3">
      <c r="J1049" s="204"/>
      <c r="K1049" s="203"/>
      <c r="L1049" s="196"/>
      <c r="M1049" s="203"/>
      <c r="N1049" s="202"/>
      <c r="P1049" s="72"/>
      <c r="Q1049" s="71"/>
      <c r="R1049" s="53"/>
      <c r="S1049" s="71"/>
      <c r="T1049" s="53"/>
      <c r="U1049" s="13"/>
      <c r="V1049" s="72"/>
      <c r="W1049" s="71"/>
      <c r="X1049" s="53"/>
      <c r="Y1049" s="71"/>
      <c r="Z1049" s="53"/>
      <c r="AA1049" s="13"/>
    </row>
    <row r="1050" spans="10:27" x14ac:dyDescent="0.3">
      <c r="J1050" s="204"/>
      <c r="K1050" s="203"/>
      <c r="L1050" s="196"/>
      <c r="M1050" s="203"/>
      <c r="N1050" s="202"/>
      <c r="P1050" s="72"/>
      <c r="Q1050" s="71"/>
      <c r="R1050" s="53"/>
      <c r="S1050" s="71"/>
      <c r="T1050" s="53"/>
      <c r="U1050" s="13"/>
      <c r="V1050" s="72"/>
      <c r="W1050" s="71"/>
      <c r="X1050" s="53"/>
      <c r="Y1050" s="71"/>
      <c r="Z1050" s="53"/>
      <c r="AA1050" s="13"/>
    </row>
    <row r="1051" spans="10:27" x14ac:dyDescent="0.3">
      <c r="J1051" s="204"/>
      <c r="K1051" s="203"/>
      <c r="L1051" s="196"/>
      <c r="M1051" s="203"/>
      <c r="N1051" s="202"/>
      <c r="P1051" s="72"/>
      <c r="Q1051" s="71"/>
      <c r="R1051" s="53"/>
      <c r="S1051" s="71"/>
      <c r="T1051" s="53"/>
      <c r="U1051" s="13"/>
      <c r="V1051" s="72"/>
      <c r="W1051" s="71"/>
      <c r="X1051" s="53"/>
      <c r="Y1051" s="71"/>
      <c r="Z1051" s="53"/>
      <c r="AA1051" s="13"/>
    </row>
    <row r="1052" spans="10:27" x14ac:dyDescent="0.3">
      <c r="J1052" s="204"/>
      <c r="K1052" s="203"/>
      <c r="L1052" s="196"/>
      <c r="M1052" s="203"/>
      <c r="N1052" s="202"/>
      <c r="P1052" s="72"/>
      <c r="Q1052" s="71"/>
      <c r="R1052" s="53"/>
      <c r="S1052" s="71"/>
      <c r="T1052" s="53"/>
      <c r="U1052" s="13"/>
      <c r="V1052" s="72"/>
      <c r="W1052" s="71"/>
      <c r="X1052" s="53"/>
      <c r="Y1052" s="71"/>
      <c r="Z1052" s="53"/>
      <c r="AA1052" s="13"/>
    </row>
    <row r="1053" spans="10:27" x14ac:dyDescent="0.3">
      <c r="J1053" s="204"/>
      <c r="K1053" s="203"/>
      <c r="L1053" s="196"/>
      <c r="M1053" s="203"/>
      <c r="N1053" s="202"/>
      <c r="P1053" s="72"/>
      <c r="Q1053" s="71"/>
      <c r="R1053" s="53"/>
      <c r="S1053" s="71"/>
      <c r="T1053" s="53"/>
      <c r="U1053" s="13"/>
      <c r="V1053" s="72"/>
      <c r="W1053" s="71"/>
      <c r="X1053" s="53"/>
      <c r="Y1053" s="71"/>
      <c r="Z1053" s="53"/>
      <c r="AA1053" s="13"/>
    </row>
    <row r="1054" spans="10:27" x14ac:dyDescent="0.3">
      <c r="J1054" s="204"/>
      <c r="K1054" s="203"/>
      <c r="L1054" s="196"/>
      <c r="M1054" s="203"/>
      <c r="N1054" s="202"/>
      <c r="P1054" s="72"/>
      <c r="Q1054" s="71"/>
      <c r="R1054" s="53"/>
      <c r="S1054" s="71"/>
      <c r="T1054" s="53"/>
      <c r="U1054" s="13"/>
      <c r="V1054" s="72"/>
      <c r="W1054" s="71"/>
      <c r="X1054" s="53"/>
      <c r="Y1054" s="71"/>
      <c r="Z1054" s="53"/>
      <c r="AA1054" s="13"/>
    </row>
    <row r="1055" spans="10:27" x14ac:dyDescent="0.3">
      <c r="J1055" s="204"/>
      <c r="K1055" s="203"/>
      <c r="L1055" s="196"/>
      <c r="M1055" s="203"/>
      <c r="N1055" s="202"/>
      <c r="P1055" s="72"/>
      <c r="Q1055" s="71"/>
      <c r="R1055" s="53"/>
      <c r="S1055" s="71"/>
      <c r="T1055" s="53"/>
      <c r="U1055" s="13"/>
      <c r="V1055" s="72"/>
      <c r="W1055" s="71"/>
      <c r="X1055" s="53"/>
      <c r="Y1055" s="71"/>
      <c r="Z1055" s="53"/>
      <c r="AA1055" s="13"/>
    </row>
    <row r="1056" spans="10:27" x14ac:dyDescent="0.3">
      <c r="J1056" s="204"/>
      <c r="K1056" s="203"/>
      <c r="L1056" s="196"/>
      <c r="M1056" s="203"/>
      <c r="N1056" s="202"/>
      <c r="P1056" s="72"/>
      <c r="Q1056" s="71"/>
      <c r="R1056" s="53"/>
      <c r="S1056" s="71"/>
      <c r="T1056" s="53"/>
      <c r="U1056" s="13"/>
      <c r="V1056" s="72"/>
      <c r="W1056" s="71"/>
      <c r="X1056" s="53"/>
      <c r="Y1056" s="71"/>
      <c r="Z1056" s="53"/>
      <c r="AA1056" s="13"/>
    </row>
    <row r="1057" spans="10:27" x14ac:dyDescent="0.3">
      <c r="J1057" s="204"/>
      <c r="K1057" s="203"/>
      <c r="L1057" s="196"/>
      <c r="M1057" s="203"/>
      <c r="N1057" s="202"/>
      <c r="P1057" s="72"/>
      <c r="Q1057" s="71"/>
      <c r="R1057" s="53"/>
      <c r="S1057" s="71"/>
      <c r="T1057" s="53"/>
      <c r="U1057" s="13"/>
      <c r="V1057" s="72"/>
      <c r="W1057" s="71"/>
      <c r="X1057" s="53"/>
      <c r="Y1057" s="71"/>
      <c r="Z1057" s="53"/>
      <c r="AA1057" s="13"/>
    </row>
    <row r="1058" spans="10:27" x14ac:dyDescent="0.3">
      <c r="J1058" s="204"/>
      <c r="K1058" s="203"/>
      <c r="L1058" s="196"/>
      <c r="M1058" s="203"/>
      <c r="N1058" s="202"/>
      <c r="P1058" s="72"/>
      <c r="Q1058" s="71"/>
      <c r="R1058" s="53"/>
      <c r="S1058" s="71"/>
      <c r="T1058" s="53"/>
      <c r="U1058" s="13"/>
      <c r="V1058" s="72"/>
      <c r="W1058" s="71"/>
      <c r="X1058" s="53"/>
      <c r="Y1058" s="71"/>
      <c r="Z1058" s="53"/>
      <c r="AA1058" s="13"/>
    </row>
    <row r="1059" spans="10:27" x14ac:dyDescent="0.3">
      <c r="J1059" s="204"/>
      <c r="K1059" s="203"/>
      <c r="L1059" s="196"/>
      <c r="M1059" s="203"/>
      <c r="N1059" s="202"/>
      <c r="P1059" s="72"/>
      <c r="Q1059" s="71"/>
      <c r="R1059" s="53"/>
      <c r="S1059" s="71"/>
      <c r="T1059" s="53"/>
      <c r="U1059" s="13"/>
      <c r="V1059" s="72"/>
      <c r="W1059" s="71"/>
      <c r="X1059" s="53"/>
      <c r="Y1059" s="71"/>
      <c r="Z1059" s="53"/>
      <c r="AA1059" s="13"/>
    </row>
    <row r="1060" spans="10:27" x14ac:dyDescent="0.3">
      <c r="J1060" s="204"/>
      <c r="K1060" s="203"/>
      <c r="L1060" s="196"/>
      <c r="M1060" s="203"/>
      <c r="N1060" s="202"/>
      <c r="P1060" s="72"/>
      <c r="Q1060" s="71"/>
      <c r="R1060" s="53"/>
      <c r="S1060" s="71"/>
      <c r="T1060" s="53"/>
      <c r="U1060" s="13"/>
      <c r="V1060" s="72"/>
      <c r="W1060" s="71"/>
      <c r="X1060" s="53"/>
      <c r="Y1060" s="71"/>
      <c r="Z1060" s="53"/>
      <c r="AA1060" s="13"/>
    </row>
    <row r="1061" spans="10:27" x14ac:dyDescent="0.3">
      <c r="J1061" s="204"/>
      <c r="K1061" s="203"/>
      <c r="L1061" s="196"/>
      <c r="M1061" s="203"/>
      <c r="N1061" s="202"/>
      <c r="P1061" s="72"/>
      <c r="Q1061" s="71"/>
      <c r="R1061" s="53"/>
      <c r="S1061" s="71"/>
      <c r="T1061" s="53"/>
      <c r="U1061" s="13"/>
      <c r="V1061" s="72"/>
      <c r="W1061" s="71"/>
      <c r="X1061" s="53"/>
      <c r="Y1061" s="71"/>
      <c r="Z1061" s="53"/>
      <c r="AA1061" s="13"/>
    </row>
    <row r="1062" spans="10:27" x14ac:dyDescent="0.3">
      <c r="J1062" s="204"/>
      <c r="K1062" s="203"/>
      <c r="L1062" s="196"/>
      <c r="M1062" s="203"/>
      <c r="N1062" s="202"/>
      <c r="P1062" s="72"/>
      <c r="Q1062" s="71"/>
      <c r="R1062" s="53"/>
      <c r="S1062" s="71"/>
      <c r="T1062" s="53"/>
      <c r="U1062" s="13"/>
      <c r="V1062" s="72"/>
      <c r="W1062" s="71"/>
      <c r="X1062" s="53"/>
      <c r="Y1062" s="71"/>
      <c r="Z1062" s="53"/>
      <c r="AA1062" s="13"/>
    </row>
    <row r="1063" spans="10:27" x14ac:dyDescent="0.3">
      <c r="J1063" s="204"/>
      <c r="K1063" s="203"/>
      <c r="L1063" s="196"/>
      <c r="M1063" s="203"/>
      <c r="N1063" s="202"/>
      <c r="P1063" s="72"/>
      <c r="Q1063" s="71"/>
      <c r="R1063" s="53"/>
      <c r="S1063" s="71"/>
      <c r="T1063" s="53"/>
      <c r="U1063" s="13"/>
      <c r="V1063" s="72"/>
      <c r="W1063" s="71"/>
      <c r="X1063" s="53"/>
      <c r="Y1063" s="71"/>
      <c r="Z1063" s="53"/>
      <c r="AA1063" s="13"/>
    </row>
    <row r="1064" spans="10:27" x14ac:dyDescent="0.3">
      <c r="J1064" s="204"/>
      <c r="K1064" s="203"/>
      <c r="L1064" s="196"/>
      <c r="M1064" s="203"/>
      <c r="N1064" s="202"/>
      <c r="P1064" s="72"/>
      <c r="Q1064" s="71"/>
      <c r="R1064" s="53"/>
      <c r="S1064" s="71"/>
      <c r="T1064" s="53"/>
      <c r="U1064" s="13"/>
      <c r="V1064" s="72"/>
      <c r="W1064" s="71"/>
      <c r="X1064" s="53"/>
      <c r="Y1064" s="71"/>
      <c r="Z1064" s="53"/>
      <c r="AA1064" s="13"/>
    </row>
    <row r="1065" spans="10:27" x14ac:dyDescent="0.3">
      <c r="J1065" s="204"/>
      <c r="K1065" s="203"/>
      <c r="L1065" s="196"/>
      <c r="M1065" s="203"/>
      <c r="N1065" s="202"/>
      <c r="P1065" s="72"/>
      <c r="Q1065" s="71"/>
      <c r="R1065" s="53"/>
      <c r="S1065" s="71"/>
      <c r="T1065" s="53"/>
      <c r="U1065" s="13"/>
      <c r="V1065" s="72"/>
      <c r="W1065" s="71"/>
      <c r="X1065" s="53"/>
      <c r="Y1065" s="71"/>
      <c r="Z1065" s="53"/>
      <c r="AA1065" s="13"/>
    </row>
    <row r="1066" spans="10:27" x14ac:dyDescent="0.3">
      <c r="J1066" s="204"/>
      <c r="K1066" s="203"/>
      <c r="L1066" s="196"/>
      <c r="M1066" s="203"/>
      <c r="N1066" s="202"/>
      <c r="P1066" s="72"/>
      <c r="Q1066" s="71"/>
      <c r="R1066" s="53"/>
      <c r="S1066" s="71"/>
      <c r="T1066" s="53"/>
      <c r="U1066" s="13"/>
      <c r="V1066" s="72"/>
      <c r="W1066" s="71"/>
      <c r="X1066" s="53"/>
      <c r="Y1066" s="71"/>
      <c r="Z1066" s="53"/>
      <c r="AA1066" s="13"/>
    </row>
    <row r="1067" spans="10:27" x14ac:dyDescent="0.3">
      <c r="J1067" s="204"/>
      <c r="K1067" s="203"/>
      <c r="L1067" s="196"/>
      <c r="M1067" s="203"/>
      <c r="N1067" s="202"/>
      <c r="P1067" s="72"/>
      <c r="Q1067" s="71"/>
      <c r="R1067" s="53"/>
      <c r="S1067" s="71"/>
      <c r="T1067" s="53"/>
      <c r="U1067" s="13"/>
      <c r="V1067" s="72"/>
      <c r="W1067" s="71"/>
      <c r="X1067" s="53"/>
      <c r="Y1067" s="71"/>
      <c r="Z1067" s="53"/>
      <c r="AA1067" s="13"/>
    </row>
    <row r="1068" spans="10:27" x14ac:dyDescent="0.3">
      <c r="J1068" s="204"/>
      <c r="K1068" s="203"/>
      <c r="L1068" s="196"/>
      <c r="M1068" s="203"/>
      <c r="N1068" s="202"/>
      <c r="P1068" s="72"/>
      <c r="Q1068" s="71"/>
      <c r="R1068" s="53"/>
      <c r="S1068" s="71"/>
      <c r="T1068" s="53"/>
      <c r="U1068" s="13"/>
      <c r="V1068" s="72"/>
      <c r="W1068" s="71"/>
      <c r="X1068" s="53"/>
      <c r="Y1068" s="71"/>
      <c r="Z1068" s="53"/>
      <c r="AA1068" s="13"/>
    </row>
    <row r="1069" spans="10:27" x14ac:dyDescent="0.3">
      <c r="J1069" s="204"/>
      <c r="K1069" s="203"/>
      <c r="L1069" s="196"/>
      <c r="M1069" s="203"/>
      <c r="N1069" s="202"/>
      <c r="P1069" s="72"/>
      <c r="Q1069" s="71"/>
      <c r="R1069" s="53"/>
      <c r="S1069" s="71"/>
      <c r="T1069" s="53"/>
      <c r="U1069" s="13"/>
      <c r="V1069" s="72"/>
      <c r="W1069" s="71"/>
      <c r="X1069" s="53"/>
      <c r="Y1069" s="71"/>
      <c r="Z1069" s="53"/>
      <c r="AA1069" s="13"/>
    </row>
    <row r="1070" spans="10:27" x14ac:dyDescent="0.3">
      <c r="J1070" s="204"/>
      <c r="K1070" s="203"/>
      <c r="L1070" s="196"/>
      <c r="M1070" s="203"/>
      <c r="N1070" s="202"/>
      <c r="P1070" s="72"/>
      <c r="Q1070" s="71"/>
      <c r="R1070" s="53"/>
      <c r="S1070" s="71"/>
      <c r="T1070" s="53"/>
      <c r="U1070" s="13"/>
      <c r="V1070" s="72"/>
      <c r="W1070" s="71"/>
      <c r="X1070" s="53"/>
      <c r="Y1070" s="71"/>
      <c r="Z1070" s="53"/>
      <c r="AA1070" s="13"/>
    </row>
    <row r="1071" spans="10:27" x14ac:dyDescent="0.3">
      <c r="J1071" s="204"/>
      <c r="K1071" s="203"/>
      <c r="L1071" s="196"/>
      <c r="M1071" s="203"/>
      <c r="N1071" s="202"/>
      <c r="P1071" s="72"/>
      <c r="Q1071" s="71"/>
      <c r="R1071" s="53"/>
      <c r="S1071" s="71"/>
      <c r="T1071" s="53"/>
      <c r="U1071" s="13"/>
      <c r="V1071" s="72"/>
      <c r="W1071" s="71"/>
      <c r="X1071" s="53"/>
      <c r="Y1071" s="71"/>
      <c r="Z1071" s="53"/>
      <c r="AA1071" s="13"/>
    </row>
    <row r="1072" spans="10:27" x14ac:dyDescent="0.3">
      <c r="J1072" s="204"/>
      <c r="K1072" s="203"/>
      <c r="L1072" s="196"/>
      <c r="M1072" s="203"/>
      <c r="N1072" s="202"/>
      <c r="P1072" s="72"/>
      <c r="Q1072" s="71"/>
      <c r="R1072" s="53"/>
      <c r="S1072" s="71"/>
      <c r="T1072" s="53"/>
      <c r="U1072" s="13"/>
      <c r="V1072" s="72"/>
      <c r="W1072" s="71"/>
      <c r="X1072" s="53"/>
      <c r="Y1072" s="71"/>
      <c r="Z1072" s="53"/>
      <c r="AA1072" s="13"/>
    </row>
    <row r="1073" spans="10:27" x14ac:dyDescent="0.3">
      <c r="J1073" s="204"/>
      <c r="K1073" s="203"/>
      <c r="L1073" s="196"/>
      <c r="M1073" s="203"/>
      <c r="N1073" s="202"/>
      <c r="P1073" s="72"/>
      <c r="Q1073" s="71"/>
      <c r="R1073" s="53"/>
      <c r="S1073" s="71"/>
      <c r="T1073" s="53"/>
      <c r="U1073" s="13"/>
      <c r="V1073" s="72"/>
      <c r="W1073" s="71"/>
      <c r="X1073" s="53"/>
      <c r="Y1073" s="71"/>
      <c r="Z1073" s="53"/>
      <c r="AA1073" s="13"/>
    </row>
    <row r="1074" spans="10:27" x14ac:dyDescent="0.3">
      <c r="J1074" s="204"/>
      <c r="K1074" s="203"/>
      <c r="L1074" s="196"/>
      <c r="M1074" s="203"/>
      <c r="N1074" s="202"/>
      <c r="P1074" s="72"/>
      <c r="Q1074" s="71"/>
      <c r="R1074" s="53"/>
      <c r="S1074" s="71"/>
      <c r="T1074" s="53"/>
      <c r="U1074" s="13"/>
      <c r="V1074" s="72"/>
      <c r="W1074" s="71"/>
      <c r="X1074" s="53"/>
      <c r="Y1074" s="71"/>
      <c r="Z1074" s="53"/>
      <c r="AA1074" s="13"/>
    </row>
    <row r="1075" spans="10:27" x14ac:dyDescent="0.3">
      <c r="J1075" s="204"/>
      <c r="K1075" s="203"/>
      <c r="L1075" s="196"/>
      <c r="M1075" s="203"/>
      <c r="N1075" s="202"/>
      <c r="P1075" s="72"/>
      <c r="Q1075" s="71"/>
      <c r="R1075" s="53"/>
      <c r="S1075" s="71"/>
      <c r="T1075" s="53"/>
      <c r="U1075" s="13"/>
      <c r="V1075" s="72"/>
      <c r="W1075" s="71"/>
      <c r="X1075" s="53"/>
      <c r="Y1075" s="71"/>
      <c r="Z1075" s="53"/>
      <c r="AA1075" s="13"/>
    </row>
    <row r="1076" spans="10:27" x14ac:dyDescent="0.3">
      <c r="J1076" s="204"/>
      <c r="K1076" s="203"/>
      <c r="L1076" s="196"/>
      <c r="M1076" s="203"/>
      <c r="N1076" s="202"/>
      <c r="P1076" s="72"/>
      <c r="Q1076" s="71"/>
      <c r="R1076" s="53"/>
      <c r="S1076" s="71"/>
      <c r="T1076" s="53"/>
      <c r="U1076" s="13"/>
      <c r="V1076" s="72"/>
      <c r="W1076" s="71"/>
      <c r="X1076" s="53"/>
      <c r="Y1076" s="71"/>
      <c r="Z1076" s="53"/>
      <c r="AA1076" s="13"/>
    </row>
    <row r="1077" spans="10:27" x14ac:dyDescent="0.3">
      <c r="J1077" s="204"/>
      <c r="K1077" s="203"/>
      <c r="L1077" s="196"/>
      <c r="M1077" s="203"/>
      <c r="N1077" s="202"/>
      <c r="P1077" s="72"/>
      <c r="Q1077" s="71"/>
      <c r="R1077" s="53"/>
      <c r="S1077" s="71"/>
      <c r="T1077" s="53"/>
      <c r="U1077" s="13"/>
      <c r="V1077" s="72"/>
      <c r="W1077" s="71"/>
      <c r="X1077" s="53"/>
      <c r="Y1077" s="71"/>
      <c r="Z1077" s="53"/>
      <c r="AA1077" s="13"/>
    </row>
    <row r="1078" spans="10:27" x14ac:dyDescent="0.3">
      <c r="J1078" s="204"/>
      <c r="K1078" s="203"/>
      <c r="L1078" s="196"/>
      <c r="M1078" s="203"/>
      <c r="N1078" s="202"/>
      <c r="P1078" s="72"/>
      <c r="Q1078" s="71"/>
      <c r="R1078" s="53"/>
      <c r="S1078" s="71"/>
      <c r="T1078" s="53"/>
      <c r="U1078" s="13"/>
      <c r="V1078" s="72"/>
      <c r="W1078" s="71"/>
      <c r="X1078" s="53"/>
      <c r="Y1078" s="71"/>
      <c r="Z1078" s="53"/>
      <c r="AA1078" s="13"/>
    </row>
    <row r="1079" spans="10:27" x14ac:dyDescent="0.3">
      <c r="J1079" s="204"/>
      <c r="K1079" s="203"/>
      <c r="L1079" s="196"/>
      <c r="M1079" s="203"/>
      <c r="N1079" s="202"/>
      <c r="P1079" s="72"/>
      <c r="Q1079" s="71"/>
      <c r="R1079" s="53"/>
      <c r="S1079" s="71"/>
      <c r="T1079" s="53"/>
      <c r="U1079" s="13"/>
      <c r="V1079" s="72"/>
      <c r="W1079" s="71"/>
      <c r="X1079" s="53"/>
      <c r="Y1079" s="71"/>
      <c r="Z1079" s="53"/>
      <c r="AA1079" s="13"/>
    </row>
    <row r="1080" spans="10:27" x14ac:dyDescent="0.3">
      <c r="J1080" s="204"/>
      <c r="K1080" s="203"/>
      <c r="L1080" s="196"/>
      <c r="M1080" s="203"/>
      <c r="N1080" s="202"/>
      <c r="P1080" s="72"/>
      <c r="Q1080" s="71"/>
      <c r="R1080" s="53"/>
      <c r="S1080" s="71"/>
      <c r="T1080" s="53"/>
      <c r="U1080" s="13"/>
      <c r="V1080" s="72"/>
      <c r="W1080" s="71"/>
      <c r="X1080" s="53"/>
      <c r="Y1080" s="71"/>
      <c r="Z1080" s="53"/>
      <c r="AA1080" s="13"/>
    </row>
    <row r="1081" spans="10:27" x14ac:dyDescent="0.3">
      <c r="J1081" s="204"/>
      <c r="K1081" s="203"/>
      <c r="L1081" s="196"/>
      <c r="M1081" s="203"/>
      <c r="N1081" s="202"/>
      <c r="P1081" s="72"/>
      <c r="Q1081" s="71"/>
      <c r="R1081" s="53"/>
      <c r="S1081" s="71"/>
      <c r="T1081" s="53"/>
      <c r="U1081" s="13"/>
      <c r="V1081" s="72"/>
      <c r="W1081" s="71"/>
      <c r="X1081" s="53"/>
      <c r="Y1081" s="71"/>
      <c r="Z1081" s="53"/>
      <c r="AA1081" s="13"/>
    </row>
    <row r="1082" spans="10:27" x14ac:dyDescent="0.3">
      <c r="J1082" s="204"/>
      <c r="K1082" s="203"/>
      <c r="L1082" s="196"/>
      <c r="M1082" s="203"/>
      <c r="N1082" s="202"/>
      <c r="P1082" s="72"/>
      <c r="Q1082" s="71"/>
      <c r="R1082" s="53"/>
      <c r="S1082" s="71"/>
      <c r="T1082" s="53"/>
      <c r="U1082" s="13"/>
      <c r="V1082" s="72"/>
      <c r="W1082" s="71"/>
      <c r="X1082" s="53"/>
      <c r="Y1082" s="71"/>
      <c r="Z1082" s="53"/>
      <c r="AA1082" s="13"/>
    </row>
    <row r="1083" spans="10:27" x14ac:dyDescent="0.3">
      <c r="J1083" s="204"/>
      <c r="K1083" s="203"/>
      <c r="L1083" s="196"/>
      <c r="M1083" s="203"/>
      <c r="N1083" s="202"/>
      <c r="P1083" s="72"/>
      <c r="Q1083" s="71"/>
      <c r="R1083" s="53"/>
      <c r="S1083" s="71"/>
      <c r="T1083" s="53"/>
      <c r="U1083" s="13"/>
      <c r="V1083" s="72"/>
      <c r="W1083" s="71"/>
      <c r="X1083" s="53"/>
      <c r="Y1083" s="71"/>
      <c r="Z1083" s="53"/>
      <c r="AA1083" s="13"/>
    </row>
    <row r="1084" spans="10:27" x14ac:dyDescent="0.3">
      <c r="J1084" s="204"/>
      <c r="K1084" s="203"/>
      <c r="L1084" s="196"/>
      <c r="M1084" s="203"/>
      <c r="N1084" s="202"/>
      <c r="P1084" s="72"/>
      <c r="Q1084" s="71"/>
      <c r="R1084" s="53"/>
      <c r="S1084" s="71"/>
      <c r="T1084" s="53"/>
      <c r="U1084" s="13"/>
      <c r="V1084" s="72"/>
      <c r="W1084" s="71"/>
      <c r="X1084" s="53"/>
      <c r="Y1084" s="71"/>
      <c r="Z1084" s="53"/>
      <c r="AA1084" s="13"/>
    </row>
    <row r="1085" spans="10:27" x14ac:dyDescent="0.3">
      <c r="J1085" s="204"/>
      <c r="K1085" s="203"/>
      <c r="L1085" s="196"/>
      <c r="M1085" s="203"/>
      <c r="N1085" s="202"/>
      <c r="P1085" s="72"/>
      <c r="Q1085" s="71"/>
      <c r="R1085" s="53"/>
      <c r="S1085" s="71"/>
      <c r="T1085" s="53"/>
      <c r="U1085" s="13"/>
      <c r="V1085" s="72"/>
      <c r="W1085" s="71"/>
      <c r="X1085" s="53"/>
      <c r="Y1085" s="71"/>
      <c r="Z1085" s="53"/>
      <c r="AA1085" s="13"/>
    </row>
    <row r="1086" spans="10:27" x14ac:dyDescent="0.3">
      <c r="J1086" s="204"/>
      <c r="K1086" s="203"/>
      <c r="L1086" s="196"/>
      <c r="M1086" s="203"/>
      <c r="N1086" s="202"/>
      <c r="P1086" s="72"/>
      <c r="Q1086" s="71"/>
      <c r="R1086" s="53"/>
      <c r="S1086" s="71"/>
      <c r="T1086" s="53"/>
      <c r="U1086" s="13"/>
      <c r="V1086" s="72"/>
      <c r="W1086" s="71"/>
      <c r="X1086" s="53"/>
      <c r="Y1086" s="71"/>
      <c r="Z1086" s="53"/>
      <c r="AA1086" s="13"/>
    </row>
    <row r="1087" spans="10:27" x14ac:dyDescent="0.3">
      <c r="J1087" s="204"/>
      <c r="K1087" s="203"/>
      <c r="L1087" s="196"/>
      <c r="M1087" s="203"/>
      <c r="N1087" s="202"/>
      <c r="P1087" s="72"/>
      <c r="Q1087" s="71"/>
      <c r="R1087" s="53"/>
      <c r="S1087" s="71"/>
      <c r="T1087" s="53"/>
      <c r="U1087" s="13"/>
      <c r="V1087" s="72"/>
      <c r="W1087" s="71"/>
      <c r="X1087" s="53"/>
      <c r="Y1087" s="71"/>
      <c r="Z1087" s="53"/>
      <c r="AA1087" s="13"/>
    </row>
    <row r="1088" spans="10:27" x14ac:dyDescent="0.3">
      <c r="J1088" s="204"/>
      <c r="K1088" s="203"/>
      <c r="L1088" s="196"/>
      <c r="M1088" s="203"/>
      <c r="N1088" s="202"/>
      <c r="P1088" s="72"/>
      <c r="Q1088" s="71"/>
      <c r="R1088" s="53"/>
      <c r="S1088" s="71"/>
      <c r="T1088" s="53"/>
      <c r="U1088" s="13"/>
      <c r="V1088" s="72"/>
      <c r="W1088" s="71"/>
      <c r="X1088" s="53"/>
      <c r="Y1088" s="71"/>
      <c r="Z1088" s="53"/>
      <c r="AA1088" s="13"/>
    </row>
    <row r="1089" spans="10:27" x14ac:dyDescent="0.3">
      <c r="J1089" s="204"/>
      <c r="K1089" s="203"/>
      <c r="L1089" s="196"/>
      <c r="M1089" s="203"/>
      <c r="N1089" s="202"/>
      <c r="P1089" s="72"/>
      <c r="Q1089" s="71"/>
      <c r="R1089" s="53"/>
      <c r="S1089" s="71"/>
      <c r="T1089" s="53"/>
      <c r="U1089" s="13"/>
      <c r="V1089" s="72"/>
      <c r="W1089" s="71"/>
      <c r="X1089" s="53"/>
      <c r="Y1089" s="71"/>
      <c r="Z1089" s="53"/>
      <c r="AA1089" s="13"/>
    </row>
    <row r="1090" spans="10:27" x14ac:dyDescent="0.3">
      <c r="J1090" s="204"/>
      <c r="K1090" s="203"/>
      <c r="L1090" s="196"/>
      <c r="M1090" s="203"/>
      <c r="N1090" s="202"/>
      <c r="P1090" s="72"/>
      <c r="Q1090" s="71"/>
      <c r="R1090" s="53"/>
      <c r="S1090" s="71"/>
      <c r="T1090" s="53"/>
      <c r="U1090" s="13"/>
      <c r="V1090" s="72"/>
      <c r="W1090" s="71"/>
      <c r="X1090" s="53"/>
      <c r="Y1090" s="71"/>
      <c r="Z1090" s="53"/>
      <c r="AA1090" s="13"/>
    </row>
    <row r="1091" spans="10:27" x14ac:dyDescent="0.3">
      <c r="J1091" s="204"/>
      <c r="K1091" s="203"/>
      <c r="L1091" s="196"/>
      <c r="M1091" s="203"/>
      <c r="N1091" s="202"/>
      <c r="P1091" s="72"/>
      <c r="Q1091" s="71"/>
      <c r="R1091" s="53"/>
      <c r="S1091" s="71"/>
      <c r="T1091" s="53"/>
      <c r="U1091" s="13"/>
      <c r="V1091" s="72"/>
      <c r="W1091" s="71"/>
      <c r="X1091" s="53"/>
      <c r="Y1091" s="71"/>
      <c r="Z1091" s="53"/>
      <c r="AA1091" s="13"/>
    </row>
    <row r="1092" spans="10:27" x14ac:dyDescent="0.3">
      <c r="J1092" s="204"/>
      <c r="K1092" s="203"/>
      <c r="L1092" s="196"/>
      <c r="M1092" s="203"/>
      <c r="N1092" s="202"/>
      <c r="P1092" s="72"/>
      <c r="Q1092" s="71"/>
      <c r="R1092" s="53"/>
      <c r="S1092" s="71"/>
      <c r="T1092" s="53"/>
      <c r="U1092" s="13"/>
      <c r="V1092" s="72"/>
      <c r="W1092" s="71"/>
      <c r="X1092" s="53"/>
      <c r="Y1092" s="71"/>
      <c r="Z1092" s="53"/>
      <c r="AA1092" s="13"/>
    </row>
    <row r="1093" spans="10:27" x14ac:dyDescent="0.3">
      <c r="J1093" s="204"/>
      <c r="K1093" s="203"/>
      <c r="L1093" s="196"/>
      <c r="M1093" s="203"/>
      <c r="N1093" s="202"/>
      <c r="P1093" s="72"/>
      <c r="Q1093" s="71"/>
      <c r="R1093" s="53"/>
      <c r="S1093" s="71"/>
      <c r="T1093" s="53"/>
      <c r="U1093" s="13"/>
      <c r="V1093" s="72"/>
      <c r="W1093" s="71"/>
      <c r="X1093" s="53"/>
      <c r="Y1093" s="71"/>
      <c r="Z1093" s="53"/>
      <c r="AA1093" s="13"/>
    </row>
    <row r="1094" spans="10:27" x14ac:dyDescent="0.3">
      <c r="J1094" s="204"/>
      <c r="K1094" s="203"/>
      <c r="L1094" s="196"/>
      <c r="M1094" s="203"/>
      <c r="N1094" s="202"/>
      <c r="P1094" s="72"/>
      <c r="Q1094" s="71"/>
      <c r="R1094" s="53"/>
      <c r="S1094" s="71"/>
      <c r="T1094" s="53"/>
      <c r="U1094" s="13"/>
      <c r="V1094" s="72"/>
      <c r="W1094" s="71"/>
      <c r="X1094" s="53"/>
      <c r="Y1094" s="71"/>
      <c r="Z1094" s="53"/>
      <c r="AA1094" s="13"/>
    </row>
    <row r="1095" spans="10:27" x14ac:dyDescent="0.3">
      <c r="J1095" s="204"/>
      <c r="K1095" s="203"/>
      <c r="L1095" s="196"/>
      <c r="M1095" s="203"/>
      <c r="N1095" s="202"/>
      <c r="P1095" s="72"/>
      <c r="Q1095" s="71"/>
      <c r="R1095" s="53"/>
      <c r="S1095" s="71"/>
      <c r="T1095" s="53"/>
      <c r="U1095" s="13"/>
      <c r="V1095" s="72"/>
      <c r="W1095" s="71"/>
      <c r="X1095" s="53"/>
      <c r="Y1095" s="71"/>
      <c r="Z1095" s="53"/>
      <c r="AA1095" s="13"/>
    </row>
    <row r="1096" spans="10:27" x14ac:dyDescent="0.3">
      <c r="J1096" s="204"/>
      <c r="K1096" s="203"/>
      <c r="L1096" s="196"/>
      <c r="M1096" s="203"/>
      <c r="N1096" s="202"/>
      <c r="P1096" s="72"/>
      <c r="Q1096" s="71"/>
      <c r="R1096" s="53"/>
      <c r="S1096" s="71"/>
      <c r="T1096" s="53"/>
      <c r="U1096" s="13"/>
      <c r="V1096" s="72"/>
      <c r="W1096" s="71"/>
      <c r="X1096" s="53"/>
      <c r="Y1096" s="71"/>
      <c r="Z1096" s="53"/>
      <c r="AA1096" s="13"/>
    </row>
    <row r="1097" spans="10:27" x14ac:dyDescent="0.3">
      <c r="J1097" s="204"/>
      <c r="K1097" s="203"/>
      <c r="L1097" s="196"/>
      <c r="M1097" s="203"/>
      <c r="N1097" s="202"/>
      <c r="P1097" s="72"/>
      <c r="Q1097" s="71"/>
      <c r="R1097" s="53"/>
      <c r="S1097" s="71"/>
      <c r="T1097" s="53"/>
      <c r="U1097" s="13"/>
      <c r="V1097" s="72"/>
      <c r="W1097" s="71"/>
      <c r="X1097" s="53"/>
      <c r="Y1097" s="71"/>
      <c r="Z1097" s="53"/>
      <c r="AA1097" s="13"/>
    </row>
    <row r="1098" spans="10:27" x14ac:dyDescent="0.3">
      <c r="J1098" s="204"/>
      <c r="K1098" s="203"/>
      <c r="L1098" s="196"/>
      <c r="M1098" s="203"/>
      <c r="N1098" s="202"/>
      <c r="P1098" s="72"/>
      <c r="Q1098" s="71"/>
      <c r="R1098" s="53"/>
      <c r="S1098" s="71"/>
      <c r="T1098" s="53"/>
      <c r="U1098" s="13"/>
      <c r="V1098" s="72"/>
      <c r="W1098" s="71"/>
      <c r="X1098" s="53"/>
      <c r="Y1098" s="71"/>
      <c r="Z1098" s="53"/>
      <c r="AA1098" s="13"/>
    </row>
    <row r="1099" spans="10:27" x14ac:dyDescent="0.3">
      <c r="J1099" s="204"/>
      <c r="K1099" s="203"/>
      <c r="L1099" s="196"/>
      <c r="M1099" s="203"/>
      <c r="N1099" s="202"/>
      <c r="P1099" s="72"/>
      <c r="Q1099" s="71"/>
      <c r="R1099" s="53"/>
      <c r="S1099" s="71"/>
      <c r="T1099" s="53"/>
      <c r="U1099" s="13"/>
      <c r="V1099" s="72"/>
      <c r="W1099" s="71"/>
      <c r="X1099" s="53"/>
      <c r="Y1099" s="71"/>
      <c r="Z1099" s="53"/>
      <c r="AA1099" s="13"/>
    </row>
    <row r="1100" spans="10:27" x14ac:dyDescent="0.3">
      <c r="J1100" s="204"/>
      <c r="K1100" s="203"/>
      <c r="L1100" s="196"/>
      <c r="M1100" s="203"/>
      <c r="N1100" s="202"/>
      <c r="P1100" s="72"/>
      <c r="Q1100" s="71"/>
      <c r="R1100" s="53"/>
      <c r="S1100" s="71"/>
      <c r="T1100" s="53"/>
      <c r="U1100" s="13"/>
      <c r="V1100" s="72"/>
      <c r="W1100" s="71"/>
      <c r="X1100" s="53"/>
      <c r="Y1100" s="71"/>
      <c r="Z1100" s="53"/>
      <c r="AA1100" s="13"/>
    </row>
    <row r="1101" spans="10:27" x14ac:dyDescent="0.3">
      <c r="J1101" s="204"/>
      <c r="K1101" s="203"/>
      <c r="L1101" s="196"/>
      <c r="M1101" s="203"/>
      <c r="N1101" s="202"/>
      <c r="P1101" s="72"/>
      <c r="Q1101" s="71"/>
      <c r="R1101" s="53"/>
      <c r="S1101" s="71"/>
      <c r="T1101" s="53"/>
      <c r="U1101" s="13"/>
      <c r="V1101" s="72"/>
      <c r="W1101" s="71"/>
      <c r="X1101" s="53"/>
      <c r="Y1101" s="71"/>
      <c r="Z1101" s="53"/>
      <c r="AA1101" s="13"/>
    </row>
    <row r="1102" spans="10:27" x14ac:dyDescent="0.3">
      <c r="J1102" s="204"/>
      <c r="K1102" s="203"/>
      <c r="L1102" s="196"/>
      <c r="M1102" s="203"/>
      <c r="N1102" s="202"/>
      <c r="P1102" s="72"/>
      <c r="Q1102" s="71"/>
      <c r="R1102" s="53"/>
      <c r="S1102" s="71"/>
      <c r="T1102" s="53"/>
      <c r="U1102" s="13"/>
      <c r="V1102" s="72"/>
      <c r="W1102" s="71"/>
      <c r="X1102" s="53"/>
      <c r="Y1102" s="71"/>
      <c r="Z1102" s="53"/>
      <c r="AA1102" s="13"/>
    </row>
    <row r="1103" spans="10:27" x14ac:dyDescent="0.3">
      <c r="J1103" s="204"/>
      <c r="K1103" s="203"/>
      <c r="L1103" s="196"/>
      <c r="M1103" s="203"/>
      <c r="N1103" s="202"/>
      <c r="P1103" s="72"/>
      <c r="Q1103" s="71"/>
      <c r="R1103" s="53"/>
      <c r="S1103" s="71"/>
      <c r="T1103" s="53"/>
      <c r="U1103" s="13"/>
      <c r="V1103" s="72"/>
      <c r="W1103" s="71"/>
      <c r="X1103" s="53"/>
      <c r="Y1103" s="71"/>
      <c r="Z1103" s="53"/>
      <c r="AA1103" s="13"/>
    </row>
    <row r="1104" spans="10:27" x14ac:dyDescent="0.3">
      <c r="J1104" s="204"/>
      <c r="K1104" s="203"/>
      <c r="L1104" s="196"/>
      <c r="M1104" s="203"/>
      <c r="N1104" s="202"/>
      <c r="P1104" s="72"/>
      <c r="Q1104" s="71"/>
      <c r="R1104" s="53"/>
      <c r="S1104" s="71"/>
      <c r="T1104" s="53"/>
      <c r="U1104" s="13"/>
      <c r="V1104" s="72"/>
      <c r="W1104" s="71"/>
      <c r="X1104" s="53"/>
      <c r="Y1104" s="71"/>
      <c r="Z1104" s="53"/>
      <c r="AA1104" s="13"/>
    </row>
    <row r="1105" spans="10:27" x14ac:dyDescent="0.3">
      <c r="J1105" s="204"/>
      <c r="K1105" s="203"/>
      <c r="L1105" s="196"/>
      <c r="M1105" s="203"/>
      <c r="N1105" s="202"/>
      <c r="P1105" s="72"/>
      <c r="Q1105" s="71"/>
      <c r="R1105" s="53"/>
      <c r="S1105" s="71"/>
      <c r="T1105" s="53"/>
      <c r="U1105" s="13"/>
      <c r="V1105" s="72"/>
      <c r="W1105" s="71"/>
      <c r="X1105" s="53"/>
      <c r="Y1105" s="71"/>
      <c r="Z1105" s="53"/>
      <c r="AA1105" s="13"/>
    </row>
    <row r="1106" spans="10:27" x14ac:dyDescent="0.3">
      <c r="J1106" s="204"/>
      <c r="K1106" s="203"/>
      <c r="L1106" s="196"/>
      <c r="M1106" s="203"/>
      <c r="N1106" s="202"/>
      <c r="P1106" s="72"/>
      <c r="Q1106" s="71"/>
      <c r="R1106" s="53"/>
      <c r="S1106" s="71"/>
      <c r="T1106" s="53"/>
      <c r="U1106" s="13"/>
      <c r="V1106" s="72"/>
      <c r="W1106" s="71"/>
      <c r="X1106" s="53"/>
      <c r="Y1106" s="71"/>
      <c r="Z1106" s="53"/>
      <c r="AA1106" s="13"/>
    </row>
    <row r="1107" spans="10:27" x14ac:dyDescent="0.3">
      <c r="J1107" s="204"/>
      <c r="K1107" s="203"/>
      <c r="L1107" s="196"/>
      <c r="M1107" s="203"/>
      <c r="N1107" s="202"/>
      <c r="P1107" s="72"/>
      <c r="Q1107" s="71"/>
      <c r="R1107" s="53"/>
      <c r="S1107" s="71"/>
      <c r="T1107" s="53"/>
      <c r="U1107" s="13"/>
      <c r="V1107" s="72"/>
      <c r="W1107" s="71"/>
      <c r="X1107" s="53"/>
      <c r="Y1107" s="71"/>
      <c r="Z1107" s="53"/>
      <c r="AA1107" s="13"/>
    </row>
    <row r="1108" spans="10:27" x14ac:dyDescent="0.3">
      <c r="J1108" s="204"/>
      <c r="K1108" s="203"/>
      <c r="L1108" s="196"/>
      <c r="M1108" s="203"/>
      <c r="N1108" s="202"/>
      <c r="P1108" s="72"/>
      <c r="Q1108" s="71"/>
      <c r="R1108" s="53"/>
      <c r="S1108" s="71"/>
      <c r="T1108" s="53"/>
      <c r="U1108" s="13"/>
      <c r="V1108" s="72"/>
      <c r="W1108" s="71"/>
      <c r="X1108" s="53"/>
      <c r="Y1108" s="71"/>
      <c r="Z1108" s="53"/>
      <c r="AA1108" s="13"/>
    </row>
    <row r="1109" spans="10:27" x14ac:dyDescent="0.3">
      <c r="J1109" s="204"/>
      <c r="K1109" s="203"/>
      <c r="L1109" s="196"/>
      <c r="M1109" s="203"/>
      <c r="N1109" s="202"/>
      <c r="P1109" s="72"/>
      <c r="Q1109" s="71"/>
      <c r="R1109" s="53"/>
      <c r="S1109" s="71"/>
      <c r="T1109" s="53"/>
      <c r="U1109" s="13"/>
      <c r="V1109" s="72"/>
      <c r="W1109" s="71"/>
      <c r="X1109" s="53"/>
      <c r="Y1109" s="71"/>
      <c r="Z1109" s="53"/>
      <c r="AA1109" s="13"/>
    </row>
    <row r="1110" spans="10:27" x14ac:dyDescent="0.3">
      <c r="J1110" s="204"/>
      <c r="K1110" s="203"/>
      <c r="L1110" s="196"/>
      <c r="M1110" s="203"/>
      <c r="N1110" s="202"/>
      <c r="P1110" s="72"/>
      <c r="Q1110" s="71"/>
      <c r="R1110" s="53"/>
      <c r="S1110" s="71"/>
      <c r="T1110" s="53"/>
      <c r="U1110" s="13"/>
      <c r="V1110" s="72"/>
      <c r="W1110" s="71"/>
      <c r="X1110" s="53"/>
      <c r="Y1110" s="71"/>
      <c r="Z1110" s="53"/>
      <c r="AA1110" s="13"/>
    </row>
    <row r="1111" spans="10:27" x14ac:dyDescent="0.3">
      <c r="J1111" s="204"/>
      <c r="K1111" s="203"/>
      <c r="L1111" s="196"/>
      <c r="M1111" s="203"/>
      <c r="N1111" s="202"/>
      <c r="P1111" s="72"/>
      <c r="Q1111" s="71"/>
      <c r="R1111" s="53"/>
      <c r="S1111" s="71"/>
      <c r="T1111" s="53"/>
      <c r="U1111" s="13"/>
      <c r="V1111" s="72"/>
      <c r="W1111" s="71"/>
      <c r="X1111" s="53"/>
      <c r="Y1111" s="71"/>
      <c r="Z1111" s="53"/>
      <c r="AA1111" s="13"/>
    </row>
    <row r="1112" spans="10:27" x14ac:dyDescent="0.3">
      <c r="J1112" s="204"/>
      <c r="K1112" s="203"/>
      <c r="L1112" s="196"/>
      <c r="M1112" s="203"/>
      <c r="N1112" s="202"/>
      <c r="P1112" s="72"/>
      <c r="Q1112" s="71"/>
      <c r="R1112" s="53"/>
      <c r="S1112" s="71"/>
      <c r="T1112" s="53"/>
      <c r="U1112" s="13"/>
      <c r="V1112" s="72"/>
      <c r="W1112" s="71"/>
      <c r="X1112" s="53"/>
      <c r="Y1112" s="71"/>
      <c r="Z1112" s="53"/>
      <c r="AA1112" s="13"/>
    </row>
    <row r="1113" spans="10:27" x14ac:dyDescent="0.3">
      <c r="J1113" s="204"/>
      <c r="K1113" s="203"/>
      <c r="L1113" s="196"/>
      <c r="M1113" s="203"/>
      <c r="N1113" s="202"/>
      <c r="P1113" s="72"/>
      <c r="Q1113" s="71"/>
      <c r="R1113" s="53"/>
      <c r="S1113" s="71"/>
      <c r="T1113" s="53"/>
      <c r="U1113" s="13"/>
      <c r="V1113" s="72"/>
      <c r="W1113" s="71"/>
      <c r="X1113" s="53"/>
      <c r="Y1113" s="71"/>
      <c r="Z1113" s="53"/>
      <c r="AA1113" s="13"/>
    </row>
    <row r="1114" spans="10:27" x14ac:dyDescent="0.3">
      <c r="J1114" s="204"/>
      <c r="K1114" s="203"/>
      <c r="L1114" s="196"/>
      <c r="M1114" s="203"/>
      <c r="N1114" s="202"/>
      <c r="P1114" s="72"/>
      <c r="Q1114" s="71"/>
      <c r="R1114" s="53"/>
      <c r="S1114" s="71"/>
      <c r="T1114" s="53"/>
      <c r="U1114" s="13"/>
      <c r="V1114" s="72"/>
      <c r="W1114" s="71"/>
      <c r="X1114" s="53"/>
      <c r="Y1114" s="71"/>
      <c r="Z1114" s="53"/>
      <c r="AA1114" s="13"/>
    </row>
    <row r="1115" spans="10:27" x14ac:dyDescent="0.3">
      <c r="J1115" s="204"/>
      <c r="K1115" s="203"/>
      <c r="L1115" s="196"/>
      <c r="M1115" s="203"/>
      <c r="N1115" s="202"/>
      <c r="P1115" s="72"/>
      <c r="Q1115" s="71"/>
      <c r="R1115" s="53"/>
      <c r="S1115" s="71"/>
      <c r="T1115" s="53"/>
      <c r="U1115" s="13"/>
      <c r="V1115" s="72"/>
      <c r="W1115" s="71"/>
      <c r="X1115" s="53"/>
      <c r="Y1115" s="71"/>
      <c r="Z1115" s="53"/>
      <c r="AA1115" s="13"/>
    </row>
    <row r="1116" spans="10:27" x14ac:dyDescent="0.3">
      <c r="J1116" s="204"/>
      <c r="K1116" s="203"/>
      <c r="L1116" s="196"/>
      <c r="M1116" s="203"/>
      <c r="N1116" s="202"/>
      <c r="P1116" s="72"/>
      <c r="Q1116" s="71"/>
      <c r="R1116" s="53"/>
      <c r="S1116" s="71"/>
      <c r="T1116" s="53"/>
      <c r="U1116" s="13"/>
      <c r="V1116" s="72"/>
      <c r="W1116" s="71"/>
      <c r="X1116" s="53"/>
      <c r="Y1116" s="71"/>
      <c r="Z1116" s="53"/>
      <c r="AA1116" s="13"/>
    </row>
    <row r="1117" spans="10:27" x14ac:dyDescent="0.3">
      <c r="J1117" s="204"/>
      <c r="K1117" s="203"/>
      <c r="L1117" s="196"/>
      <c r="M1117" s="203"/>
      <c r="N1117" s="202"/>
      <c r="P1117" s="72"/>
      <c r="Q1117" s="71"/>
      <c r="R1117" s="53"/>
      <c r="S1117" s="71"/>
      <c r="T1117" s="53"/>
      <c r="U1117" s="13"/>
      <c r="V1117" s="72"/>
      <c r="W1117" s="71"/>
      <c r="X1117" s="53"/>
      <c r="Y1117" s="71"/>
      <c r="Z1117" s="53"/>
      <c r="AA1117" s="13"/>
    </row>
    <row r="1118" spans="10:27" x14ac:dyDescent="0.3">
      <c r="J1118" s="204"/>
      <c r="K1118" s="203"/>
      <c r="L1118" s="196"/>
      <c r="M1118" s="203"/>
      <c r="N1118" s="202"/>
      <c r="P1118" s="72"/>
      <c r="Q1118" s="71"/>
      <c r="R1118" s="53"/>
      <c r="S1118" s="71"/>
      <c r="T1118" s="53"/>
      <c r="U1118" s="13"/>
      <c r="V1118" s="72"/>
      <c r="W1118" s="71"/>
      <c r="X1118" s="53"/>
      <c r="Y1118" s="71"/>
      <c r="Z1118" s="53"/>
      <c r="AA1118" s="13"/>
    </row>
    <row r="1119" spans="10:27" x14ac:dyDescent="0.3">
      <c r="J1119" s="204"/>
      <c r="K1119" s="203"/>
      <c r="L1119" s="196"/>
      <c r="M1119" s="203"/>
      <c r="N1119" s="202"/>
      <c r="P1119" s="72"/>
      <c r="Q1119" s="71"/>
      <c r="R1119" s="53"/>
      <c r="S1119" s="71"/>
      <c r="T1119" s="53"/>
      <c r="U1119" s="13"/>
      <c r="V1119" s="72"/>
      <c r="W1119" s="71"/>
      <c r="X1119" s="53"/>
      <c r="Y1119" s="71"/>
      <c r="Z1119" s="53"/>
      <c r="AA1119" s="13"/>
    </row>
    <row r="1120" spans="10:27" x14ac:dyDescent="0.3">
      <c r="J1120" s="204"/>
      <c r="K1120" s="203"/>
      <c r="L1120" s="196"/>
      <c r="M1120" s="203"/>
      <c r="N1120" s="202"/>
      <c r="P1120" s="72"/>
      <c r="Q1120" s="71"/>
      <c r="R1120" s="53"/>
      <c r="S1120" s="71"/>
      <c r="T1120" s="53"/>
      <c r="U1120" s="13"/>
      <c r="V1120" s="72"/>
      <c r="W1120" s="71"/>
      <c r="X1120" s="53"/>
      <c r="Y1120" s="71"/>
      <c r="Z1120" s="53"/>
      <c r="AA1120" s="13"/>
    </row>
    <row r="1121" spans="10:27" x14ac:dyDescent="0.3">
      <c r="J1121" s="204"/>
      <c r="K1121" s="203"/>
      <c r="L1121" s="196"/>
      <c r="M1121" s="203"/>
      <c r="N1121" s="202"/>
      <c r="P1121" s="72"/>
      <c r="Q1121" s="71"/>
      <c r="R1121" s="53"/>
      <c r="S1121" s="71"/>
      <c r="T1121" s="53"/>
      <c r="U1121" s="13"/>
      <c r="V1121" s="72"/>
      <c r="W1121" s="71"/>
      <c r="X1121" s="53"/>
      <c r="Y1121" s="71"/>
      <c r="Z1121" s="53"/>
      <c r="AA1121" s="13"/>
    </row>
    <row r="1122" spans="10:27" x14ac:dyDescent="0.3">
      <c r="J1122" s="204"/>
      <c r="K1122" s="203"/>
      <c r="L1122" s="196"/>
      <c r="M1122" s="203"/>
      <c r="N1122" s="202"/>
      <c r="P1122" s="72"/>
      <c r="Q1122" s="71"/>
      <c r="R1122" s="53"/>
      <c r="S1122" s="71"/>
      <c r="T1122" s="53"/>
      <c r="U1122" s="13"/>
      <c r="V1122" s="72"/>
      <c r="W1122" s="71"/>
      <c r="X1122" s="53"/>
      <c r="Y1122" s="71"/>
      <c r="Z1122" s="53"/>
      <c r="AA1122" s="13"/>
    </row>
    <row r="1123" spans="10:27" x14ac:dyDescent="0.3">
      <c r="J1123" s="204"/>
      <c r="K1123" s="203"/>
      <c r="L1123" s="196"/>
      <c r="M1123" s="203"/>
      <c r="N1123" s="202"/>
      <c r="P1123" s="72"/>
      <c r="Q1123" s="71"/>
      <c r="R1123" s="53"/>
      <c r="S1123" s="71"/>
      <c r="T1123" s="53"/>
      <c r="U1123" s="13"/>
      <c r="V1123" s="72"/>
      <c r="W1123" s="71"/>
      <c r="X1123" s="53"/>
      <c r="Y1123" s="71"/>
      <c r="Z1123" s="53"/>
      <c r="AA1123" s="13"/>
    </row>
    <row r="1124" spans="10:27" x14ac:dyDescent="0.3">
      <c r="J1124" s="204"/>
      <c r="K1124" s="203"/>
      <c r="L1124" s="196"/>
      <c r="M1124" s="203"/>
      <c r="N1124" s="202"/>
      <c r="P1124" s="72"/>
      <c r="Q1124" s="71"/>
      <c r="R1124" s="53"/>
      <c r="S1124" s="71"/>
      <c r="T1124" s="53"/>
      <c r="U1124" s="13"/>
      <c r="V1124" s="72"/>
      <c r="W1124" s="71"/>
      <c r="X1124" s="53"/>
      <c r="Y1124" s="71"/>
      <c r="Z1124" s="53"/>
      <c r="AA1124" s="13"/>
    </row>
    <row r="1125" spans="10:27" x14ac:dyDescent="0.3">
      <c r="J1125" s="204"/>
      <c r="K1125" s="203"/>
      <c r="L1125" s="196"/>
      <c r="M1125" s="203"/>
      <c r="N1125" s="202"/>
      <c r="P1125" s="72"/>
      <c r="Q1125" s="71"/>
      <c r="R1125" s="53"/>
      <c r="S1125" s="71"/>
      <c r="T1125" s="53"/>
      <c r="U1125" s="13"/>
      <c r="V1125" s="72"/>
      <c r="W1125" s="71"/>
      <c r="X1125" s="53"/>
      <c r="Y1125" s="71"/>
      <c r="Z1125" s="53"/>
      <c r="AA1125" s="13"/>
    </row>
    <row r="1126" spans="10:27" x14ac:dyDescent="0.3">
      <c r="J1126" s="204"/>
      <c r="K1126" s="203"/>
      <c r="L1126" s="196"/>
      <c r="M1126" s="203"/>
      <c r="N1126" s="202"/>
      <c r="P1126" s="72"/>
      <c r="Q1126" s="71"/>
      <c r="R1126" s="53"/>
      <c r="S1126" s="71"/>
      <c r="T1126" s="53"/>
      <c r="U1126" s="13"/>
      <c r="V1126" s="72"/>
      <c r="W1126" s="71"/>
      <c r="X1126" s="53"/>
      <c r="Y1126" s="71"/>
      <c r="Z1126" s="53"/>
      <c r="AA1126" s="13"/>
    </row>
    <row r="1127" spans="10:27" x14ac:dyDescent="0.3">
      <c r="J1127" s="204"/>
      <c r="K1127" s="203"/>
      <c r="L1127" s="196"/>
      <c r="M1127" s="203"/>
      <c r="N1127" s="202"/>
      <c r="P1127" s="72"/>
      <c r="Q1127" s="71"/>
      <c r="R1127" s="53"/>
      <c r="S1127" s="71"/>
      <c r="T1127" s="53"/>
      <c r="U1127" s="13"/>
      <c r="V1127" s="72"/>
      <c r="W1127" s="71"/>
      <c r="X1127" s="53"/>
      <c r="Y1127" s="71"/>
      <c r="Z1127" s="53"/>
      <c r="AA1127" s="13"/>
    </row>
    <row r="1128" spans="10:27" x14ac:dyDescent="0.3">
      <c r="J1128" s="204"/>
      <c r="K1128" s="203"/>
      <c r="L1128" s="196"/>
      <c r="M1128" s="203"/>
      <c r="N1128" s="202"/>
      <c r="P1128" s="72"/>
      <c r="Q1128" s="71"/>
      <c r="R1128" s="53"/>
      <c r="S1128" s="71"/>
      <c r="T1128" s="53"/>
      <c r="U1128" s="13"/>
      <c r="V1128" s="72"/>
      <c r="W1128" s="71"/>
      <c r="X1128" s="53"/>
      <c r="Y1128" s="71"/>
      <c r="Z1128" s="53"/>
      <c r="AA1128" s="13"/>
    </row>
    <row r="1129" spans="10:27" x14ac:dyDescent="0.3">
      <c r="J1129" s="204"/>
      <c r="K1129" s="203"/>
      <c r="L1129" s="196"/>
      <c r="M1129" s="203"/>
      <c r="N1129" s="202"/>
      <c r="P1129" s="72"/>
      <c r="Q1129" s="71"/>
      <c r="R1129" s="53"/>
      <c r="S1129" s="71"/>
      <c r="T1129" s="53"/>
      <c r="U1129" s="13"/>
      <c r="V1129" s="72"/>
      <c r="W1129" s="71"/>
      <c r="X1129" s="53"/>
      <c r="Y1129" s="71"/>
      <c r="Z1129" s="53"/>
      <c r="AA1129" s="13"/>
    </row>
    <row r="1130" spans="10:27" x14ac:dyDescent="0.3">
      <c r="J1130" s="204"/>
      <c r="K1130" s="203"/>
      <c r="L1130" s="196"/>
      <c r="M1130" s="203"/>
      <c r="N1130" s="202"/>
      <c r="P1130" s="72"/>
      <c r="Q1130" s="71"/>
      <c r="R1130" s="53"/>
      <c r="S1130" s="71"/>
      <c r="T1130" s="53"/>
      <c r="U1130" s="13"/>
      <c r="V1130" s="72"/>
      <c r="W1130" s="71"/>
      <c r="X1130" s="53"/>
      <c r="Y1130" s="71"/>
      <c r="Z1130" s="53"/>
      <c r="AA1130" s="13"/>
    </row>
    <row r="1131" spans="10:27" x14ac:dyDescent="0.3">
      <c r="J1131" s="204"/>
      <c r="K1131" s="203"/>
      <c r="L1131" s="196"/>
      <c r="M1131" s="203"/>
      <c r="N1131" s="202"/>
      <c r="P1131" s="72"/>
      <c r="Q1131" s="71"/>
      <c r="R1131" s="53"/>
      <c r="S1131" s="71"/>
      <c r="T1131" s="53"/>
      <c r="U1131" s="13"/>
      <c r="V1131" s="72"/>
      <c r="W1131" s="71"/>
      <c r="X1131" s="53"/>
      <c r="Y1131" s="71"/>
      <c r="Z1131" s="53"/>
      <c r="AA1131" s="13"/>
    </row>
    <row r="1132" spans="10:27" x14ac:dyDescent="0.3">
      <c r="J1132" s="204"/>
      <c r="K1132" s="203"/>
      <c r="L1132" s="196"/>
      <c r="M1132" s="203"/>
      <c r="N1132" s="202"/>
      <c r="P1132" s="72"/>
      <c r="Q1132" s="71"/>
      <c r="R1132" s="53"/>
      <c r="S1132" s="71"/>
      <c r="T1132" s="53"/>
      <c r="U1132" s="13"/>
      <c r="V1132" s="72"/>
      <c r="W1132" s="71"/>
      <c r="X1132" s="53"/>
      <c r="Y1132" s="71"/>
      <c r="Z1132" s="53"/>
      <c r="AA1132" s="13"/>
    </row>
    <row r="1133" spans="10:27" x14ac:dyDescent="0.3">
      <c r="J1133" s="204"/>
      <c r="K1133" s="203"/>
      <c r="L1133" s="196"/>
      <c r="M1133" s="203"/>
      <c r="N1133" s="202"/>
      <c r="P1133" s="72"/>
      <c r="Q1133" s="71"/>
      <c r="R1133" s="53"/>
      <c r="S1133" s="71"/>
      <c r="T1133" s="53"/>
      <c r="U1133" s="13"/>
      <c r="V1133" s="72"/>
      <c r="W1133" s="71"/>
      <c r="X1133" s="53"/>
      <c r="Y1133" s="71"/>
      <c r="Z1133" s="53"/>
      <c r="AA1133" s="13"/>
    </row>
    <row r="1134" spans="10:27" x14ac:dyDescent="0.3">
      <c r="J1134" s="204"/>
      <c r="K1134" s="203"/>
      <c r="L1134" s="196"/>
      <c r="M1134" s="203"/>
      <c r="N1134" s="202"/>
      <c r="P1134" s="72"/>
      <c r="Q1134" s="71"/>
      <c r="R1134" s="53"/>
      <c r="S1134" s="71"/>
      <c r="T1134" s="53"/>
      <c r="U1134" s="13"/>
      <c r="V1134" s="72"/>
      <c r="W1134" s="71"/>
      <c r="X1134" s="53"/>
      <c r="Y1134" s="71"/>
      <c r="Z1134" s="53"/>
      <c r="AA1134" s="13"/>
    </row>
    <row r="1135" spans="10:27" x14ac:dyDescent="0.3">
      <c r="J1135" s="204"/>
      <c r="K1135" s="203"/>
      <c r="L1135" s="196"/>
      <c r="M1135" s="203"/>
      <c r="N1135" s="202"/>
      <c r="P1135" s="72"/>
      <c r="Q1135" s="71"/>
      <c r="R1135" s="53"/>
      <c r="S1135" s="71"/>
      <c r="T1135" s="53"/>
      <c r="U1135" s="13"/>
      <c r="V1135" s="72"/>
      <c r="W1135" s="71"/>
      <c r="X1135" s="53"/>
      <c r="Y1135" s="71"/>
      <c r="Z1135" s="53"/>
      <c r="AA1135" s="13"/>
    </row>
    <row r="1136" spans="10:27" x14ac:dyDescent="0.3">
      <c r="J1136" s="204"/>
      <c r="K1136" s="203"/>
      <c r="L1136" s="196"/>
      <c r="M1136" s="203"/>
      <c r="N1136" s="202"/>
      <c r="P1136" s="72"/>
      <c r="Q1136" s="71"/>
      <c r="R1136" s="53"/>
      <c r="S1136" s="71"/>
      <c r="T1136" s="53"/>
      <c r="U1136" s="13"/>
      <c r="V1136" s="72"/>
      <c r="W1136" s="71"/>
      <c r="X1136" s="53"/>
      <c r="Y1136" s="71"/>
      <c r="Z1136" s="53"/>
      <c r="AA1136" s="13"/>
    </row>
    <row r="1137" spans="10:27" x14ac:dyDescent="0.3">
      <c r="J1137" s="204"/>
      <c r="K1137" s="203"/>
      <c r="L1137" s="196"/>
      <c r="M1137" s="203"/>
      <c r="N1137" s="202"/>
      <c r="P1137" s="72"/>
      <c r="Q1137" s="71"/>
      <c r="R1137" s="53"/>
      <c r="S1137" s="71"/>
      <c r="T1137" s="53"/>
      <c r="U1137" s="13"/>
      <c r="V1137" s="72"/>
      <c r="W1137" s="71"/>
      <c r="X1137" s="53"/>
      <c r="Y1137" s="71"/>
      <c r="Z1137" s="53"/>
      <c r="AA1137" s="13"/>
    </row>
    <row r="1138" spans="10:27" x14ac:dyDescent="0.3">
      <c r="J1138" s="204"/>
      <c r="K1138" s="203"/>
      <c r="L1138" s="196"/>
      <c r="M1138" s="203"/>
      <c r="N1138" s="202"/>
      <c r="P1138" s="72"/>
      <c r="Q1138" s="71"/>
      <c r="R1138" s="53"/>
      <c r="S1138" s="71"/>
      <c r="T1138" s="53"/>
      <c r="U1138" s="13"/>
      <c r="V1138" s="72"/>
      <c r="W1138" s="71"/>
      <c r="X1138" s="53"/>
      <c r="Y1138" s="71"/>
      <c r="Z1138" s="53"/>
      <c r="AA1138" s="13"/>
    </row>
    <row r="1139" spans="10:27" x14ac:dyDescent="0.3">
      <c r="J1139" s="204"/>
      <c r="K1139" s="203"/>
      <c r="L1139" s="196"/>
      <c r="M1139" s="203"/>
      <c r="N1139" s="202"/>
      <c r="P1139" s="72"/>
      <c r="Q1139" s="71"/>
      <c r="R1139" s="53"/>
      <c r="S1139" s="71"/>
      <c r="T1139" s="53"/>
      <c r="U1139" s="13"/>
      <c r="V1139" s="72"/>
      <c r="W1139" s="71"/>
      <c r="X1139" s="53"/>
      <c r="Y1139" s="71"/>
      <c r="Z1139" s="53"/>
      <c r="AA1139" s="13"/>
    </row>
    <row r="1140" spans="10:27" x14ac:dyDescent="0.3">
      <c r="J1140" s="204"/>
      <c r="K1140" s="203"/>
      <c r="L1140" s="196"/>
      <c r="M1140" s="203"/>
      <c r="N1140" s="202"/>
      <c r="P1140" s="72"/>
      <c r="Q1140" s="71"/>
      <c r="R1140" s="53"/>
      <c r="S1140" s="71"/>
      <c r="T1140" s="53"/>
      <c r="U1140" s="13"/>
      <c r="V1140" s="72"/>
      <c r="W1140" s="71"/>
      <c r="X1140" s="53"/>
      <c r="Y1140" s="71"/>
      <c r="Z1140" s="53"/>
      <c r="AA1140" s="13"/>
    </row>
    <row r="1141" spans="10:27" x14ac:dyDescent="0.3">
      <c r="J1141" s="204"/>
      <c r="K1141" s="203"/>
      <c r="L1141" s="196"/>
      <c r="M1141" s="203"/>
      <c r="N1141" s="202"/>
      <c r="P1141" s="72"/>
      <c r="Q1141" s="71"/>
      <c r="R1141" s="53"/>
      <c r="S1141" s="71"/>
      <c r="T1141" s="53"/>
      <c r="U1141" s="13"/>
      <c r="V1141" s="72"/>
      <c r="W1141" s="71"/>
      <c r="X1141" s="53"/>
      <c r="Y1141" s="71"/>
      <c r="Z1141" s="53"/>
      <c r="AA1141" s="13"/>
    </row>
    <row r="1142" spans="10:27" x14ac:dyDescent="0.3">
      <c r="J1142" s="204"/>
      <c r="K1142" s="203"/>
      <c r="L1142" s="196"/>
      <c r="M1142" s="203"/>
      <c r="N1142" s="202"/>
      <c r="P1142" s="72"/>
      <c r="Q1142" s="71"/>
      <c r="R1142" s="53"/>
      <c r="S1142" s="71"/>
      <c r="T1142" s="53"/>
      <c r="U1142" s="13"/>
      <c r="V1142" s="72"/>
      <c r="W1142" s="71"/>
      <c r="X1142" s="53"/>
      <c r="Y1142" s="71"/>
      <c r="Z1142" s="53"/>
      <c r="AA1142" s="13"/>
    </row>
    <row r="1143" spans="10:27" x14ac:dyDescent="0.3">
      <c r="J1143" s="204"/>
      <c r="K1143" s="203"/>
      <c r="L1143" s="196"/>
      <c r="M1143" s="203"/>
      <c r="N1143" s="202"/>
      <c r="P1143" s="72"/>
      <c r="Q1143" s="71"/>
      <c r="R1143" s="53"/>
      <c r="S1143" s="71"/>
      <c r="T1143" s="53"/>
      <c r="U1143" s="13"/>
      <c r="V1143" s="72"/>
      <c r="W1143" s="71"/>
      <c r="X1143" s="53"/>
      <c r="Y1143" s="71"/>
      <c r="Z1143" s="53"/>
      <c r="AA1143" s="13"/>
    </row>
    <row r="1144" spans="10:27" x14ac:dyDescent="0.3">
      <c r="J1144" s="204"/>
      <c r="K1144" s="203"/>
      <c r="L1144" s="196"/>
      <c r="M1144" s="203"/>
      <c r="N1144" s="202"/>
      <c r="P1144" s="72"/>
      <c r="Q1144" s="71"/>
      <c r="R1144" s="53"/>
      <c r="S1144" s="71"/>
      <c r="T1144" s="53"/>
      <c r="U1144" s="13"/>
      <c r="V1144" s="72"/>
      <c r="W1144" s="71"/>
      <c r="X1144" s="53"/>
      <c r="Y1144" s="71"/>
      <c r="Z1144" s="53"/>
      <c r="AA1144" s="13"/>
    </row>
    <row r="1145" spans="10:27" x14ac:dyDescent="0.3">
      <c r="J1145" s="204"/>
      <c r="K1145" s="203"/>
      <c r="L1145" s="196"/>
      <c r="M1145" s="203"/>
      <c r="N1145" s="202"/>
      <c r="P1145" s="72"/>
      <c r="Q1145" s="71"/>
      <c r="R1145" s="53"/>
      <c r="S1145" s="71"/>
      <c r="T1145" s="53"/>
      <c r="U1145" s="13"/>
      <c r="V1145" s="72"/>
      <c r="W1145" s="71"/>
      <c r="X1145" s="53"/>
      <c r="Y1145" s="71"/>
      <c r="Z1145" s="53"/>
      <c r="AA1145" s="13"/>
    </row>
    <row r="1146" spans="10:27" x14ac:dyDescent="0.3">
      <c r="J1146" s="204"/>
      <c r="K1146" s="203"/>
      <c r="L1146" s="196"/>
      <c r="M1146" s="203"/>
      <c r="N1146" s="202"/>
      <c r="P1146" s="72"/>
      <c r="Q1146" s="71"/>
      <c r="R1146" s="53"/>
      <c r="S1146" s="71"/>
      <c r="T1146" s="53"/>
      <c r="U1146" s="13"/>
      <c r="V1146" s="72"/>
      <c r="W1146" s="71"/>
      <c r="X1146" s="53"/>
      <c r="Y1146" s="71"/>
      <c r="Z1146" s="53"/>
      <c r="AA1146" s="13"/>
    </row>
    <row r="1147" spans="10:27" x14ac:dyDescent="0.3">
      <c r="J1147" s="204"/>
      <c r="K1147" s="203"/>
      <c r="L1147" s="196"/>
      <c r="M1147" s="203"/>
      <c r="N1147" s="202"/>
      <c r="P1147" s="72"/>
      <c r="Q1147" s="71"/>
      <c r="R1147" s="53"/>
      <c r="S1147" s="71"/>
      <c r="T1147" s="53"/>
      <c r="U1147" s="13"/>
      <c r="V1147" s="72"/>
      <c r="W1147" s="71"/>
      <c r="X1147" s="53"/>
      <c r="Y1147" s="71"/>
      <c r="Z1147" s="53"/>
      <c r="AA1147" s="13"/>
    </row>
    <row r="1148" spans="10:27" x14ac:dyDescent="0.3">
      <c r="J1148" s="204"/>
      <c r="K1148" s="203"/>
      <c r="L1148" s="196"/>
      <c r="M1148" s="203"/>
      <c r="N1148" s="202"/>
      <c r="P1148" s="72"/>
      <c r="Q1148" s="71"/>
      <c r="R1148" s="53"/>
      <c r="S1148" s="71"/>
      <c r="T1148" s="53"/>
      <c r="U1148" s="13"/>
      <c r="V1148" s="72"/>
      <c r="W1148" s="71"/>
      <c r="X1148" s="53"/>
      <c r="Y1148" s="71"/>
      <c r="Z1148" s="53"/>
      <c r="AA1148" s="13"/>
    </row>
    <row r="1149" spans="10:27" x14ac:dyDescent="0.3">
      <c r="J1149" s="204"/>
      <c r="K1149" s="203"/>
      <c r="L1149" s="196"/>
      <c r="M1149" s="203"/>
      <c r="N1149" s="202"/>
      <c r="P1149" s="72"/>
      <c r="Q1149" s="71"/>
      <c r="R1149" s="53"/>
      <c r="S1149" s="71"/>
      <c r="T1149" s="53"/>
      <c r="U1149" s="13"/>
      <c r="V1149" s="72"/>
      <c r="W1149" s="71"/>
      <c r="X1149" s="53"/>
      <c r="Y1149" s="71"/>
      <c r="Z1149" s="53"/>
      <c r="AA1149" s="13"/>
    </row>
    <row r="1150" spans="10:27" x14ac:dyDescent="0.3">
      <c r="J1150" s="204"/>
      <c r="K1150" s="203"/>
      <c r="L1150" s="196"/>
      <c r="M1150" s="203"/>
      <c r="N1150" s="202"/>
      <c r="P1150" s="72"/>
      <c r="Q1150" s="71"/>
      <c r="R1150" s="53"/>
      <c r="S1150" s="71"/>
      <c r="T1150" s="53"/>
      <c r="U1150" s="13"/>
      <c r="V1150" s="72"/>
      <c r="W1150" s="71"/>
      <c r="X1150" s="53"/>
      <c r="Y1150" s="71"/>
      <c r="Z1150" s="53"/>
      <c r="AA1150" s="13"/>
    </row>
    <row r="1151" spans="10:27" x14ac:dyDescent="0.3">
      <c r="J1151" s="204"/>
      <c r="K1151" s="203"/>
      <c r="L1151" s="196"/>
      <c r="M1151" s="203"/>
      <c r="N1151" s="202"/>
      <c r="P1151" s="72"/>
      <c r="Q1151" s="71"/>
      <c r="R1151" s="53"/>
      <c r="S1151" s="71"/>
      <c r="T1151" s="53"/>
      <c r="U1151" s="13"/>
      <c r="V1151" s="72"/>
      <c r="W1151" s="71"/>
      <c r="X1151" s="53"/>
      <c r="Y1151" s="71"/>
      <c r="Z1151" s="53"/>
      <c r="AA1151" s="13"/>
    </row>
    <row r="1152" spans="10:27" x14ac:dyDescent="0.3">
      <c r="J1152" s="204"/>
      <c r="K1152" s="203"/>
      <c r="L1152" s="196"/>
      <c r="M1152" s="203"/>
      <c r="N1152" s="202"/>
      <c r="P1152" s="72"/>
      <c r="Q1152" s="71"/>
      <c r="R1152" s="53"/>
      <c r="S1152" s="71"/>
      <c r="T1152" s="53"/>
      <c r="U1152" s="13"/>
      <c r="V1152" s="72"/>
      <c r="W1152" s="71"/>
      <c r="X1152" s="53"/>
      <c r="Y1152" s="71"/>
      <c r="Z1152" s="53"/>
      <c r="AA1152" s="13"/>
    </row>
    <row r="1153" spans="10:27" x14ac:dyDescent="0.3">
      <c r="J1153" s="204"/>
      <c r="K1153" s="203"/>
      <c r="L1153" s="196"/>
      <c r="M1153" s="203"/>
      <c r="N1153" s="202"/>
      <c r="P1153" s="72"/>
      <c r="Q1153" s="71"/>
      <c r="R1153" s="53"/>
      <c r="S1153" s="71"/>
      <c r="T1153" s="53"/>
      <c r="U1153" s="13"/>
      <c r="V1153" s="72"/>
      <c r="W1153" s="71"/>
      <c r="X1153" s="53"/>
      <c r="Y1153" s="71"/>
      <c r="Z1153" s="53"/>
      <c r="AA1153" s="13"/>
    </row>
    <row r="1154" spans="10:27" x14ac:dyDescent="0.3">
      <c r="J1154" s="204"/>
      <c r="K1154" s="203"/>
      <c r="L1154" s="196"/>
      <c r="M1154" s="203"/>
      <c r="N1154" s="202"/>
      <c r="P1154" s="72"/>
      <c r="Q1154" s="71"/>
      <c r="R1154" s="53"/>
      <c r="S1154" s="71"/>
      <c r="T1154" s="53"/>
      <c r="U1154" s="13"/>
      <c r="V1154" s="72"/>
      <c r="W1154" s="71"/>
      <c r="X1154" s="53"/>
      <c r="Y1154" s="71"/>
      <c r="Z1154" s="53"/>
      <c r="AA1154" s="13"/>
    </row>
    <row r="1155" spans="10:27" x14ac:dyDescent="0.3">
      <c r="J1155" s="204"/>
      <c r="K1155" s="203"/>
      <c r="L1155" s="196"/>
      <c r="M1155" s="203"/>
      <c r="N1155" s="202"/>
      <c r="P1155" s="72"/>
      <c r="Q1155" s="71"/>
      <c r="R1155" s="53"/>
      <c r="S1155" s="71"/>
      <c r="T1155" s="53"/>
      <c r="U1155" s="13"/>
      <c r="V1155" s="72"/>
      <c r="W1155" s="71"/>
      <c r="X1155" s="53"/>
      <c r="Y1155" s="71"/>
      <c r="Z1155" s="53"/>
      <c r="AA1155" s="13"/>
    </row>
    <row r="1156" spans="10:27" x14ac:dyDescent="0.3">
      <c r="J1156" s="204"/>
      <c r="K1156" s="203"/>
      <c r="L1156" s="196"/>
      <c r="M1156" s="203"/>
      <c r="N1156" s="202"/>
      <c r="P1156" s="72"/>
      <c r="Q1156" s="71"/>
      <c r="R1156" s="53"/>
      <c r="S1156" s="71"/>
      <c r="T1156" s="53"/>
      <c r="U1156" s="13"/>
      <c r="V1156" s="72"/>
      <c r="W1156" s="71"/>
      <c r="X1156" s="53"/>
      <c r="Y1156" s="71"/>
      <c r="Z1156" s="53"/>
      <c r="AA1156" s="13"/>
    </row>
    <row r="1157" spans="10:27" x14ac:dyDescent="0.3">
      <c r="J1157" s="204"/>
      <c r="K1157" s="203"/>
      <c r="L1157" s="196"/>
      <c r="M1157" s="203"/>
      <c r="N1157" s="202"/>
      <c r="P1157" s="72"/>
      <c r="Q1157" s="71"/>
      <c r="R1157" s="53"/>
      <c r="S1157" s="71"/>
      <c r="T1157" s="53"/>
      <c r="U1157" s="13"/>
      <c r="V1157" s="72"/>
      <c r="W1157" s="71"/>
      <c r="X1157" s="53"/>
      <c r="Y1157" s="71"/>
      <c r="Z1157" s="53"/>
      <c r="AA1157" s="13"/>
    </row>
    <row r="1158" spans="10:27" x14ac:dyDescent="0.3">
      <c r="J1158" s="204"/>
      <c r="K1158" s="203"/>
      <c r="L1158" s="196"/>
      <c r="M1158" s="203"/>
      <c r="N1158" s="202"/>
      <c r="P1158" s="72"/>
      <c r="Q1158" s="71"/>
      <c r="R1158" s="53"/>
      <c r="S1158" s="71"/>
      <c r="T1158" s="53"/>
      <c r="U1158" s="13"/>
      <c r="V1158" s="72"/>
      <c r="W1158" s="71"/>
      <c r="X1158" s="53"/>
      <c r="Y1158" s="71"/>
      <c r="Z1158" s="53"/>
      <c r="AA1158" s="13"/>
    </row>
    <row r="1159" spans="10:27" x14ac:dyDescent="0.3">
      <c r="J1159" s="204"/>
      <c r="K1159" s="203"/>
      <c r="L1159" s="196"/>
      <c r="M1159" s="203"/>
      <c r="N1159" s="202"/>
      <c r="P1159" s="72"/>
      <c r="Q1159" s="71"/>
      <c r="R1159" s="53"/>
      <c r="S1159" s="71"/>
      <c r="T1159" s="53"/>
      <c r="U1159" s="13"/>
      <c r="V1159" s="72"/>
      <c r="W1159" s="71"/>
      <c r="X1159" s="53"/>
      <c r="Y1159" s="71"/>
      <c r="Z1159" s="53"/>
      <c r="AA1159" s="13"/>
    </row>
    <row r="1160" spans="10:27" x14ac:dyDescent="0.3">
      <c r="J1160" s="204"/>
      <c r="K1160" s="203"/>
      <c r="L1160" s="196"/>
      <c r="M1160" s="203"/>
      <c r="N1160" s="202"/>
      <c r="P1160" s="72"/>
      <c r="Q1160" s="71"/>
      <c r="R1160" s="53"/>
      <c r="S1160" s="71"/>
      <c r="T1160" s="53"/>
      <c r="U1160" s="13"/>
      <c r="V1160" s="72"/>
      <c r="W1160" s="71"/>
      <c r="X1160" s="53"/>
      <c r="Y1160" s="71"/>
      <c r="Z1160" s="53"/>
      <c r="AA1160" s="13"/>
    </row>
    <row r="1161" spans="10:27" x14ac:dyDescent="0.3">
      <c r="J1161" s="204"/>
      <c r="K1161" s="203"/>
      <c r="L1161" s="196"/>
      <c r="M1161" s="203"/>
      <c r="N1161" s="202"/>
      <c r="P1161" s="72"/>
      <c r="Q1161" s="71"/>
      <c r="R1161" s="53"/>
      <c r="S1161" s="71"/>
      <c r="T1161" s="53"/>
      <c r="U1161" s="13"/>
      <c r="V1161" s="72"/>
      <c r="W1161" s="71"/>
      <c r="X1161" s="53"/>
      <c r="Y1161" s="71"/>
      <c r="Z1161" s="53"/>
      <c r="AA1161" s="13"/>
    </row>
    <row r="1162" spans="10:27" x14ac:dyDescent="0.3">
      <c r="J1162" s="204"/>
      <c r="K1162" s="203"/>
      <c r="L1162" s="196"/>
      <c r="M1162" s="203"/>
      <c r="N1162" s="202"/>
      <c r="P1162" s="72"/>
      <c r="Q1162" s="71"/>
      <c r="R1162" s="53"/>
      <c r="S1162" s="71"/>
      <c r="T1162" s="53"/>
      <c r="U1162" s="13"/>
      <c r="V1162" s="72"/>
      <c r="W1162" s="71"/>
      <c r="X1162" s="53"/>
      <c r="Y1162" s="71"/>
      <c r="Z1162" s="53"/>
      <c r="AA1162" s="13"/>
    </row>
    <row r="1163" spans="10:27" x14ac:dyDescent="0.3">
      <c r="J1163" s="204"/>
      <c r="K1163" s="203"/>
      <c r="L1163" s="196"/>
      <c r="M1163" s="203"/>
      <c r="N1163" s="202"/>
      <c r="P1163" s="72"/>
      <c r="Q1163" s="71"/>
      <c r="R1163" s="53"/>
      <c r="S1163" s="71"/>
      <c r="T1163" s="53"/>
      <c r="U1163" s="13"/>
      <c r="V1163" s="72"/>
      <c r="W1163" s="71"/>
      <c r="X1163" s="53"/>
      <c r="Y1163" s="71"/>
      <c r="Z1163" s="53"/>
      <c r="AA1163" s="13"/>
    </row>
    <row r="1164" spans="10:27" x14ac:dyDescent="0.3">
      <c r="J1164" s="204"/>
      <c r="K1164" s="203"/>
      <c r="L1164" s="196"/>
      <c r="M1164" s="203"/>
      <c r="N1164" s="202"/>
      <c r="P1164" s="72"/>
      <c r="Q1164" s="71"/>
      <c r="R1164" s="53"/>
      <c r="S1164" s="71"/>
      <c r="T1164" s="53"/>
      <c r="U1164" s="13"/>
      <c r="V1164" s="72"/>
      <c r="W1164" s="71"/>
      <c r="X1164" s="53"/>
      <c r="Y1164" s="71"/>
      <c r="Z1164" s="53"/>
      <c r="AA1164" s="13"/>
    </row>
    <row r="1165" spans="10:27" x14ac:dyDescent="0.3">
      <c r="J1165" s="204"/>
      <c r="K1165" s="203"/>
      <c r="L1165" s="196"/>
      <c r="M1165" s="203"/>
      <c r="N1165" s="202"/>
      <c r="P1165" s="72"/>
      <c r="Q1165" s="71"/>
      <c r="R1165" s="53"/>
      <c r="S1165" s="71"/>
      <c r="T1165" s="53"/>
      <c r="U1165" s="13"/>
      <c r="V1165" s="72"/>
      <c r="W1165" s="71"/>
      <c r="X1165" s="53"/>
      <c r="Y1165" s="71"/>
      <c r="Z1165" s="53"/>
      <c r="AA1165" s="13"/>
    </row>
    <row r="1166" spans="10:27" x14ac:dyDescent="0.3">
      <c r="J1166" s="204"/>
      <c r="K1166" s="203"/>
      <c r="L1166" s="196"/>
      <c r="M1166" s="203"/>
      <c r="N1166" s="202"/>
      <c r="P1166" s="72"/>
      <c r="Q1166" s="71"/>
      <c r="R1166" s="53"/>
      <c r="S1166" s="71"/>
      <c r="T1166" s="53"/>
      <c r="U1166" s="13"/>
      <c r="V1166" s="72"/>
      <c r="W1166" s="71"/>
      <c r="X1166" s="53"/>
      <c r="Y1166" s="71"/>
      <c r="Z1166" s="53"/>
      <c r="AA1166" s="13"/>
    </row>
    <row r="1167" spans="10:27" x14ac:dyDescent="0.3">
      <c r="J1167" s="204"/>
      <c r="K1167" s="203"/>
      <c r="L1167" s="196"/>
      <c r="M1167" s="203"/>
      <c r="N1167" s="202"/>
      <c r="P1167" s="72"/>
      <c r="Q1167" s="71"/>
      <c r="R1167" s="53"/>
      <c r="S1167" s="71"/>
      <c r="T1167" s="53"/>
      <c r="U1167" s="13"/>
      <c r="V1167" s="72"/>
      <c r="W1167" s="71"/>
      <c r="X1167" s="53"/>
      <c r="Y1167" s="71"/>
      <c r="Z1167" s="53"/>
      <c r="AA1167" s="13"/>
    </row>
    <row r="1168" spans="10:27" x14ac:dyDescent="0.3">
      <c r="J1168" s="204"/>
      <c r="K1168" s="203"/>
      <c r="L1168" s="196"/>
      <c r="M1168" s="203"/>
      <c r="N1168" s="202"/>
      <c r="P1168" s="72"/>
      <c r="Q1168" s="71"/>
      <c r="R1168" s="53"/>
      <c r="S1168" s="71"/>
      <c r="T1168" s="53"/>
      <c r="U1168" s="13"/>
      <c r="V1168" s="72"/>
      <c r="W1168" s="71"/>
      <c r="X1168" s="53"/>
      <c r="Y1168" s="71"/>
      <c r="Z1168" s="53"/>
      <c r="AA1168" s="13"/>
    </row>
    <row r="1169" spans="10:27" x14ac:dyDescent="0.3">
      <c r="J1169" s="204"/>
      <c r="K1169" s="203"/>
      <c r="L1169" s="196"/>
      <c r="M1169" s="203"/>
      <c r="N1169" s="202"/>
      <c r="P1169" s="72"/>
      <c r="Q1169" s="71"/>
      <c r="R1169" s="53"/>
      <c r="S1169" s="71"/>
      <c r="T1169" s="53"/>
      <c r="U1169" s="13"/>
      <c r="V1169" s="72"/>
      <c r="W1169" s="71"/>
      <c r="X1169" s="53"/>
      <c r="Y1169" s="71"/>
      <c r="Z1169" s="53"/>
      <c r="AA1169" s="13"/>
    </row>
    <row r="1170" spans="10:27" x14ac:dyDescent="0.3">
      <c r="J1170" s="204"/>
      <c r="K1170" s="203"/>
      <c r="L1170" s="196"/>
      <c r="M1170" s="203"/>
      <c r="N1170" s="202"/>
      <c r="P1170" s="72"/>
      <c r="Q1170" s="71"/>
      <c r="R1170" s="53"/>
      <c r="S1170" s="71"/>
      <c r="T1170" s="53"/>
      <c r="U1170" s="13"/>
      <c r="V1170" s="72"/>
      <c r="W1170" s="71"/>
      <c r="X1170" s="53"/>
      <c r="Y1170" s="71"/>
      <c r="Z1170" s="53"/>
      <c r="AA1170" s="13"/>
    </row>
    <row r="1171" spans="10:27" x14ac:dyDescent="0.3">
      <c r="J1171" s="204"/>
      <c r="K1171" s="203"/>
      <c r="L1171" s="196"/>
      <c r="M1171" s="203"/>
      <c r="N1171" s="202"/>
      <c r="P1171" s="72"/>
      <c r="Q1171" s="71"/>
      <c r="R1171" s="53"/>
      <c r="S1171" s="71"/>
      <c r="T1171" s="53"/>
      <c r="U1171" s="13"/>
      <c r="V1171" s="72"/>
      <c r="W1171" s="71"/>
      <c r="X1171" s="53"/>
      <c r="Y1171" s="71"/>
      <c r="Z1171" s="53"/>
      <c r="AA1171" s="13"/>
    </row>
    <row r="1172" spans="10:27" x14ac:dyDescent="0.3">
      <c r="J1172" s="204"/>
      <c r="K1172" s="203"/>
      <c r="L1172" s="196"/>
      <c r="M1172" s="203"/>
      <c r="N1172" s="202"/>
      <c r="P1172" s="72"/>
      <c r="Q1172" s="71"/>
      <c r="R1172" s="53"/>
      <c r="S1172" s="71"/>
      <c r="T1172" s="53"/>
      <c r="U1172" s="13"/>
      <c r="V1172" s="72"/>
      <c r="W1172" s="71"/>
      <c r="X1172" s="53"/>
      <c r="Y1172" s="71"/>
      <c r="Z1172" s="53"/>
      <c r="AA1172" s="13"/>
    </row>
    <row r="1173" spans="10:27" x14ac:dyDescent="0.3">
      <c r="J1173" s="204"/>
      <c r="K1173" s="203"/>
      <c r="L1173" s="196"/>
      <c r="M1173" s="203"/>
      <c r="N1173" s="202"/>
      <c r="P1173" s="72"/>
      <c r="Q1173" s="71"/>
      <c r="R1173" s="53"/>
      <c r="S1173" s="71"/>
      <c r="T1173" s="53"/>
      <c r="U1173" s="13"/>
      <c r="V1173" s="72"/>
      <c r="W1173" s="71"/>
      <c r="X1173" s="53"/>
      <c r="Y1173" s="71"/>
      <c r="Z1173" s="53"/>
      <c r="AA1173" s="13"/>
    </row>
    <row r="1174" spans="10:27" x14ac:dyDescent="0.3">
      <c r="J1174" s="204"/>
      <c r="K1174" s="203"/>
      <c r="L1174" s="196"/>
      <c r="M1174" s="203"/>
      <c r="N1174" s="202"/>
      <c r="P1174" s="72"/>
      <c r="Q1174" s="71"/>
      <c r="R1174" s="53"/>
      <c r="S1174" s="71"/>
      <c r="T1174" s="53"/>
      <c r="U1174" s="13"/>
      <c r="V1174" s="72"/>
      <c r="W1174" s="71"/>
      <c r="X1174" s="53"/>
      <c r="Y1174" s="71"/>
      <c r="Z1174" s="53"/>
      <c r="AA1174" s="13"/>
    </row>
    <row r="1175" spans="10:27" x14ac:dyDescent="0.3">
      <c r="J1175" s="204"/>
      <c r="K1175" s="203"/>
      <c r="L1175" s="196"/>
      <c r="M1175" s="203"/>
      <c r="N1175" s="202"/>
      <c r="P1175" s="72"/>
      <c r="Q1175" s="71"/>
      <c r="R1175" s="53"/>
      <c r="S1175" s="71"/>
      <c r="T1175" s="53"/>
      <c r="U1175" s="13"/>
      <c r="V1175" s="72"/>
      <c r="W1175" s="71"/>
      <c r="X1175" s="53"/>
      <c r="Y1175" s="71"/>
      <c r="Z1175" s="53"/>
      <c r="AA1175" s="13"/>
    </row>
    <row r="1176" spans="10:27" x14ac:dyDescent="0.3">
      <c r="J1176" s="204"/>
      <c r="K1176" s="203"/>
      <c r="L1176" s="196"/>
      <c r="M1176" s="203"/>
      <c r="N1176" s="202"/>
      <c r="P1176" s="72"/>
      <c r="Q1176" s="71"/>
      <c r="R1176" s="53"/>
      <c r="S1176" s="71"/>
      <c r="T1176" s="53"/>
      <c r="U1176" s="13"/>
      <c r="V1176" s="72"/>
      <c r="W1176" s="71"/>
      <c r="X1176" s="53"/>
      <c r="Y1176" s="71"/>
      <c r="Z1176" s="53"/>
      <c r="AA1176" s="13"/>
    </row>
    <row r="1177" spans="10:27" x14ac:dyDescent="0.3">
      <c r="J1177" s="204"/>
      <c r="K1177" s="203"/>
      <c r="L1177" s="196"/>
      <c r="M1177" s="203"/>
      <c r="N1177" s="202"/>
      <c r="P1177" s="72"/>
      <c r="Q1177" s="71"/>
      <c r="R1177" s="53"/>
      <c r="S1177" s="71"/>
      <c r="T1177" s="53"/>
      <c r="U1177" s="13"/>
      <c r="V1177" s="72"/>
      <c r="W1177" s="71"/>
      <c r="X1177" s="53"/>
      <c r="Y1177" s="71"/>
      <c r="Z1177" s="53"/>
      <c r="AA1177" s="13"/>
    </row>
    <row r="1178" spans="10:27" x14ac:dyDescent="0.3">
      <c r="J1178" s="204"/>
      <c r="K1178" s="203"/>
      <c r="L1178" s="196"/>
      <c r="M1178" s="203"/>
      <c r="N1178" s="202"/>
      <c r="P1178" s="72"/>
      <c r="Q1178" s="71"/>
      <c r="R1178" s="53"/>
      <c r="S1178" s="71"/>
      <c r="T1178" s="53"/>
      <c r="U1178" s="13"/>
      <c r="V1178" s="72"/>
      <c r="W1178" s="71"/>
      <c r="X1178" s="53"/>
      <c r="Y1178" s="71"/>
      <c r="Z1178" s="53"/>
      <c r="AA1178" s="13"/>
    </row>
    <row r="1179" spans="10:27" x14ac:dyDescent="0.3">
      <c r="J1179" s="204"/>
      <c r="K1179" s="203"/>
      <c r="L1179" s="196"/>
      <c r="M1179" s="203"/>
      <c r="N1179" s="202"/>
      <c r="P1179" s="72"/>
      <c r="Q1179" s="71"/>
      <c r="R1179" s="53"/>
      <c r="S1179" s="71"/>
      <c r="T1179" s="53"/>
      <c r="U1179" s="13"/>
      <c r="V1179" s="72"/>
      <c r="W1179" s="71"/>
      <c r="X1179" s="53"/>
      <c r="Y1179" s="71"/>
      <c r="Z1179" s="53"/>
      <c r="AA1179" s="13"/>
    </row>
    <row r="1180" spans="10:27" x14ac:dyDescent="0.3">
      <c r="J1180" s="204"/>
      <c r="K1180" s="203"/>
      <c r="L1180" s="196"/>
      <c r="M1180" s="203"/>
      <c r="N1180" s="202"/>
      <c r="P1180" s="72"/>
      <c r="Q1180" s="71"/>
      <c r="R1180" s="53"/>
      <c r="S1180" s="71"/>
      <c r="T1180" s="53"/>
      <c r="U1180" s="13"/>
      <c r="V1180" s="72"/>
      <c r="W1180" s="71"/>
      <c r="X1180" s="53"/>
      <c r="Y1180" s="71"/>
      <c r="Z1180" s="53"/>
      <c r="AA1180" s="13"/>
    </row>
    <row r="1181" spans="10:27" x14ac:dyDescent="0.3">
      <c r="J1181" s="204"/>
      <c r="K1181" s="203"/>
      <c r="L1181" s="196"/>
      <c r="M1181" s="203"/>
      <c r="N1181" s="202"/>
      <c r="P1181" s="72"/>
      <c r="Q1181" s="71"/>
      <c r="R1181" s="53"/>
      <c r="S1181" s="71"/>
      <c r="T1181" s="53"/>
      <c r="U1181" s="13"/>
      <c r="V1181" s="72"/>
      <c r="W1181" s="71"/>
      <c r="X1181" s="53"/>
      <c r="Y1181" s="71"/>
      <c r="Z1181" s="53"/>
      <c r="AA1181" s="13"/>
    </row>
    <row r="1182" spans="10:27" x14ac:dyDescent="0.3">
      <c r="J1182" s="204"/>
      <c r="K1182" s="203"/>
      <c r="L1182" s="196"/>
      <c r="M1182" s="203"/>
      <c r="N1182" s="202"/>
      <c r="P1182" s="72"/>
      <c r="Q1182" s="71"/>
      <c r="R1182" s="53"/>
      <c r="S1182" s="71"/>
      <c r="T1182" s="53"/>
      <c r="U1182" s="13"/>
      <c r="V1182" s="72"/>
      <c r="W1182" s="71"/>
      <c r="X1182" s="53"/>
      <c r="Y1182" s="71"/>
      <c r="Z1182" s="53"/>
      <c r="AA1182" s="13"/>
    </row>
    <row r="1183" spans="10:27" x14ac:dyDescent="0.3">
      <c r="J1183" s="204"/>
      <c r="K1183" s="203"/>
      <c r="L1183" s="196"/>
      <c r="M1183" s="203"/>
      <c r="N1183" s="202"/>
      <c r="P1183" s="72"/>
      <c r="Q1183" s="71"/>
      <c r="R1183" s="53"/>
      <c r="S1183" s="71"/>
      <c r="T1183" s="53"/>
      <c r="U1183" s="13"/>
      <c r="V1183" s="72"/>
      <c r="W1183" s="71"/>
      <c r="X1183" s="53"/>
      <c r="Y1183" s="71"/>
      <c r="Z1183" s="53"/>
      <c r="AA1183" s="13"/>
    </row>
    <row r="1184" spans="10:27" x14ac:dyDescent="0.3">
      <c r="J1184" s="204"/>
      <c r="K1184" s="203"/>
      <c r="L1184" s="196"/>
      <c r="M1184" s="203"/>
      <c r="N1184" s="202"/>
      <c r="P1184" s="72"/>
      <c r="Q1184" s="71"/>
      <c r="R1184" s="53"/>
      <c r="S1184" s="71"/>
      <c r="T1184" s="53"/>
      <c r="U1184" s="13"/>
      <c r="V1184" s="72"/>
      <c r="W1184" s="71"/>
      <c r="X1184" s="53"/>
      <c r="Y1184" s="71"/>
      <c r="Z1184" s="53"/>
      <c r="AA1184" s="13"/>
    </row>
    <row r="1185" spans="10:27" x14ac:dyDescent="0.3">
      <c r="J1185" s="204"/>
      <c r="K1185" s="203"/>
      <c r="L1185" s="196"/>
      <c r="M1185" s="203"/>
      <c r="N1185" s="202"/>
      <c r="P1185" s="72"/>
      <c r="Q1185" s="71"/>
      <c r="R1185" s="53"/>
      <c r="S1185" s="71"/>
      <c r="T1185" s="53"/>
      <c r="U1185" s="13"/>
      <c r="V1185" s="72"/>
      <c r="W1185" s="71"/>
      <c r="X1185" s="53"/>
      <c r="Y1185" s="71"/>
      <c r="Z1185" s="53"/>
      <c r="AA1185" s="13"/>
    </row>
    <row r="1186" spans="10:27" x14ac:dyDescent="0.3">
      <c r="J1186" s="204"/>
      <c r="K1186" s="203"/>
      <c r="L1186" s="196"/>
      <c r="M1186" s="203"/>
      <c r="N1186" s="202"/>
      <c r="P1186" s="72"/>
      <c r="Q1186" s="71"/>
      <c r="R1186" s="53"/>
      <c r="S1186" s="71"/>
      <c r="T1186" s="53"/>
      <c r="U1186" s="13"/>
      <c r="V1186" s="72"/>
      <c r="W1186" s="71"/>
      <c r="X1186" s="53"/>
      <c r="Y1186" s="71"/>
      <c r="Z1186" s="53"/>
      <c r="AA1186" s="13"/>
    </row>
    <row r="1187" spans="10:27" x14ac:dyDescent="0.3">
      <c r="J1187" s="204"/>
      <c r="K1187" s="203"/>
      <c r="L1187" s="196"/>
      <c r="M1187" s="203"/>
      <c r="N1187" s="202"/>
      <c r="P1187" s="72"/>
      <c r="Q1187" s="71"/>
      <c r="R1187" s="53"/>
      <c r="S1187" s="71"/>
      <c r="T1187" s="53"/>
      <c r="U1187" s="13"/>
      <c r="V1187" s="72"/>
      <c r="W1187" s="71"/>
      <c r="X1187" s="53"/>
      <c r="Y1187" s="71"/>
      <c r="Z1187" s="53"/>
      <c r="AA1187" s="13"/>
    </row>
    <row r="1188" spans="10:27" x14ac:dyDescent="0.3">
      <c r="J1188" s="204"/>
      <c r="K1188" s="203"/>
      <c r="L1188" s="196"/>
      <c r="M1188" s="203"/>
      <c r="N1188" s="202"/>
      <c r="P1188" s="72"/>
      <c r="Q1188" s="71"/>
      <c r="R1188" s="53"/>
      <c r="S1188" s="71"/>
      <c r="T1188" s="53"/>
      <c r="U1188" s="13"/>
      <c r="V1188" s="72"/>
      <c r="W1188" s="71"/>
      <c r="X1188" s="53"/>
      <c r="Y1188" s="71"/>
      <c r="Z1188" s="53"/>
      <c r="AA1188" s="13"/>
    </row>
    <row r="1189" spans="10:27" x14ac:dyDescent="0.3">
      <c r="J1189" s="204"/>
      <c r="K1189" s="203"/>
      <c r="L1189" s="196"/>
      <c r="M1189" s="203"/>
      <c r="N1189" s="202"/>
      <c r="P1189" s="72"/>
      <c r="Q1189" s="71"/>
      <c r="R1189" s="53"/>
      <c r="S1189" s="71"/>
      <c r="T1189" s="53"/>
      <c r="U1189" s="13"/>
      <c r="V1189" s="72"/>
      <c r="W1189" s="71"/>
      <c r="X1189" s="53"/>
      <c r="Y1189" s="71"/>
      <c r="Z1189" s="53"/>
      <c r="AA1189" s="13"/>
    </row>
    <row r="1190" spans="10:27" x14ac:dyDescent="0.3">
      <c r="J1190" s="204"/>
      <c r="K1190" s="203"/>
      <c r="L1190" s="196"/>
      <c r="M1190" s="203"/>
      <c r="N1190" s="202"/>
      <c r="P1190" s="72"/>
      <c r="Q1190" s="71"/>
      <c r="R1190" s="53"/>
      <c r="S1190" s="71"/>
      <c r="T1190" s="53"/>
      <c r="U1190" s="13"/>
      <c r="V1190" s="72"/>
      <c r="W1190" s="71"/>
      <c r="X1190" s="53"/>
      <c r="Y1190" s="71"/>
      <c r="Z1190" s="53"/>
      <c r="AA1190" s="13"/>
    </row>
    <row r="1191" spans="10:27" x14ac:dyDescent="0.3">
      <c r="J1191" s="204"/>
      <c r="K1191" s="203"/>
      <c r="L1191" s="196"/>
      <c r="M1191" s="203"/>
      <c r="N1191" s="202"/>
      <c r="P1191" s="72"/>
      <c r="Q1191" s="71"/>
      <c r="R1191" s="53"/>
      <c r="S1191" s="71"/>
      <c r="T1191" s="53"/>
      <c r="U1191" s="13"/>
      <c r="V1191" s="72"/>
      <c r="W1191" s="71"/>
      <c r="X1191" s="53"/>
      <c r="Y1191" s="71"/>
      <c r="Z1191" s="53"/>
      <c r="AA1191" s="13"/>
    </row>
    <row r="1192" spans="10:27" x14ac:dyDescent="0.3">
      <c r="J1192" s="204"/>
      <c r="K1192" s="203"/>
      <c r="L1192" s="196"/>
      <c r="M1192" s="203"/>
      <c r="N1192" s="202"/>
      <c r="P1192" s="72"/>
      <c r="Q1192" s="71"/>
      <c r="R1192" s="53"/>
      <c r="S1192" s="71"/>
      <c r="T1192" s="53"/>
      <c r="U1192" s="13"/>
      <c r="V1192" s="72"/>
      <c r="W1192" s="71"/>
      <c r="X1192" s="53"/>
      <c r="Y1192" s="71"/>
      <c r="Z1192" s="53"/>
      <c r="AA1192" s="13"/>
    </row>
    <row r="1193" spans="10:27" x14ac:dyDescent="0.3">
      <c r="J1193" s="204"/>
      <c r="K1193" s="203"/>
      <c r="L1193" s="196"/>
      <c r="M1193" s="203"/>
      <c r="N1193" s="202"/>
      <c r="P1193" s="72"/>
      <c r="Q1193" s="71"/>
      <c r="R1193" s="53"/>
      <c r="S1193" s="71"/>
      <c r="T1193" s="53"/>
      <c r="U1193" s="13"/>
      <c r="V1193" s="72"/>
      <c r="W1193" s="71"/>
      <c r="X1193" s="53"/>
      <c r="Y1193" s="71"/>
      <c r="Z1193" s="53"/>
      <c r="AA1193" s="13"/>
    </row>
    <row r="1194" spans="10:27" x14ac:dyDescent="0.3">
      <c r="J1194" s="204"/>
      <c r="K1194" s="203"/>
      <c r="L1194" s="196"/>
      <c r="M1194" s="203"/>
      <c r="N1194" s="202"/>
      <c r="P1194" s="72"/>
      <c r="Q1194" s="71"/>
      <c r="R1194" s="53"/>
      <c r="S1194" s="71"/>
      <c r="T1194" s="53"/>
      <c r="U1194" s="13"/>
      <c r="V1194" s="72"/>
      <c r="W1194" s="71"/>
      <c r="X1194" s="53"/>
      <c r="Y1194" s="71"/>
      <c r="Z1194" s="53"/>
      <c r="AA1194" s="13"/>
    </row>
    <row r="1195" spans="10:27" x14ac:dyDescent="0.3">
      <c r="J1195" s="204"/>
      <c r="K1195" s="203"/>
      <c r="L1195" s="196"/>
      <c r="M1195" s="203"/>
      <c r="N1195" s="202"/>
      <c r="P1195" s="72"/>
      <c r="Q1195" s="71"/>
      <c r="R1195" s="53"/>
      <c r="S1195" s="71"/>
      <c r="T1195" s="53"/>
      <c r="U1195" s="13"/>
      <c r="V1195" s="72"/>
      <c r="W1195" s="71"/>
      <c r="X1195" s="53"/>
      <c r="Y1195" s="71"/>
      <c r="Z1195" s="53"/>
      <c r="AA1195" s="13"/>
    </row>
    <row r="1196" spans="10:27" x14ac:dyDescent="0.3">
      <c r="J1196" s="204"/>
      <c r="K1196" s="203"/>
      <c r="L1196" s="196"/>
      <c r="M1196" s="203"/>
      <c r="N1196" s="202"/>
      <c r="P1196" s="72"/>
      <c r="Q1196" s="71"/>
      <c r="R1196" s="53"/>
      <c r="S1196" s="71"/>
      <c r="T1196" s="53"/>
      <c r="U1196" s="13"/>
      <c r="V1196" s="72"/>
      <c r="W1196" s="71"/>
      <c r="X1196" s="53"/>
      <c r="Y1196" s="71"/>
      <c r="Z1196" s="53"/>
      <c r="AA1196" s="13"/>
    </row>
    <row r="1197" spans="10:27" x14ac:dyDescent="0.3">
      <c r="J1197" s="204"/>
      <c r="K1197" s="203"/>
      <c r="L1197" s="196"/>
      <c r="M1197" s="203"/>
      <c r="N1197" s="202"/>
      <c r="P1197" s="72"/>
      <c r="Q1197" s="71"/>
      <c r="R1197" s="53"/>
      <c r="S1197" s="71"/>
      <c r="T1197" s="53"/>
      <c r="U1197" s="13"/>
      <c r="V1197" s="72"/>
      <c r="W1197" s="71"/>
      <c r="X1197" s="53"/>
      <c r="Y1197" s="71"/>
      <c r="Z1197" s="53"/>
      <c r="AA1197" s="13"/>
    </row>
    <row r="1198" spans="10:27" x14ac:dyDescent="0.3">
      <c r="J1198" s="204"/>
      <c r="K1198" s="203"/>
      <c r="L1198" s="196"/>
      <c r="M1198" s="203"/>
      <c r="N1198" s="202"/>
      <c r="P1198" s="72"/>
      <c r="Q1198" s="71"/>
      <c r="R1198" s="53"/>
      <c r="S1198" s="71"/>
      <c r="T1198" s="53"/>
      <c r="U1198" s="13"/>
      <c r="V1198" s="72"/>
      <c r="W1198" s="71"/>
      <c r="X1198" s="53"/>
      <c r="Y1198" s="71"/>
      <c r="Z1198" s="53"/>
      <c r="AA1198" s="13"/>
    </row>
    <row r="1199" spans="10:27" x14ac:dyDescent="0.3">
      <c r="J1199" s="204"/>
      <c r="K1199" s="203"/>
      <c r="L1199" s="196"/>
      <c r="M1199" s="203"/>
      <c r="N1199" s="202"/>
      <c r="P1199" s="72"/>
      <c r="Q1199" s="71"/>
      <c r="R1199" s="53"/>
      <c r="S1199" s="71"/>
      <c r="T1199" s="53"/>
      <c r="U1199" s="13"/>
      <c r="V1199" s="72"/>
      <c r="W1199" s="71"/>
      <c r="X1199" s="53"/>
      <c r="Y1199" s="71"/>
      <c r="Z1199" s="53"/>
      <c r="AA1199" s="13"/>
    </row>
    <row r="1200" spans="10:27" x14ac:dyDescent="0.3">
      <c r="J1200" s="204"/>
      <c r="K1200" s="203"/>
      <c r="L1200" s="196"/>
      <c r="M1200" s="203"/>
      <c r="N1200" s="202"/>
      <c r="P1200" s="72"/>
      <c r="Q1200" s="71"/>
      <c r="R1200" s="53"/>
      <c r="S1200" s="71"/>
      <c r="T1200" s="53"/>
      <c r="U1200" s="13"/>
      <c r="V1200" s="72"/>
      <c r="W1200" s="71"/>
      <c r="X1200" s="53"/>
      <c r="Y1200" s="71"/>
      <c r="Z1200" s="53"/>
      <c r="AA1200" s="13"/>
    </row>
    <row r="1201" spans="10:27" x14ac:dyDescent="0.3">
      <c r="J1201" s="204"/>
      <c r="K1201" s="203"/>
      <c r="L1201" s="196"/>
      <c r="M1201" s="203"/>
      <c r="N1201" s="202"/>
      <c r="P1201" s="72"/>
      <c r="Q1201" s="71"/>
      <c r="R1201" s="53"/>
      <c r="S1201" s="71"/>
      <c r="T1201" s="53"/>
      <c r="U1201" s="13"/>
      <c r="V1201" s="72"/>
      <c r="W1201" s="71"/>
      <c r="X1201" s="53"/>
      <c r="Y1201" s="71"/>
      <c r="Z1201" s="53"/>
      <c r="AA1201" s="13"/>
    </row>
    <row r="1202" spans="10:27" x14ac:dyDescent="0.3">
      <c r="J1202" s="204"/>
      <c r="K1202" s="203"/>
      <c r="L1202" s="196"/>
      <c r="M1202" s="203"/>
      <c r="N1202" s="202"/>
      <c r="P1202" s="72"/>
      <c r="Q1202" s="71"/>
      <c r="R1202" s="53"/>
      <c r="S1202" s="71"/>
      <c r="T1202" s="53"/>
      <c r="U1202" s="13"/>
      <c r="V1202" s="72"/>
      <c r="W1202" s="71"/>
      <c r="X1202" s="53"/>
      <c r="Y1202" s="71"/>
      <c r="Z1202" s="53"/>
      <c r="AA1202" s="13"/>
    </row>
    <row r="1203" spans="10:27" x14ac:dyDescent="0.3">
      <c r="J1203" s="204"/>
      <c r="K1203" s="203"/>
      <c r="L1203" s="196"/>
      <c r="M1203" s="203"/>
      <c r="N1203" s="202"/>
      <c r="P1203" s="72"/>
      <c r="Q1203" s="71"/>
      <c r="R1203" s="53"/>
      <c r="S1203" s="71"/>
      <c r="T1203" s="53"/>
      <c r="U1203" s="13"/>
      <c r="V1203" s="72"/>
      <c r="W1203" s="71"/>
      <c r="X1203" s="53"/>
      <c r="Y1203" s="71"/>
      <c r="Z1203" s="53"/>
      <c r="AA1203" s="13"/>
    </row>
    <row r="1204" spans="10:27" x14ac:dyDescent="0.3">
      <c r="J1204" s="204"/>
      <c r="K1204" s="203"/>
      <c r="L1204" s="196"/>
      <c r="M1204" s="203"/>
      <c r="N1204" s="202"/>
      <c r="P1204" s="72"/>
      <c r="Q1204" s="71"/>
      <c r="R1204" s="53"/>
      <c r="S1204" s="71"/>
      <c r="T1204" s="53"/>
      <c r="U1204" s="13"/>
      <c r="V1204" s="72"/>
      <c r="W1204" s="71"/>
      <c r="X1204" s="53"/>
      <c r="Y1204" s="71"/>
      <c r="Z1204" s="53"/>
      <c r="AA1204" s="13"/>
    </row>
    <row r="1205" spans="10:27" x14ac:dyDescent="0.3">
      <c r="J1205" s="204"/>
      <c r="K1205" s="203"/>
      <c r="L1205" s="196"/>
      <c r="M1205" s="203"/>
      <c r="N1205" s="202"/>
      <c r="P1205" s="72"/>
      <c r="Q1205" s="71"/>
      <c r="R1205" s="53"/>
      <c r="S1205" s="71"/>
      <c r="T1205" s="53"/>
      <c r="U1205" s="13"/>
      <c r="V1205" s="72"/>
      <c r="W1205" s="71"/>
      <c r="X1205" s="53"/>
      <c r="Y1205" s="71"/>
      <c r="Z1205" s="53"/>
      <c r="AA1205" s="13"/>
    </row>
    <row r="1206" spans="10:27" x14ac:dyDescent="0.3">
      <c r="J1206" s="204"/>
      <c r="K1206" s="203"/>
      <c r="L1206" s="196"/>
      <c r="M1206" s="203"/>
      <c r="N1206" s="202"/>
      <c r="P1206" s="72"/>
      <c r="Q1206" s="71"/>
      <c r="R1206" s="53"/>
      <c r="S1206" s="71"/>
      <c r="T1206" s="53"/>
      <c r="U1206" s="13"/>
      <c r="V1206" s="72"/>
      <c r="W1206" s="71"/>
      <c r="X1206" s="53"/>
      <c r="Y1206" s="71"/>
      <c r="Z1206" s="53"/>
      <c r="AA1206" s="13"/>
    </row>
    <row r="1207" spans="10:27" x14ac:dyDescent="0.3">
      <c r="J1207" s="204"/>
      <c r="K1207" s="203"/>
      <c r="L1207" s="196"/>
      <c r="M1207" s="203"/>
      <c r="N1207" s="202"/>
      <c r="P1207" s="72"/>
      <c r="Q1207" s="71"/>
      <c r="R1207" s="53"/>
      <c r="S1207" s="71"/>
      <c r="T1207" s="53"/>
      <c r="U1207" s="13"/>
      <c r="V1207" s="72"/>
      <c r="W1207" s="71"/>
      <c r="X1207" s="53"/>
      <c r="Y1207" s="71"/>
      <c r="Z1207" s="53"/>
      <c r="AA1207" s="13"/>
    </row>
    <row r="1208" spans="10:27" x14ac:dyDescent="0.3">
      <c r="J1208" s="204"/>
      <c r="K1208" s="203"/>
      <c r="L1208" s="196"/>
      <c r="M1208" s="203"/>
      <c r="N1208" s="202"/>
      <c r="P1208" s="72"/>
      <c r="Q1208" s="71"/>
      <c r="R1208" s="53"/>
      <c r="S1208" s="71"/>
      <c r="T1208" s="53"/>
      <c r="U1208" s="13"/>
      <c r="V1208" s="72"/>
      <c r="W1208" s="71"/>
      <c r="X1208" s="53"/>
      <c r="Y1208" s="71"/>
      <c r="Z1208" s="53"/>
      <c r="AA1208" s="13"/>
    </row>
    <row r="1209" spans="10:27" x14ac:dyDescent="0.3">
      <c r="J1209" s="204"/>
      <c r="K1209" s="203"/>
      <c r="L1209" s="196"/>
      <c r="M1209" s="203"/>
      <c r="N1209" s="202"/>
      <c r="P1209" s="72"/>
      <c r="Q1209" s="71"/>
      <c r="R1209" s="53"/>
      <c r="S1209" s="71"/>
      <c r="T1209" s="53"/>
      <c r="U1209" s="13"/>
      <c r="V1209" s="72"/>
      <c r="W1209" s="71"/>
      <c r="X1209" s="53"/>
      <c r="Y1209" s="71"/>
      <c r="Z1209" s="53"/>
      <c r="AA1209" s="13"/>
    </row>
    <row r="1210" spans="10:27" x14ac:dyDescent="0.3">
      <c r="J1210" s="204"/>
      <c r="K1210" s="203"/>
      <c r="L1210" s="196"/>
      <c r="M1210" s="203"/>
      <c r="N1210" s="202"/>
      <c r="P1210" s="72"/>
      <c r="Q1210" s="71"/>
      <c r="R1210" s="53"/>
      <c r="S1210" s="71"/>
      <c r="T1210" s="53"/>
      <c r="U1210" s="13"/>
      <c r="V1210" s="72"/>
      <c r="W1210" s="71"/>
      <c r="X1210" s="53"/>
      <c r="Y1210" s="71"/>
      <c r="Z1210" s="53"/>
      <c r="AA1210" s="13"/>
    </row>
    <row r="1211" spans="10:27" x14ac:dyDescent="0.3">
      <c r="J1211" s="204"/>
      <c r="K1211" s="203"/>
      <c r="L1211" s="196"/>
      <c r="M1211" s="203"/>
      <c r="N1211" s="202"/>
      <c r="P1211" s="72"/>
      <c r="Q1211" s="71"/>
      <c r="R1211" s="53"/>
      <c r="S1211" s="71"/>
      <c r="T1211" s="53"/>
      <c r="U1211" s="13"/>
      <c r="V1211" s="72"/>
      <c r="W1211" s="71"/>
      <c r="X1211" s="53"/>
      <c r="Y1211" s="71"/>
      <c r="Z1211" s="53"/>
      <c r="AA1211" s="13"/>
    </row>
    <row r="1212" spans="10:27" x14ac:dyDescent="0.3">
      <c r="J1212" s="204"/>
      <c r="K1212" s="203"/>
      <c r="L1212" s="196"/>
      <c r="M1212" s="203"/>
      <c r="N1212" s="202"/>
      <c r="P1212" s="72"/>
      <c r="Q1212" s="71"/>
      <c r="R1212" s="53"/>
      <c r="S1212" s="71"/>
      <c r="T1212" s="53"/>
      <c r="U1212" s="13"/>
      <c r="V1212" s="72"/>
      <c r="W1212" s="71"/>
      <c r="X1212" s="53"/>
      <c r="Y1212" s="71"/>
      <c r="Z1212" s="53"/>
      <c r="AA1212" s="13"/>
    </row>
    <row r="1213" spans="10:27" x14ac:dyDescent="0.3">
      <c r="J1213" s="204"/>
      <c r="K1213" s="203"/>
      <c r="L1213" s="196"/>
      <c r="M1213" s="203"/>
      <c r="N1213" s="202"/>
      <c r="P1213" s="72"/>
      <c r="Q1213" s="71"/>
      <c r="R1213" s="53"/>
      <c r="S1213" s="71"/>
      <c r="T1213" s="53"/>
      <c r="U1213" s="13"/>
      <c r="V1213" s="72"/>
      <c r="W1213" s="71"/>
      <c r="X1213" s="53"/>
      <c r="Y1213" s="71"/>
      <c r="Z1213" s="53"/>
      <c r="AA1213" s="13"/>
    </row>
    <row r="1214" spans="10:27" x14ac:dyDescent="0.3">
      <c r="J1214" s="204"/>
      <c r="K1214" s="203"/>
      <c r="L1214" s="196"/>
      <c r="M1214" s="203"/>
      <c r="N1214" s="202"/>
      <c r="P1214" s="72"/>
      <c r="Q1214" s="71"/>
      <c r="R1214" s="53"/>
      <c r="S1214" s="71"/>
      <c r="T1214" s="53"/>
      <c r="U1214" s="13"/>
      <c r="V1214" s="72"/>
      <c r="W1214" s="71"/>
      <c r="X1214" s="53"/>
      <c r="Y1214" s="71"/>
      <c r="Z1214" s="53"/>
      <c r="AA1214" s="13"/>
    </row>
    <row r="1215" spans="10:27" x14ac:dyDescent="0.3">
      <c r="J1215" s="204"/>
      <c r="K1215" s="203"/>
      <c r="L1215" s="196"/>
      <c r="M1215" s="203"/>
      <c r="N1215" s="202"/>
      <c r="P1215" s="72"/>
      <c r="Q1215" s="71"/>
      <c r="R1215" s="53"/>
      <c r="S1215" s="71"/>
      <c r="T1215" s="53"/>
      <c r="U1215" s="13"/>
      <c r="V1215" s="72"/>
      <c r="W1215" s="71"/>
      <c r="X1215" s="53"/>
      <c r="Y1215" s="71"/>
      <c r="Z1215" s="53"/>
      <c r="AA1215" s="13"/>
    </row>
    <row r="1216" spans="10:27" x14ac:dyDescent="0.3">
      <c r="J1216" s="204"/>
      <c r="K1216" s="203"/>
      <c r="L1216" s="196"/>
      <c r="M1216" s="203"/>
      <c r="N1216" s="202"/>
      <c r="P1216" s="72"/>
      <c r="Q1216" s="71"/>
      <c r="R1216" s="53"/>
      <c r="S1216" s="71"/>
      <c r="T1216" s="53"/>
      <c r="U1216" s="13"/>
      <c r="V1216" s="72"/>
      <c r="W1216" s="71"/>
      <c r="X1216" s="53"/>
      <c r="Y1216" s="71"/>
      <c r="Z1216" s="53"/>
      <c r="AA1216" s="13"/>
    </row>
    <row r="1217" spans="10:27" x14ac:dyDescent="0.3">
      <c r="J1217" s="204"/>
      <c r="K1217" s="203"/>
      <c r="L1217" s="196"/>
      <c r="M1217" s="203"/>
      <c r="N1217" s="202"/>
      <c r="P1217" s="72"/>
      <c r="Q1217" s="71"/>
      <c r="R1217" s="53"/>
      <c r="S1217" s="71"/>
      <c r="T1217" s="53"/>
      <c r="U1217" s="13"/>
      <c r="V1217" s="72"/>
      <c r="W1217" s="71"/>
      <c r="X1217" s="53"/>
      <c r="Y1217" s="71"/>
      <c r="Z1217" s="53"/>
      <c r="AA1217" s="13"/>
    </row>
    <row r="1218" spans="10:27" x14ac:dyDescent="0.3">
      <c r="J1218" s="204"/>
      <c r="K1218" s="203"/>
      <c r="L1218" s="196"/>
      <c r="M1218" s="203"/>
      <c r="N1218" s="202"/>
      <c r="P1218" s="72"/>
      <c r="Q1218" s="71"/>
      <c r="R1218" s="53"/>
      <c r="S1218" s="71"/>
      <c r="T1218" s="53"/>
      <c r="U1218" s="13"/>
      <c r="V1218" s="72"/>
      <c r="W1218" s="71"/>
      <c r="X1218" s="53"/>
      <c r="Y1218" s="71"/>
      <c r="Z1218" s="53"/>
      <c r="AA1218" s="13"/>
    </row>
    <row r="1219" spans="10:27" x14ac:dyDescent="0.3">
      <c r="J1219" s="204"/>
      <c r="K1219" s="203"/>
      <c r="L1219" s="196"/>
      <c r="M1219" s="203"/>
      <c r="N1219" s="202"/>
      <c r="P1219" s="72"/>
      <c r="Q1219" s="71"/>
      <c r="R1219" s="53"/>
      <c r="S1219" s="71"/>
      <c r="T1219" s="53"/>
      <c r="U1219" s="13"/>
      <c r="V1219" s="72"/>
      <c r="W1219" s="71"/>
      <c r="X1219" s="53"/>
      <c r="Y1219" s="71"/>
      <c r="Z1219" s="53"/>
      <c r="AA1219" s="13"/>
    </row>
    <row r="1220" spans="10:27" x14ac:dyDescent="0.3">
      <c r="J1220" s="204"/>
      <c r="K1220" s="203"/>
      <c r="L1220" s="196"/>
      <c r="M1220" s="203"/>
      <c r="N1220" s="202"/>
      <c r="P1220" s="72"/>
      <c r="Q1220" s="71"/>
      <c r="R1220" s="53"/>
      <c r="S1220" s="71"/>
      <c r="T1220" s="53"/>
      <c r="U1220" s="13"/>
      <c r="V1220" s="72"/>
      <c r="W1220" s="71"/>
      <c r="X1220" s="53"/>
      <c r="Y1220" s="71"/>
      <c r="Z1220" s="53"/>
      <c r="AA1220" s="13"/>
    </row>
    <row r="1221" spans="10:27" x14ac:dyDescent="0.3">
      <c r="J1221" s="204"/>
      <c r="K1221" s="203"/>
      <c r="L1221" s="196"/>
      <c r="M1221" s="203"/>
      <c r="N1221" s="202"/>
      <c r="P1221" s="72"/>
      <c r="Q1221" s="71"/>
      <c r="R1221" s="53"/>
      <c r="S1221" s="71"/>
      <c r="T1221" s="53"/>
      <c r="U1221" s="13"/>
      <c r="V1221" s="72"/>
      <c r="W1221" s="71"/>
      <c r="X1221" s="53"/>
      <c r="Y1221" s="71"/>
      <c r="Z1221" s="53"/>
      <c r="AA1221" s="13"/>
    </row>
    <row r="1222" spans="10:27" x14ac:dyDescent="0.3">
      <c r="J1222" s="204"/>
      <c r="K1222" s="203"/>
      <c r="L1222" s="196"/>
      <c r="M1222" s="203"/>
      <c r="N1222" s="202"/>
      <c r="P1222" s="72"/>
      <c r="Q1222" s="71"/>
      <c r="R1222" s="53"/>
      <c r="S1222" s="71"/>
      <c r="T1222" s="53"/>
      <c r="U1222" s="13"/>
      <c r="V1222" s="72"/>
      <c r="W1222" s="71"/>
      <c r="X1222" s="53"/>
      <c r="Y1222" s="71"/>
      <c r="Z1222" s="53"/>
      <c r="AA1222" s="13"/>
    </row>
    <row r="1223" spans="10:27" x14ac:dyDescent="0.3">
      <c r="J1223" s="204"/>
      <c r="K1223" s="203"/>
      <c r="L1223" s="196"/>
      <c r="M1223" s="203"/>
      <c r="N1223" s="202"/>
      <c r="P1223" s="72"/>
      <c r="Q1223" s="71"/>
      <c r="R1223" s="53"/>
      <c r="S1223" s="71"/>
      <c r="T1223" s="53"/>
      <c r="U1223" s="13"/>
      <c r="V1223" s="72"/>
      <c r="W1223" s="71"/>
      <c r="X1223" s="53"/>
      <c r="Y1223" s="71"/>
      <c r="Z1223" s="53"/>
      <c r="AA1223" s="13"/>
    </row>
    <row r="1224" spans="10:27" x14ac:dyDescent="0.3">
      <c r="J1224" s="204"/>
      <c r="K1224" s="203"/>
      <c r="L1224" s="196"/>
      <c r="M1224" s="203"/>
      <c r="N1224" s="202"/>
      <c r="P1224" s="72"/>
      <c r="Q1224" s="71"/>
      <c r="R1224" s="53"/>
      <c r="S1224" s="71"/>
      <c r="T1224" s="53"/>
      <c r="U1224" s="13"/>
      <c r="V1224" s="72"/>
      <c r="W1224" s="71"/>
      <c r="X1224" s="53"/>
      <c r="Y1224" s="71"/>
      <c r="Z1224" s="53"/>
      <c r="AA1224" s="13"/>
    </row>
    <row r="1225" spans="10:27" x14ac:dyDescent="0.3">
      <c r="J1225" s="204"/>
      <c r="K1225" s="203"/>
      <c r="L1225" s="196"/>
      <c r="M1225" s="203"/>
      <c r="N1225" s="202"/>
      <c r="P1225" s="72"/>
      <c r="Q1225" s="71"/>
      <c r="R1225" s="53"/>
      <c r="S1225" s="71"/>
      <c r="T1225" s="53"/>
      <c r="U1225" s="13"/>
      <c r="V1225" s="72"/>
      <c r="W1225" s="71"/>
      <c r="X1225" s="53"/>
      <c r="Y1225" s="71"/>
      <c r="Z1225" s="53"/>
      <c r="AA1225" s="13"/>
    </row>
    <row r="1226" spans="10:27" x14ac:dyDescent="0.3">
      <c r="J1226" s="204"/>
      <c r="K1226" s="203"/>
      <c r="L1226" s="196"/>
      <c r="M1226" s="203"/>
      <c r="N1226" s="202"/>
      <c r="P1226" s="72"/>
      <c r="Q1226" s="71"/>
      <c r="R1226" s="53"/>
      <c r="S1226" s="71"/>
      <c r="T1226" s="53"/>
      <c r="U1226" s="13"/>
      <c r="V1226" s="72"/>
      <c r="W1226" s="71"/>
      <c r="X1226" s="53"/>
      <c r="Y1226" s="71"/>
      <c r="Z1226" s="53"/>
      <c r="AA1226" s="13"/>
    </row>
    <row r="1227" spans="10:27" x14ac:dyDescent="0.3">
      <c r="J1227" s="204"/>
      <c r="K1227" s="203"/>
      <c r="L1227" s="196"/>
      <c r="M1227" s="203"/>
      <c r="N1227" s="202"/>
      <c r="P1227" s="72"/>
      <c r="Q1227" s="71"/>
      <c r="R1227" s="53"/>
      <c r="S1227" s="71"/>
      <c r="T1227" s="53"/>
      <c r="U1227" s="13"/>
      <c r="V1227" s="72"/>
      <c r="W1227" s="71"/>
      <c r="X1227" s="53"/>
      <c r="Y1227" s="77"/>
      <c r="Z1227" s="53"/>
      <c r="AA1227" s="13"/>
    </row>
    <row r="1228" spans="10:27" x14ac:dyDescent="0.3">
      <c r="J1228" s="204"/>
      <c r="K1228" s="203"/>
      <c r="L1228" s="196"/>
      <c r="M1228" s="203"/>
      <c r="N1228" s="202"/>
      <c r="P1228" s="72"/>
      <c r="Q1228" s="71"/>
      <c r="R1228" s="53"/>
      <c r="S1228" s="71"/>
      <c r="T1228" s="53"/>
      <c r="U1228" s="13"/>
      <c r="V1228" s="72"/>
      <c r="W1228" s="71"/>
      <c r="X1228" s="53"/>
      <c r="Y1228" s="71"/>
      <c r="Z1228" s="53"/>
      <c r="AA1228" s="13"/>
    </row>
    <row r="1229" spans="10:27" x14ac:dyDescent="0.3">
      <c r="J1229" s="204"/>
      <c r="K1229" s="203"/>
      <c r="L1229" s="196"/>
      <c r="M1229" s="203"/>
      <c r="N1229" s="202"/>
      <c r="P1229" s="72"/>
      <c r="Q1229" s="71"/>
      <c r="R1229" s="53"/>
      <c r="S1229" s="71"/>
      <c r="T1229" s="53"/>
      <c r="U1229" s="13"/>
      <c r="V1229" s="72"/>
      <c r="W1229" s="71"/>
      <c r="X1229" s="53"/>
      <c r="Y1229" s="71"/>
      <c r="Z1229" s="53"/>
      <c r="AA1229" s="13"/>
    </row>
    <row r="1230" spans="10:27" x14ac:dyDescent="0.3">
      <c r="J1230" s="204"/>
      <c r="K1230" s="203"/>
      <c r="L1230" s="196"/>
      <c r="M1230" s="203"/>
      <c r="N1230" s="202"/>
      <c r="P1230" s="72"/>
      <c r="Q1230" s="71"/>
      <c r="R1230" s="53"/>
      <c r="S1230" s="71"/>
      <c r="T1230" s="53"/>
      <c r="U1230" s="13"/>
      <c r="V1230" s="72"/>
      <c r="W1230" s="71"/>
      <c r="X1230" s="53"/>
      <c r="Y1230" s="71"/>
      <c r="Z1230" s="53"/>
      <c r="AA1230" s="13"/>
    </row>
    <row r="1231" spans="10:27" x14ac:dyDescent="0.3">
      <c r="J1231" s="204"/>
      <c r="K1231" s="203"/>
      <c r="L1231" s="196"/>
      <c r="M1231" s="203"/>
      <c r="N1231" s="202"/>
      <c r="P1231" s="72"/>
      <c r="Q1231" s="71"/>
      <c r="R1231" s="53"/>
      <c r="S1231" s="71"/>
      <c r="T1231" s="53"/>
      <c r="U1231" s="13"/>
      <c r="V1231" s="72"/>
      <c r="W1231" s="71"/>
      <c r="X1231" s="53"/>
      <c r="Y1231" s="71"/>
      <c r="Z1231" s="53"/>
      <c r="AA1231" s="13"/>
    </row>
    <row r="1232" spans="10:27" x14ac:dyDescent="0.3">
      <c r="J1232" s="204"/>
      <c r="K1232" s="203"/>
      <c r="L1232" s="196"/>
      <c r="M1232" s="203"/>
      <c r="N1232" s="202"/>
      <c r="P1232" s="72"/>
      <c r="Q1232" s="71"/>
      <c r="R1232" s="53"/>
      <c r="S1232" s="71"/>
      <c r="T1232" s="53"/>
      <c r="U1232" s="13"/>
      <c r="V1232" s="72"/>
      <c r="W1232" s="71"/>
      <c r="X1232" s="53"/>
      <c r="Y1232" s="71"/>
      <c r="Z1232" s="53"/>
      <c r="AA1232" s="13"/>
    </row>
    <row r="1233" spans="10:27" x14ac:dyDescent="0.3">
      <c r="J1233" s="204"/>
      <c r="K1233" s="203"/>
      <c r="L1233" s="196"/>
      <c r="M1233" s="203"/>
      <c r="N1233" s="202"/>
      <c r="P1233" s="72"/>
      <c r="Q1233" s="71"/>
      <c r="R1233" s="53"/>
      <c r="S1233" s="71"/>
      <c r="T1233" s="53"/>
      <c r="U1233" s="13"/>
      <c r="V1233" s="72"/>
      <c r="W1233" s="71"/>
      <c r="X1233" s="53"/>
      <c r="Y1233" s="71"/>
      <c r="Z1233" s="53"/>
      <c r="AA1233" s="13"/>
    </row>
    <row r="1234" spans="10:27" x14ac:dyDescent="0.3">
      <c r="J1234" s="204"/>
      <c r="K1234" s="203"/>
      <c r="L1234" s="196"/>
      <c r="M1234" s="203"/>
      <c r="N1234" s="202"/>
      <c r="P1234" s="72"/>
      <c r="Q1234" s="71"/>
      <c r="R1234" s="53"/>
      <c r="S1234" s="71"/>
      <c r="T1234" s="53"/>
      <c r="U1234" s="13"/>
      <c r="V1234" s="72"/>
      <c r="W1234" s="71"/>
      <c r="X1234" s="53"/>
      <c r="Y1234" s="13"/>
      <c r="Z1234" s="53"/>
      <c r="AA1234" s="13"/>
    </row>
    <row r="1235" spans="10:27" x14ac:dyDescent="0.3">
      <c r="J1235" s="204"/>
      <c r="K1235" s="203"/>
      <c r="L1235" s="196"/>
      <c r="M1235" s="203"/>
      <c r="N1235" s="202"/>
      <c r="P1235" s="72"/>
      <c r="Q1235" s="71"/>
      <c r="R1235" s="53"/>
      <c r="S1235" s="71"/>
      <c r="T1235" s="53"/>
      <c r="U1235" s="13"/>
      <c r="V1235" s="72"/>
      <c r="W1235" s="71"/>
      <c r="X1235" s="53"/>
      <c r="Z1235" s="53"/>
      <c r="AA1235" s="13"/>
    </row>
    <row r="1236" spans="10:27" x14ac:dyDescent="0.3">
      <c r="J1236" s="204"/>
      <c r="K1236" s="203"/>
      <c r="L1236" s="196"/>
      <c r="M1236" s="203"/>
      <c r="N1236" s="202"/>
      <c r="P1236" s="72"/>
      <c r="Q1236" s="71"/>
      <c r="R1236" s="53"/>
      <c r="S1236" s="71"/>
      <c r="T1236" s="53"/>
      <c r="U1236" s="13"/>
      <c r="V1236" s="72"/>
      <c r="W1236" s="71"/>
      <c r="X1236" s="53"/>
      <c r="Z1236" s="53"/>
      <c r="AA1236" s="13"/>
    </row>
    <row r="1237" spans="10:27" x14ac:dyDescent="0.3">
      <c r="J1237" s="204"/>
      <c r="K1237" s="203"/>
      <c r="L1237" s="196"/>
      <c r="M1237" s="203"/>
      <c r="N1237" s="202"/>
      <c r="P1237" s="72"/>
      <c r="Q1237" s="71"/>
      <c r="R1237" s="53"/>
      <c r="S1237" s="71"/>
      <c r="T1237" s="53"/>
      <c r="U1237" s="13"/>
      <c r="V1237" s="72"/>
      <c r="W1237" s="71"/>
      <c r="X1237" s="53"/>
      <c r="Z1237" s="53"/>
      <c r="AA1237" s="13"/>
    </row>
    <row r="1238" spans="10:27" x14ac:dyDescent="0.3">
      <c r="J1238" s="204"/>
      <c r="K1238" s="203"/>
      <c r="L1238" s="196"/>
      <c r="M1238" s="203"/>
      <c r="N1238" s="202"/>
      <c r="P1238" s="72"/>
      <c r="Q1238" s="71"/>
      <c r="R1238" s="53"/>
      <c r="S1238" s="71"/>
      <c r="T1238" s="53"/>
      <c r="U1238" s="13"/>
      <c r="V1238" s="72"/>
      <c r="W1238" s="71"/>
      <c r="X1238" s="53"/>
      <c r="Z1238" s="53"/>
      <c r="AA1238" s="13"/>
    </row>
    <row r="1239" spans="10:27" x14ac:dyDescent="0.3">
      <c r="J1239" s="204"/>
      <c r="K1239" s="203"/>
      <c r="L1239" s="196"/>
      <c r="M1239" s="203"/>
      <c r="N1239" s="202"/>
      <c r="P1239" s="72"/>
      <c r="Q1239" s="71"/>
      <c r="R1239" s="53"/>
      <c r="S1239" s="71"/>
      <c r="T1239" s="53"/>
      <c r="U1239" s="13"/>
      <c r="V1239" s="72"/>
      <c r="W1239" s="71"/>
      <c r="X1239" s="53"/>
      <c r="Z1239" s="53"/>
      <c r="AA1239" s="13"/>
    </row>
    <row r="1240" spans="10:27" x14ac:dyDescent="0.3">
      <c r="J1240" s="204"/>
      <c r="K1240" s="203"/>
      <c r="L1240" s="196"/>
      <c r="M1240" s="203"/>
      <c r="N1240" s="202"/>
      <c r="P1240" s="72"/>
      <c r="Q1240" s="71"/>
      <c r="R1240" s="53"/>
      <c r="S1240" s="71"/>
      <c r="T1240" s="53"/>
      <c r="U1240" s="13"/>
      <c r="V1240" s="72"/>
      <c r="W1240" s="71"/>
      <c r="X1240" s="53"/>
      <c r="Z1240" s="53"/>
      <c r="AA1240" s="13"/>
    </row>
    <row r="1241" spans="10:27" x14ac:dyDescent="0.3">
      <c r="J1241" s="204"/>
      <c r="K1241" s="203"/>
      <c r="L1241" s="196"/>
      <c r="M1241" s="203"/>
      <c r="N1241" s="202"/>
      <c r="P1241" s="72"/>
      <c r="Q1241" s="71"/>
      <c r="R1241" s="53"/>
      <c r="S1241" s="71"/>
      <c r="T1241" s="53"/>
      <c r="U1241" s="13"/>
      <c r="V1241" s="72"/>
      <c r="W1241" s="71"/>
      <c r="X1241" s="53"/>
      <c r="Z1241" s="53"/>
      <c r="AA1241" s="13"/>
    </row>
    <row r="1242" spans="10:27" x14ac:dyDescent="0.3">
      <c r="J1242" s="204"/>
      <c r="K1242" s="203"/>
      <c r="L1242" s="196"/>
      <c r="M1242" s="203"/>
      <c r="N1242" s="202"/>
      <c r="P1242" s="72"/>
      <c r="Q1242" s="71"/>
      <c r="R1242" s="53"/>
      <c r="S1242" s="71"/>
      <c r="T1242" s="53"/>
      <c r="U1242" s="13"/>
      <c r="V1242" s="72"/>
      <c r="W1242" s="71"/>
      <c r="X1242" s="53"/>
      <c r="Z1242" s="53"/>
      <c r="AA1242" s="13"/>
    </row>
    <row r="1243" spans="10:27" x14ac:dyDescent="0.3">
      <c r="J1243" s="204"/>
      <c r="K1243" s="203"/>
      <c r="L1243" s="196"/>
      <c r="M1243" s="203"/>
      <c r="N1243" s="202"/>
      <c r="P1243" s="72"/>
      <c r="Q1243" s="71"/>
      <c r="R1243" s="53"/>
      <c r="S1243" s="71"/>
      <c r="T1243" s="53"/>
      <c r="U1243" s="13"/>
      <c r="V1243" s="72"/>
      <c r="W1243" s="71"/>
      <c r="X1243" s="53"/>
      <c r="Z1243" s="53"/>
      <c r="AA1243" s="13"/>
    </row>
    <row r="1244" spans="10:27" x14ac:dyDescent="0.3">
      <c r="J1244" s="204"/>
      <c r="K1244" s="203"/>
      <c r="L1244" s="196"/>
      <c r="M1244" s="203"/>
      <c r="N1244" s="202"/>
      <c r="P1244" s="72"/>
      <c r="Q1244" s="71"/>
      <c r="R1244" s="53"/>
      <c r="S1244" s="71"/>
      <c r="T1244" s="53"/>
      <c r="U1244" s="13"/>
      <c r="V1244" s="72"/>
      <c r="W1244" s="71"/>
      <c r="X1244" s="53"/>
      <c r="Z1244" s="53"/>
      <c r="AA1244" s="13"/>
    </row>
    <row r="1245" spans="10:27" x14ac:dyDescent="0.3">
      <c r="J1245" s="204"/>
      <c r="K1245" s="203"/>
      <c r="L1245" s="196"/>
      <c r="M1245" s="203"/>
      <c r="N1245" s="202"/>
      <c r="P1245" s="72"/>
      <c r="Q1245" s="71"/>
      <c r="R1245" s="53"/>
      <c r="S1245" s="71"/>
      <c r="T1245" s="53"/>
      <c r="U1245" s="13"/>
      <c r="V1245" s="72"/>
      <c r="W1245" s="71"/>
      <c r="X1245" s="53"/>
      <c r="Z1245" s="53"/>
      <c r="AA1245" s="13"/>
    </row>
    <row r="1246" spans="10:27" x14ac:dyDescent="0.3">
      <c r="J1246" s="204"/>
      <c r="K1246" s="203"/>
      <c r="L1246" s="196"/>
      <c r="M1246" s="203"/>
      <c r="N1246" s="202"/>
      <c r="P1246" s="72"/>
      <c r="Q1246" s="71"/>
      <c r="R1246" s="53"/>
      <c r="S1246" s="71"/>
      <c r="T1246" s="53"/>
      <c r="U1246" s="13"/>
      <c r="V1246" s="72"/>
      <c r="W1246" s="71"/>
      <c r="X1246" s="53"/>
      <c r="Z1246" s="53"/>
      <c r="AA1246" s="13"/>
    </row>
    <row r="1247" spans="10:27" x14ac:dyDescent="0.3">
      <c r="J1247" s="204"/>
      <c r="K1247" s="203"/>
      <c r="L1247" s="196"/>
      <c r="M1247" s="203"/>
      <c r="N1247" s="202"/>
      <c r="P1247" s="72"/>
      <c r="Q1247" s="71"/>
      <c r="R1247" s="53"/>
      <c r="S1247" s="71"/>
      <c r="T1247" s="53"/>
      <c r="U1247" s="13"/>
      <c r="V1247" s="72"/>
      <c r="W1247" s="71"/>
      <c r="X1247" s="53"/>
      <c r="Z1247" s="53"/>
      <c r="AA1247" s="13"/>
    </row>
    <row r="1248" spans="10:27" x14ac:dyDescent="0.3">
      <c r="J1248" s="204"/>
      <c r="K1248" s="203"/>
      <c r="L1248" s="196"/>
      <c r="M1248" s="203"/>
      <c r="N1248" s="202"/>
      <c r="P1248" s="72"/>
      <c r="Q1248" s="71"/>
      <c r="R1248" s="53"/>
      <c r="S1248" s="71"/>
      <c r="T1248" s="53"/>
      <c r="U1248" s="13"/>
      <c r="V1248" s="72"/>
      <c r="W1248" s="71"/>
      <c r="X1248" s="53"/>
      <c r="Z1248" s="53"/>
      <c r="AA1248" s="13"/>
    </row>
    <row r="1249" spans="1:28" x14ac:dyDescent="0.3">
      <c r="J1249" s="204"/>
      <c r="K1249" s="203"/>
      <c r="L1249" s="196"/>
      <c r="M1249" s="203"/>
      <c r="N1249" s="202"/>
      <c r="P1249" s="72"/>
      <c r="Q1249" s="71"/>
      <c r="R1249" s="53"/>
      <c r="S1249" s="71"/>
      <c r="T1249" s="53"/>
      <c r="U1249" s="13"/>
      <c r="V1249" s="72"/>
      <c r="W1249" s="71"/>
      <c r="X1249" s="53"/>
      <c r="Z1249" s="53"/>
      <c r="AA1249" s="13"/>
    </row>
    <row r="1250" spans="1:28" x14ac:dyDescent="0.3">
      <c r="J1250" s="204"/>
      <c r="K1250" s="203"/>
      <c r="L1250" s="196"/>
      <c r="M1250" s="203"/>
      <c r="N1250" s="202"/>
      <c r="P1250" s="72"/>
      <c r="Q1250" s="71"/>
      <c r="R1250" s="53"/>
      <c r="S1250" s="71"/>
      <c r="T1250" s="53"/>
      <c r="U1250" s="13"/>
      <c r="V1250" s="72"/>
      <c r="W1250" s="71"/>
      <c r="X1250" s="53"/>
      <c r="Z1250" s="53"/>
      <c r="AA1250" s="13"/>
    </row>
    <row r="1251" spans="1:28" x14ac:dyDescent="0.3">
      <c r="J1251" s="204"/>
      <c r="K1251" s="203"/>
      <c r="L1251" s="196"/>
      <c r="M1251" s="203"/>
      <c r="N1251" s="202"/>
      <c r="P1251" s="72"/>
      <c r="Q1251" s="71"/>
      <c r="R1251" s="53"/>
      <c r="S1251" s="71"/>
      <c r="T1251" s="53"/>
      <c r="U1251" s="13"/>
      <c r="V1251" s="72"/>
      <c r="W1251" s="71"/>
      <c r="X1251" s="53"/>
      <c r="Z1251" s="53"/>
      <c r="AA1251" s="13"/>
    </row>
    <row r="1252" spans="1:28" x14ac:dyDescent="0.3">
      <c r="J1252" s="204"/>
      <c r="K1252" s="203"/>
      <c r="L1252" s="196"/>
      <c r="M1252" s="203"/>
      <c r="N1252" s="202"/>
      <c r="P1252" s="72"/>
      <c r="Q1252" s="71"/>
      <c r="R1252" s="53"/>
      <c r="S1252" s="71"/>
      <c r="T1252" s="53"/>
      <c r="U1252" s="13"/>
      <c r="V1252" s="72"/>
      <c r="W1252" s="71"/>
      <c r="X1252" s="53"/>
      <c r="Z1252" s="53"/>
      <c r="AA1252" s="13"/>
    </row>
    <row r="1253" spans="1:28" x14ac:dyDescent="0.3">
      <c r="J1253" s="204"/>
      <c r="K1253" s="203"/>
      <c r="L1253" s="196"/>
      <c r="M1253" s="203"/>
      <c r="N1253" s="202"/>
      <c r="P1253" s="72"/>
      <c r="Q1253" s="71"/>
      <c r="R1253" s="53"/>
      <c r="S1253" s="71"/>
      <c r="T1253" s="53"/>
      <c r="U1253" s="13"/>
      <c r="V1253" s="72"/>
      <c r="W1253" s="71"/>
      <c r="X1253" s="53"/>
      <c r="Z1253" s="53"/>
      <c r="AA1253" s="13"/>
    </row>
    <row r="1254" spans="1:28" x14ac:dyDescent="0.3">
      <c r="J1254" s="204"/>
      <c r="K1254" s="203"/>
      <c r="L1254" s="196"/>
      <c r="M1254" s="203"/>
      <c r="N1254" s="202"/>
      <c r="P1254" s="72"/>
      <c r="Q1254" s="71"/>
      <c r="R1254" s="53"/>
      <c r="S1254" s="71"/>
      <c r="T1254" s="53"/>
      <c r="U1254" s="13"/>
      <c r="V1254" s="72"/>
      <c r="W1254" s="71"/>
      <c r="X1254" s="53"/>
      <c r="Z1254" s="53"/>
      <c r="AA1254" s="13"/>
    </row>
    <row r="1255" spans="1:28" x14ac:dyDescent="0.3">
      <c r="J1255" s="204"/>
      <c r="K1255" s="203"/>
      <c r="L1255" s="196"/>
      <c r="M1255" s="203"/>
      <c r="N1255" s="202"/>
      <c r="P1255" s="72"/>
      <c r="Q1255" s="71"/>
      <c r="R1255" s="53"/>
      <c r="S1255" s="71"/>
      <c r="T1255" s="53"/>
      <c r="U1255" s="13"/>
      <c r="V1255" s="72"/>
      <c r="W1255" s="71"/>
      <c r="X1255" s="53"/>
      <c r="Z1255" s="53"/>
      <c r="AA1255" s="13"/>
    </row>
    <row r="1256" spans="1:28" x14ac:dyDescent="0.3">
      <c r="J1256" s="204"/>
      <c r="K1256" s="203"/>
      <c r="L1256" s="196"/>
      <c r="M1256" s="203"/>
      <c r="N1256" s="202"/>
      <c r="P1256" s="72"/>
      <c r="Q1256" s="71"/>
      <c r="R1256" s="53"/>
      <c r="S1256" s="71"/>
      <c r="T1256" s="53"/>
      <c r="U1256" s="13"/>
      <c r="V1256" s="72"/>
      <c r="W1256" s="71"/>
      <c r="X1256" s="53"/>
      <c r="Z1256" s="53"/>
      <c r="AA1256" s="13"/>
    </row>
    <row r="1257" spans="1:28" x14ac:dyDescent="0.3">
      <c r="J1257" s="204"/>
      <c r="K1257" s="203"/>
      <c r="L1257" s="196"/>
      <c r="M1257" s="203"/>
      <c r="N1257" s="202"/>
      <c r="P1257" s="72"/>
      <c r="Q1257" s="71"/>
      <c r="R1257" s="53"/>
      <c r="S1257" s="71"/>
      <c r="T1257" s="53"/>
      <c r="U1257" s="13"/>
      <c r="V1257" s="72"/>
      <c r="W1257" s="71"/>
      <c r="X1257" s="53"/>
      <c r="Z1257" s="53"/>
      <c r="AA1257" s="13"/>
    </row>
    <row r="1258" spans="1:28" x14ac:dyDescent="0.3">
      <c r="J1258" s="204"/>
      <c r="K1258" s="203"/>
      <c r="L1258" s="205"/>
      <c r="M1258" s="203"/>
      <c r="N1258" s="67"/>
      <c r="P1258" s="72"/>
      <c r="Q1258" s="71"/>
      <c r="R1258" s="53"/>
      <c r="S1258" s="71"/>
      <c r="T1258" s="53"/>
      <c r="U1258" s="13"/>
      <c r="V1258" s="72"/>
      <c r="W1258" s="71"/>
      <c r="X1258" s="53"/>
      <c r="Z1258" s="53"/>
      <c r="AA1258" s="13"/>
    </row>
    <row r="1259" spans="1:28" ht="46.8" customHeight="1" x14ac:dyDescent="0.3">
      <c r="J1259" s="69"/>
      <c r="K1259" s="73"/>
      <c r="L1259" s="53"/>
      <c r="M1259" s="71"/>
      <c r="N1259" s="53"/>
      <c r="O1259" s="13"/>
      <c r="P1259" s="72"/>
      <c r="Q1259" s="71"/>
      <c r="R1259" s="53"/>
      <c r="S1259" s="71"/>
      <c r="T1259" s="53"/>
      <c r="U1259" s="13"/>
      <c r="V1259" s="72"/>
      <c r="W1259" s="71"/>
      <c r="X1259" s="53"/>
      <c r="Z1259" s="53"/>
      <c r="AA1259" s="13"/>
    </row>
    <row r="1260" spans="1:28" s="2" customFormat="1" ht="46.8" customHeight="1" x14ac:dyDescent="0.3">
      <c r="A1260" s="35"/>
      <c r="J1260" s="74"/>
      <c r="K1260" s="75"/>
      <c r="L1260" s="76"/>
      <c r="M1260" s="77"/>
      <c r="N1260" s="76"/>
      <c r="O1260" s="31"/>
      <c r="P1260" s="78"/>
      <c r="Q1260" s="77"/>
      <c r="R1260" s="76"/>
      <c r="S1260" s="77"/>
      <c r="T1260" s="76"/>
      <c r="U1260" s="31"/>
      <c r="V1260" s="78"/>
      <c r="W1260" s="77"/>
      <c r="X1260" s="76"/>
      <c r="Y1260" s="180"/>
      <c r="Z1260" s="76"/>
      <c r="AA1260" s="31"/>
      <c r="AB1260" s="1"/>
    </row>
    <row r="1261" spans="1:28" x14ac:dyDescent="0.3">
      <c r="J1261" s="69"/>
      <c r="K1261" s="73"/>
      <c r="L1261" s="53"/>
      <c r="M1261" s="71"/>
      <c r="N1261" s="53"/>
      <c r="O1261" s="13"/>
      <c r="P1261" s="72"/>
      <c r="Q1261" s="71"/>
      <c r="R1261" s="53"/>
      <c r="S1261" s="71"/>
      <c r="T1261" s="53"/>
      <c r="U1261" s="13"/>
      <c r="V1261" s="72"/>
      <c r="W1261" s="71"/>
      <c r="X1261" s="53"/>
      <c r="Z1261" s="53"/>
      <c r="AA1261" s="13"/>
    </row>
    <row r="1262" spans="1:28" x14ac:dyDescent="0.3">
      <c r="J1262" s="69"/>
      <c r="K1262" s="73"/>
      <c r="L1262" s="53"/>
      <c r="M1262" s="71"/>
      <c r="N1262" s="53"/>
      <c r="O1262" s="13"/>
      <c r="P1262" s="72"/>
      <c r="Q1262" s="71"/>
      <c r="R1262" s="53"/>
      <c r="S1262" s="71"/>
      <c r="T1262" s="53"/>
      <c r="U1262" s="13"/>
      <c r="V1262" s="72"/>
      <c r="W1262" s="71"/>
      <c r="X1262" s="53"/>
      <c r="Z1262" s="53"/>
      <c r="AA1262" s="13"/>
    </row>
    <row r="1263" spans="1:28" x14ac:dyDescent="0.3">
      <c r="J1263" s="69"/>
      <c r="K1263" s="73"/>
      <c r="L1263" s="53"/>
      <c r="M1263" s="71"/>
      <c r="N1263" s="53"/>
      <c r="O1263" s="13"/>
      <c r="P1263" s="72"/>
      <c r="Q1263" s="71"/>
      <c r="R1263" s="53"/>
      <c r="S1263" s="71"/>
      <c r="T1263" s="53"/>
      <c r="U1263" s="13"/>
      <c r="V1263" s="72"/>
      <c r="W1263" s="71"/>
      <c r="X1263" s="53"/>
      <c r="Z1263" s="53"/>
      <c r="AA1263" s="13"/>
    </row>
    <row r="1264" spans="1:28" x14ac:dyDescent="0.3">
      <c r="J1264" s="69"/>
      <c r="K1264" s="73"/>
      <c r="L1264" s="53"/>
      <c r="M1264" s="71"/>
      <c r="N1264" s="53"/>
      <c r="O1264" s="13"/>
      <c r="P1264" s="72"/>
      <c r="Q1264" s="71"/>
      <c r="R1264" s="53"/>
      <c r="S1264" s="71"/>
      <c r="T1264" s="53"/>
      <c r="U1264" s="13"/>
      <c r="V1264" s="72"/>
      <c r="W1264" s="71"/>
      <c r="X1264" s="53"/>
      <c r="Z1264" s="53"/>
      <c r="AA1264" s="13"/>
    </row>
    <row r="1265" spans="10:27" x14ac:dyDescent="0.3">
      <c r="J1265" s="69"/>
      <c r="K1265" s="73"/>
      <c r="L1265" s="53"/>
      <c r="M1265" s="71"/>
      <c r="N1265" s="53"/>
      <c r="O1265" s="13"/>
      <c r="P1265" s="72"/>
      <c r="Q1265" s="71"/>
      <c r="R1265" s="53"/>
      <c r="S1265" s="71"/>
      <c r="T1265" s="53"/>
      <c r="U1265" s="13"/>
      <c r="V1265" s="72"/>
      <c r="W1265" s="71"/>
      <c r="X1265" s="53"/>
      <c r="Z1265" s="53"/>
      <c r="AA1265" s="13"/>
    </row>
    <row r="1266" spans="10:27" x14ac:dyDescent="0.3">
      <c r="J1266" s="69"/>
      <c r="K1266" s="73"/>
      <c r="L1266" s="53"/>
      <c r="M1266" s="71"/>
      <c r="N1266" s="53"/>
      <c r="O1266" s="13"/>
      <c r="P1266" s="72"/>
      <c r="Q1266" s="71"/>
      <c r="R1266" s="53"/>
      <c r="S1266" s="71"/>
      <c r="T1266" s="53"/>
      <c r="U1266" s="13"/>
      <c r="V1266" s="72"/>
      <c r="W1266" s="71"/>
      <c r="X1266" s="53"/>
      <c r="Z1266" s="53"/>
      <c r="AA1266" s="13"/>
    </row>
    <row r="1267" spans="10:27" x14ac:dyDescent="0.3"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Z1267" s="13"/>
      <c r="AA1267" s="13"/>
    </row>
    <row r="1268" spans="10:27" x14ac:dyDescent="0.3">
      <c r="L1268" s="13"/>
      <c r="M1268" s="13"/>
      <c r="N1268" s="13"/>
      <c r="O1268" s="13"/>
    </row>
  </sheetData>
  <mergeCells count="6">
    <mergeCell ref="Y6:Z6"/>
    <mergeCell ref="K6:L6"/>
    <mergeCell ref="M6:N6"/>
    <mergeCell ref="Q6:R6"/>
    <mergeCell ref="S6:T6"/>
    <mergeCell ref="W6:X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showGridLines="0" zoomScale="70" zoomScaleNormal="70" zoomScalePageLayoutView="93" workbookViewId="0">
      <selection activeCell="D26" sqref="D26"/>
    </sheetView>
  </sheetViews>
  <sheetFormatPr defaultColWidth="8.77734375" defaultRowHeight="14.4" x14ac:dyDescent="0.3"/>
  <cols>
    <col min="1" max="1" width="3.44140625" style="237" customWidth="1"/>
    <col min="2" max="2" width="46.6640625" bestFit="1" customWidth="1"/>
    <col min="3" max="3" width="15" bestFit="1" customWidth="1"/>
    <col min="4" max="4" width="15.109375" bestFit="1" customWidth="1"/>
    <col min="5" max="7" width="15" bestFit="1" customWidth="1"/>
    <col min="9" max="9" width="8.77734375" style="2"/>
  </cols>
  <sheetData>
    <row r="1" spans="1:8" s="237" customFormat="1" ht="18" customHeight="1" thickBot="1" x14ac:dyDescent="0.35">
      <c r="A1" s="315"/>
      <c r="B1" s="315"/>
      <c r="C1" s="315"/>
      <c r="D1" s="315"/>
      <c r="E1" s="315"/>
      <c r="F1" s="315"/>
      <c r="G1" s="315"/>
      <c r="H1" s="315"/>
    </row>
    <row r="2" spans="1:8" ht="72.75" customHeight="1" x14ac:dyDescent="0.3">
      <c r="A2" s="315"/>
      <c r="B2" s="321"/>
      <c r="C2" s="322"/>
      <c r="D2" s="322"/>
      <c r="E2" s="322"/>
      <c r="F2" s="322"/>
      <c r="G2" s="323"/>
      <c r="H2" s="448"/>
    </row>
    <row r="3" spans="1:8" ht="3.75" customHeight="1" x14ac:dyDescent="0.3">
      <c r="A3" s="315"/>
      <c r="B3" s="324"/>
      <c r="C3" s="310"/>
      <c r="D3" s="310"/>
      <c r="E3" s="310"/>
      <c r="F3" s="310"/>
      <c r="G3" s="325"/>
      <c r="H3" s="448"/>
    </row>
    <row r="4" spans="1:8" x14ac:dyDescent="0.3">
      <c r="A4" s="315"/>
      <c r="B4" s="324" t="s">
        <v>154</v>
      </c>
      <c r="C4" s="310"/>
      <c r="D4" s="310"/>
      <c r="E4" s="310"/>
      <c r="F4" s="310"/>
      <c r="G4" s="325"/>
      <c r="H4" s="448"/>
    </row>
    <row r="5" spans="1:8" ht="15" thickBot="1" x14ac:dyDescent="0.35">
      <c r="A5" s="315"/>
      <c r="B5" s="324"/>
      <c r="C5" s="475" t="s">
        <v>155</v>
      </c>
      <c r="D5" s="475"/>
      <c r="E5" s="475"/>
      <c r="F5" s="475"/>
      <c r="G5" s="476"/>
      <c r="H5" s="448"/>
    </row>
    <row r="6" spans="1:8" ht="15" customHeight="1" thickBot="1" x14ac:dyDescent="0.35">
      <c r="A6" s="315"/>
      <c r="B6" s="326"/>
      <c r="C6" s="327" t="s">
        <v>156</v>
      </c>
      <c r="D6" s="328" t="s">
        <v>157</v>
      </c>
      <c r="E6" s="328" t="s">
        <v>158</v>
      </c>
      <c r="F6" s="327" t="s">
        <v>159</v>
      </c>
      <c r="G6" s="329" t="s">
        <v>160</v>
      </c>
      <c r="H6" s="448"/>
    </row>
    <row r="7" spans="1:8" x14ac:dyDescent="0.3">
      <c r="A7" s="315"/>
      <c r="B7" s="324" t="s">
        <v>161</v>
      </c>
      <c r="C7" s="441">
        <v>0</v>
      </c>
      <c r="D7" s="442">
        <v>0</v>
      </c>
      <c r="E7" s="441"/>
      <c r="F7" s="330"/>
      <c r="G7" s="331"/>
      <c r="H7" s="448"/>
    </row>
    <row r="8" spans="1:8" x14ac:dyDescent="0.3">
      <c r="A8" s="315"/>
      <c r="B8" s="324" t="s">
        <v>162</v>
      </c>
      <c r="C8" s="441">
        <v>0</v>
      </c>
      <c r="D8" s="441">
        <v>0</v>
      </c>
      <c r="E8" s="441">
        <v>0</v>
      </c>
      <c r="F8" s="332">
        <v>0</v>
      </c>
      <c r="G8" s="333"/>
      <c r="H8" s="448"/>
    </row>
    <row r="9" spans="1:8" x14ac:dyDescent="0.3">
      <c r="A9" s="315"/>
      <c r="B9" s="324" t="s">
        <v>163</v>
      </c>
      <c r="C9" s="443">
        <v>0</v>
      </c>
      <c r="D9" s="443">
        <v>0</v>
      </c>
      <c r="E9" s="443">
        <v>0</v>
      </c>
      <c r="F9" s="334">
        <v>0</v>
      </c>
      <c r="G9" s="335">
        <v>0</v>
      </c>
      <c r="H9" s="448"/>
    </row>
    <row r="10" spans="1:8" x14ac:dyDescent="0.3">
      <c r="A10" s="315"/>
      <c r="B10" s="324" t="s">
        <v>164</v>
      </c>
      <c r="C10" s="443">
        <v>0</v>
      </c>
      <c r="D10" s="443">
        <v>0</v>
      </c>
      <c r="E10" s="444">
        <v>0</v>
      </c>
      <c r="F10" s="336">
        <v>0</v>
      </c>
      <c r="G10" s="335">
        <v>0</v>
      </c>
      <c r="H10" s="448"/>
    </row>
    <row r="11" spans="1:8" ht="15" thickBot="1" x14ac:dyDescent="0.35">
      <c r="A11" s="315"/>
      <c r="B11" s="337" t="s">
        <v>165</v>
      </c>
      <c r="C11" s="445">
        <v>0</v>
      </c>
      <c r="D11" s="445">
        <v>0</v>
      </c>
      <c r="E11" s="445">
        <v>0</v>
      </c>
      <c r="F11" s="338">
        <v>0</v>
      </c>
      <c r="G11" s="339">
        <v>0</v>
      </c>
      <c r="H11" s="448"/>
    </row>
    <row r="12" spans="1:8" ht="15" thickBot="1" x14ac:dyDescent="0.35">
      <c r="A12" s="315"/>
      <c r="B12" s="340"/>
      <c r="C12" s="340"/>
      <c r="D12" s="340"/>
      <c r="E12" s="340"/>
      <c r="F12" s="340"/>
      <c r="G12" s="340"/>
      <c r="H12" s="448"/>
    </row>
    <row r="13" spans="1:8" x14ac:dyDescent="0.3">
      <c r="A13" s="315"/>
      <c r="B13" s="341" t="s">
        <v>59</v>
      </c>
      <c r="C13" s="322"/>
      <c r="D13" s="322"/>
      <c r="E13" s="322">
        <v>2</v>
      </c>
      <c r="F13" s="322">
        <v>4</v>
      </c>
      <c r="G13" s="323">
        <v>5</v>
      </c>
      <c r="H13" s="448"/>
    </row>
    <row r="14" spans="1:8" x14ac:dyDescent="0.3">
      <c r="A14" s="315"/>
      <c r="B14" s="342" t="s">
        <v>152</v>
      </c>
      <c r="C14" s="343">
        <v>3.95E-2</v>
      </c>
      <c r="D14" s="344"/>
      <c r="E14" s="446">
        <f>E9/((1+$C$14)^E13)</f>
        <v>0</v>
      </c>
      <c r="F14" s="446">
        <f>F9/((1+$C$14)^F13)</f>
        <v>0</v>
      </c>
      <c r="G14" s="345">
        <f>G9/((1+$C$14)^G13)</f>
        <v>0</v>
      </c>
      <c r="H14" s="448"/>
    </row>
    <row r="15" spans="1:8" ht="15" thickBot="1" x14ac:dyDescent="0.35">
      <c r="A15" s="315"/>
      <c r="B15" s="346" t="s">
        <v>166</v>
      </c>
      <c r="C15" s="447">
        <f>SUM(E14:G14)</f>
        <v>0</v>
      </c>
      <c r="D15" s="347"/>
      <c r="E15" s="347"/>
      <c r="F15" s="347"/>
      <c r="G15" s="348"/>
      <c r="H15" s="448"/>
    </row>
    <row r="16" spans="1:8" ht="47.55" customHeight="1" x14ac:dyDescent="0.3">
      <c r="A16" s="315"/>
      <c r="B16" s="448"/>
      <c r="C16" s="448"/>
      <c r="D16" s="448"/>
      <c r="E16" s="448"/>
      <c r="F16" s="448"/>
      <c r="G16" s="448"/>
      <c r="H16" s="448"/>
    </row>
    <row r="17" spans="1:9" s="229" customFormat="1" ht="48" customHeight="1" x14ac:dyDescent="0.3">
      <c r="A17" s="237"/>
      <c r="I17" s="2"/>
    </row>
    <row r="18" spans="1:9" x14ac:dyDescent="0.3">
      <c r="C18" t="s">
        <v>310</v>
      </c>
    </row>
  </sheetData>
  <mergeCells count="1">
    <mergeCell ref="C5:G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showGridLines="0" zoomScale="70" zoomScaleNormal="70" zoomScalePageLayoutView="82" workbookViewId="0">
      <pane xSplit="1" ySplit="1" topLeftCell="B84" activePane="bottomRight" state="frozen"/>
      <selection pane="topRight" activeCell="B1" sqref="B1"/>
      <selection pane="bottomLeft" activeCell="A10" sqref="A10"/>
      <selection pane="bottomRight" activeCell="D49" sqref="D49"/>
    </sheetView>
  </sheetViews>
  <sheetFormatPr defaultColWidth="11.44140625" defaultRowHeight="14.4" x14ac:dyDescent="0.3"/>
  <cols>
    <col min="1" max="1" width="2.77734375" style="237" customWidth="1"/>
    <col min="2" max="2" width="35.44140625" customWidth="1"/>
    <col min="3" max="3" width="12.6640625" customWidth="1"/>
    <col min="4" max="7" width="12.77734375" bestFit="1" customWidth="1"/>
    <col min="11" max="11" width="11.44140625" style="2"/>
  </cols>
  <sheetData>
    <row r="1" spans="1:11" s="237" customFormat="1" x14ac:dyDescent="0.3">
      <c r="A1" s="47"/>
      <c r="B1" s="47"/>
      <c r="K1" s="315"/>
    </row>
    <row r="2" spans="1:11" x14ac:dyDescent="0.3">
      <c r="A2" s="47"/>
      <c r="B2" s="13"/>
      <c r="C2" s="13"/>
      <c r="D2" s="13"/>
      <c r="E2" s="13"/>
      <c r="F2" s="13"/>
      <c r="G2" s="13"/>
      <c r="H2" s="13"/>
      <c r="I2" s="13"/>
      <c r="J2" s="13"/>
    </row>
    <row r="3" spans="1:11" x14ac:dyDescent="0.3">
      <c r="A3" s="47"/>
      <c r="B3" s="13"/>
      <c r="C3" s="13"/>
      <c r="D3" s="13"/>
      <c r="E3" s="13"/>
      <c r="F3" s="13"/>
      <c r="G3" s="13"/>
      <c r="H3" s="13"/>
      <c r="I3" s="13"/>
      <c r="J3" s="13"/>
    </row>
    <row r="4" spans="1:11" x14ac:dyDescent="0.3">
      <c r="A4" s="47"/>
      <c r="B4" s="319"/>
      <c r="C4" s="319"/>
      <c r="D4" s="319"/>
      <c r="E4" s="319"/>
      <c r="F4" s="319"/>
      <c r="G4" s="319"/>
      <c r="H4" s="319"/>
      <c r="I4" s="320"/>
    </row>
    <row r="5" spans="1:11" x14ac:dyDescent="0.3">
      <c r="A5" s="47"/>
      <c r="B5" s="13" t="s">
        <v>56</v>
      </c>
      <c r="C5" s="13"/>
      <c r="D5" s="13"/>
      <c r="E5" s="13"/>
      <c r="F5" s="13"/>
      <c r="G5" s="13"/>
      <c r="H5" s="13"/>
      <c r="I5" s="13"/>
      <c r="J5" s="13"/>
    </row>
    <row r="6" spans="1:11" x14ac:dyDescent="0.3">
      <c r="A6" s="47"/>
      <c r="B6" s="13"/>
      <c r="C6" s="13"/>
      <c r="D6" s="13"/>
      <c r="E6" s="13"/>
      <c r="F6" s="13"/>
      <c r="G6" s="13"/>
      <c r="H6" s="13"/>
      <c r="I6" s="13"/>
      <c r="J6" s="13"/>
    </row>
    <row r="7" spans="1:11" x14ac:dyDescent="0.3">
      <c r="A7" s="47"/>
      <c r="B7" s="221" t="s">
        <v>57</v>
      </c>
      <c r="C7" s="19">
        <v>2010</v>
      </c>
      <c r="D7" s="13">
        <v>2011</v>
      </c>
      <c r="E7" s="13">
        <v>2012</v>
      </c>
      <c r="F7" s="13">
        <v>2013</v>
      </c>
      <c r="G7" s="13">
        <v>2014</v>
      </c>
      <c r="H7" s="46" t="s">
        <v>58</v>
      </c>
      <c r="I7" s="46" t="s">
        <v>51</v>
      </c>
      <c r="J7" s="13"/>
    </row>
    <row r="8" spans="1:11" x14ac:dyDescent="0.3">
      <c r="A8" s="47"/>
      <c r="B8" s="13" t="s">
        <v>59</v>
      </c>
      <c r="C8" s="19"/>
      <c r="D8" s="13"/>
      <c r="E8" s="13">
        <v>1</v>
      </c>
      <c r="F8" s="13">
        <v>2</v>
      </c>
      <c r="G8" s="13">
        <v>3</v>
      </c>
      <c r="H8" s="13"/>
      <c r="I8" s="13"/>
      <c r="J8" s="13"/>
    </row>
    <row r="9" spans="1:11" ht="6" customHeight="1" x14ac:dyDescent="0.3">
      <c r="A9" s="47"/>
      <c r="B9" s="13"/>
      <c r="C9" s="19"/>
      <c r="D9" s="13"/>
      <c r="E9" s="13"/>
      <c r="F9" s="13"/>
      <c r="G9" s="13"/>
      <c r="H9" s="372"/>
      <c r="I9" s="414"/>
      <c r="J9" s="13"/>
    </row>
    <row r="10" spans="1:11" x14ac:dyDescent="0.3">
      <c r="A10" s="47"/>
      <c r="B10" s="221" t="s">
        <v>60</v>
      </c>
      <c r="C10" s="387" t="str">
        <f>IS!C4</f>
        <v>-</v>
      </c>
      <c r="D10" s="36">
        <f>IS!D4</f>
        <v>36365</v>
      </c>
      <c r="E10" s="36">
        <f>IS!E4</f>
        <v>47208</v>
      </c>
      <c r="F10" s="36">
        <f>IS!F4</f>
        <v>66157</v>
      </c>
      <c r="G10" s="36">
        <f>IS!G4</f>
        <v>102999</v>
      </c>
      <c r="H10" s="13"/>
      <c r="I10" s="13"/>
      <c r="J10" s="13"/>
    </row>
    <row r="11" spans="1:11" x14ac:dyDescent="0.3">
      <c r="A11" s="47"/>
      <c r="B11" s="382" t="s">
        <v>61</v>
      </c>
      <c r="C11" s="19"/>
      <c r="D11" s="37"/>
      <c r="E11" s="37">
        <f t="shared" ref="E11:G11" si="0">(E10-D10)/D10</f>
        <v>0.2981713185755534</v>
      </c>
      <c r="F11" s="37">
        <f t="shared" si="0"/>
        <v>0.4013938315539739</v>
      </c>
      <c r="G11" s="37">
        <f t="shared" si="0"/>
        <v>0.55688740420514837</v>
      </c>
      <c r="H11" s="38">
        <f>AVERAGE(E11:G11)</f>
        <v>0.41881751811155854</v>
      </c>
      <c r="I11" s="38">
        <f>MEDIAN(E11:G11)</f>
        <v>0.4013938315539739</v>
      </c>
      <c r="J11" s="13"/>
    </row>
    <row r="12" spans="1:11" ht="15" thickBot="1" x14ac:dyDescent="0.35">
      <c r="A12" s="47"/>
      <c r="B12" s="403" t="s">
        <v>62</v>
      </c>
      <c r="C12" s="404"/>
      <c r="D12" s="405"/>
      <c r="E12" s="405">
        <f>(E10/$D10)^(1/E$8)-1</f>
        <v>0.29817131857555346</v>
      </c>
      <c r="F12" s="405">
        <f>(F10/$D10)^(1/F$8)-1</f>
        <v>0.34879549159688006</v>
      </c>
      <c r="G12" s="405">
        <f t="shared" ref="G12" si="1">(G10/$D10)^(1/G$8)-1</f>
        <v>0.41486978474583691</v>
      </c>
      <c r="H12" s="415">
        <f>AVERAGE(E12:G12)</f>
        <v>0.35394553163942349</v>
      </c>
      <c r="I12" s="406">
        <f>MEDIAN(E12:G12)</f>
        <v>0.34879549159688006</v>
      </c>
      <c r="J12" s="13"/>
    </row>
    <row r="13" spans="1:11" x14ac:dyDescent="0.3">
      <c r="A13" s="47"/>
      <c r="B13" s="13"/>
      <c r="C13" s="19"/>
      <c r="D13" s="13"/>
      <c r="E13" s="13"/>
      <c r="F13" s="13"/>
      <c r="G13" s="13"/>
      <c r="H13" s="13"/>
      <c r="I13" s="13"/>
      <c r="J13" s="13"/>
    </row>
    <row r="14" spans="1:11" x14ac:dyDescent="0.3">
      <c r="A14" s="47"/>
      <c r="B14" s="221" t="s">
        <v>63</v>
      </c>
      <c r="C14" s="388" t="str">
        <f>IS!C5</f>
        <v>-</v>
      </c>
      <c r="D14" s="39">
        <f>IS!D5</f>
        <v>5416</v>
      </c>
      <c r="E14" s="39">
        <f>IS!E5</f>
        <v>6924</v>
      </c>
      <c r="F14" s="39">
        <f>IS!F5</f>
        <v>9076</v>
      </c>
      <c r="G14" s="39">
        <f>IS!G5</f>
        <v>14707</v>
      </c>
      <c r="H14" s="13"/>
      <c r="I14" s="13"/>
      <c r="J14" s="13"/>
    </row>
    <row r="15" spans="1:11" x14ac:dyDescent="0.3">
      <c r="A15" s="47"/>
      <c r="B15" s="382" t="s">
        <v>64</v>
      </c>
      <c r="C15" s="389"/>
      <c r="D15" s="38">
        <f t="shared" ref="D15:G15" si="2">D14/D$10</f>
        <v>0.14893441495943902</v>
      </c>
      <c r="E15" s="38">
        <f t="shared" si="2"/>
        <v>0.14667005592272497</v>
      </c>
      <c r="F15" s="38">
        <f t="shared" si="2"/>
        <v>0.13718880844052783</v>
      </c>
      <c r="G15" s="38">
        <f t="shared" si="2"/>
        <v>0.14278779405625297</v>
      </c>
      <c r="H15" s="38">
        <f>AVERAGE(D15:G15)</f>
        <v>0.1438952683447362</v>
      </c>
      <c r="I15" s="38">
        <f>MEDIAN(D15:G15)</f>
        <v>0.14472892498948897</v>
      </c>
      <c r="J15" s="13"/>
    </row>
    <row r="16" spans="1:11" x14ac:dyDescent="0.3">
      <c r="A16" s="47"/>
      <c r="B16" s="382" t="s">
        <v>61</v>
      </c>
      <c r="C16" s="390"/>
      <c r="D16" s="37"/>
      <c r="E16" s="37">
        <f>(E14-D14)/D14</f>
        <v>0.27843426883308714</v>
      </c>
      <c r="F16" s="37">
        <f t="shared" ref="F16:G16" si="3">(F14-E14)/E14</f>
        <v>0.31080300404390526</v>
      </c>
      <c r="G16" s="37">
        <f t="shared" si="3"/>
        <v>0.620427501101807</v>
      </c>
      <c r="H16" s="38">
        <f>AVERAGE(E16:G16)</f>
        <v>0.40322159132626645</v>
      </c>
      <c r="I16" s="38">
        <f>MEDIAN(E16:G16)</f>
        <v>0.31080300404390526</v>
      </c>
      <c r="J16" s="13"/>
    </row>
    <row r="17" spans="1:10" ht="15" thickBot="1" x14ac:dyDescent="0.35">
      <c r="A17" s="47"/>
      <c r="B17" s="403" t="s">
        <v>62</v>
      </c>
      <c r="C17" s="407"/>
      <c r="D17" s="405"/>
      <c r="E17" s="405">
        <f>(E14/$D14)^(1/E$8)-1</f>
        <v>0.2784342688330872</v>
      </c>
      <c r="F17" s="405">
        <f t="shared" ref="F17:G17" si="4">(F14/$D14)^(1/F$8)-1</f>
        <v>0.29451746997060035</v>
      </c>
      <c r="G17" s="405">
        <f t="shared" si="4"/>
        <v>0.39513150330988212</v>
      </c>
      <c r="H17" s="415">
        <f>AVERAGE(E17:G17)</f>
        <v>0.32269441403785654</v>
      </c>
      <c r="I17" s="406">
        <f>MEDIAN(E17:G17)</f>
        <v>0.29451746997060035</v>
      </c>
      <c r="J17" s="13"/>
    </row>
    <row r="18" spans="1:10" x14ac:dyDescent="0.3">
      <c r="A18" s="47"/>
      <c r="B18" s="13"/>
      <c r="C18" s="390"/>
      <c r="D18" s="391"/>
      <c r="E18" s="391"/>
      <c r="F18" s="391"/>
      <c r="G18" s="391"/>
      <c r="H18" s="13"/>
      <c r="I18" s="13"/>
      <c r="J18" s="13"/>
    </row>
    <row r="19" spans="1:10" x14ac:dyDescent="0.3">
      <c r="A19" s="47"/>
      <c r="B19" s="221" t="s">
        <v>65</v>
      </c>
      <c r="C19" s="392" t="str">
        <f>IS!C12</f>
        <v>-</v>
      </c>
      <c r="D19" s="206">
        <f>IS!D12</f>
        <v>6272</v>
      </c>
      <c r="E19" s="40">
        <f>IS!E12</f>
        <v>7273</v>
      </c>
      <c r="F19" s="206">
        <f>IS!F12</f>
        <v>10404</v>
      </c>
      <c r="G19" s="40">
        <f>IS!G12</f>
        <v>14400</v>
      </c>
      <c r="H19" s="13"/>
      <c r="I19" s="13"/>
      <c r="J19" s="13"/>
    </row>
    <row r="20" spans="1:10" x14ac:dyDescent="0.3">
      <c r="A20" s="47"/>
      <c r="B20" s="382" t="s">
        <v>64</v>
      </c>
      <c r="C20" s="393"/>
      <c r="D20" s="37">
        <f t="shared" ref="D20:G20" si="5">D19/D$10</f>
        <v>0.17247353224254092</v>
      </c>
      <c r="E20" s="37">
        <f t="shared" si="5"/>
        <v>0.15406287069988137</v>
      </c>
      <c r="F20" s="37">
        <f t="shared" si="5"/>
        <v>0.15726227005456717</v>
      </c>
      <c r="G20" s="37">
        <f t="shared" si="5"/>
        <v>0.13980718259400576</v>
      </c>
      <c r="H20" s="38">
        <f>AVERAGE(D20:G20)</f>
        <v>0.15590146389774878</v>
      </c>
      <c r="I20" s="38">
        <f>MEDIAN(D20:G20)</f>
        <v>0.15566257037722425</v>
      </c>
      <c r="J20" s="13"/>
    </row>
    <row r="21" spans="1:10" x14ac:dyDescent="0.3">
      <c r="A21" s="47"/>
      <c r="B21" s="382" t="s">
        <v>61</v>
      </c>
      <c r="C21" s="390"/>
      <c r="D21" s="37"/>
      <c r="E21" s="37">
        <f t="shared" ref="E21:G21" si="6">(E20-D20)/D20</f>
        <v>-0.10674485124343344</v>
      </c>
      <c r="F21" s="37">
        <f t="shared" si="6"/>
        <v>2.0766842394611202E-2</v>
      </c>
      <c r="G21" s="37">
        <f t="shared" si="6"/>
        <v>-0.11099348530645528</v>
      </c>
      <c r="H21" s="38">
        <f>AVERAGE(E21:G21)</f>
        <v>-6.5657164718425851E-2</v>
      </c>
      <c r="I21" s="38">
        <f>MEDIAN(E21:G21)</f>
        <v>-0.10674485124343344</v>
      </c>
      <c r="J21" s="13"/>
    </row>
    <row r="22" spans="1:10" ht="15" thickBot="1" x14ac:dyDescent="0.35">
      <c r="A22" s="47"/>
      <c r="B22" s="403" t="s">
        <v>62</v>
      </c>
      <c r="C22" s="407"/>
      <c r="D22" s="405"/>
      <c r="E22" s="405">
        <f>(E19/$D19)^(1/E$8)-1</f>
        <v>0.15959821428571419</v>
      </c>
      <c r="F22" s="405">
        <f t="shared" ref="F22:G22" si="7">(F19/$D19)^(1/F$8)-1</f>
        <v>0.28794449430406877</v>
      </c>
      <c r="G22" s="405">
        <f t="shared" si="7"/>
        <v>0.31922482174845257</v>
      </c>
      <c r="H22" s="415">
        <f>AVERAGE(E22:G22)</f>
        <v>0.25558917677941184</v>
      </c>
      <c r="I22" s="406">
        <f>MEDIAN(E22:G22)</f>
        <v>0.28794449430406877</v>
      </c>
      <c r="J22" s="13"/>
    </row>
    <row r="23" spans="1:10" x14ac:dyDescent="0.3">
      <c r="A23" s="47"/>
      <c r="B23" s="13"/>
      <c r="C23" s="390"/>
      <c r="D23" s="391"/>
      <c r="E23" s="391"/>
      <c r="F23" s="391"/>
      <c r="G23" s="391"/>
      <c r="H23" s="13"/>
      <c r="I23" s="13"/>
      <c r="J23" s="13"/>
    </row>
    <row r="24" spans="1:10" x14ac:dyDescent="0.3">
      <c r="A24" s="47"/>
      <c r="B24" s="221" t="s">
        <v>66</v>
      </c>
      <c r="C24" s="394" t="str">
        <f>IS!C13</f>
        <v>-</v>
      </c>
      <c r="D24" s="206">
        <f>IS!D13</f>
        <v>19006</v>
      </c>
      <c r="E24" s="206">
        <f>IS!E13</f>
        <v>25378</v>
      </c>
      <c r="F24" s="206">
        <f>IS!F13</f>
        <v>37598</v>
      </c>
      <c r="G24" s="206">
        <f>IS!G13</f>
        <v>53438</v>
      </c>
      <c r="H24" s="13"/>
      <c r="I24" s="13"/>
      <c r="J24" s="13"/>
    </row>
    <row r="25" spans="1:10" x14ac:dyDescent="0.3">
      <c r="A25" s="47"/>
      <c r="B25" s="382" t="s">
        <v>64</v>
      </c>
      <c r="C25" s="393"/>
      <c r="D25" s="37">
        <f t="shared" ref="D25:G25" si="8">D24/D$10</f>
        <v>0.52264540079747013</v>
      </c>
      <c r="E25" s="37">
        <f t="shared" si="8"/>
        <v>0.5375783765463481</v>
      </c>
      <c r="F25" s="37">
        <f t="shared" si="8"/>
        <v>0.56831476638904421</v>
      </c>
      <c r="G25" s="37">
        <f t="shared" si="8"/>
        <v>0.51882057107350554</v>
      </c>
      <c r="H25" s="38">
        <f>AVERAGE(D25:G25)</f>
        <v>0.53683977870159205</v>
      </c>
      <c r="I25" s="38">
        <f>MEDIAN(D25:G25)</f>
        <v>0.53011188867190917</v>
      </c>
      <c r="J25" s="13"/>
    </row>
    <row r="26" spans="1:10" x14ac:dyDescent="0.3">
      <c r="A26" s="47"/>
      <c r="B26" s="382" t="s">
        <v>61</v>
      </c>
      <c r="C26" s="390"/>
      <c r="D26" s="37"/>
      <c r="E26" s="37">
        <f t="shared" ref="E26:G26" si="9">(E24-D24)/D24</f>
        <v>0.33526254866884142</v>
      </c>
      <c r="F26" s="37">
        <f t="shared" si="9"/>
        <v>0.48151942627472616</v>
      </c>
      <c r="G26" s="37">
        <f t="shared" si="9"/>
        <v>0.42129900526623759</v>
      </c>
      <c r="H26" s="38">
        <f>AVERAGE(E26:G26)</f>
        <v>0.41269366006993508</v>
      </c>
      <c r="I26" s="38">
        <f>MEDIAN(E26:G26)</f>
        <v>0.42129900526623759</v>
      </c>
      <c r="J26" s="13"/>
    </row>
    <row r="27" spans="1:10" ht="15" thickBot="1" x14ac:dyDescent="0.35">
      <c r="A27" s="47"/>
      <c r="B27" s="403" t="s">
        <v>62</v>
      </c>
      <c r="C27" s="407"/>
      <c r="D27" s="405"/>
      <c r="E27" s="405">
        <f>(E24/$D24)^(1/E$8)-1</f>
        <v>0.33526254866884142</v>
      </c>
      <c r="F27" s="405">
        <f t="shared" ref="F27:G27" si="10">(F24/$D24)^(1/F$8)-1</f>
        <v>0.40649116777532246</v>
      </c>
      <c r="G27" s="405">
        <f t="shared" si="10"/>
        <v>0.41140989198938227</v>
      </c>
      <c r="H27" s="415">
        <f>AVERAGE(E27:G27)</f>
        <v>0.3843878694778487</v>
      </c>
      <c r="I27" s="406">
        <f>MEDIAN(E27:G27)</f>
        <v>0.40649116777532246</v>
      </c>
      <c r="J27" s="13"/>
    </row>
    <row r="28" spans="1:10" x14ac:dyDescent="0.3">
      <c r="A28" s="47"/>
      <c r="B28" s="382"/>
      <c r="C28" s="390"/>
      <c r="D28" s="391"/>
      <c r="E28" s="391"/>
      <c r="F28" s="391"/>
      <c r="G28" s="391"/>
      <c r="H28" s="13"/>
      <c r="I28" s="13"/>
      <c r="J28" s="13"/>
    </row>
    <row r="29" spans="1:10" ht="28.8" x14ac:dyDescent="0.3">
      <c r="A29" s="47"/>
      <c r="B29" s="383" t="s">
        <v>67</v>
      </c>
      <c r="C29" s="395" t="str">
        <f>IS!C7</f>
        <v>-</v>
      </c>
      <c r="D29" s="172">
        <f>IS!D7</f>
        <v>210</v>
      </c>
      <c r="E29" s="172">
        <f>IS!E7</f>
        <v>329</v>
      </c>
      <c r="F29" s="172">
        <f>IS!F7</f>
        <v>475</v>
      </c>
      <c r="G29" s="172">
        <f>IS!G7</f>
        <v>746</v>
      </c>
      <c r="H29" s="13"/>
      <c r="I29" s="13"/>
      <c r="J29" s="13"/>
    </row>
    <row r="30" spans="1:10" x14ac:dyDescent="0.3">
      <c r="A30" s="47"/>
      <c r="B30" s="382" t="s">
        <v>64</v>
      </c>
      <c r="C30" s="393"/>
      <c r="D30" s="37">
        <f t="shared" ref="D30:G30" si="11">D29/D$10</f>
        <v>5.7747834456207889E-3</v>
      </c>
      <c r="E30" s="37">
        <f t="shared" si="11"/>
        <v>6.9691577698695138E-3</v>
      </c>
      <c r="F30" s="37">
        <f t="shared" si="11"/>
        <v>7.1798902610456941E-3</v>
      </c>
      <c r="G30" s="37">
        <f t="shared" si="11"/>
        <v>7.2427887649394651E-3</v>
      </c>
      <c r="H30" s="38">
        <f>AVERAGE(D30:G30)</f>
        <v>6.7916550603688659E-3</v>
      </c>
      <c r="I30" s="38">
        <f>MEDIAN(D30:G30)</f>
        <v>7.0745240154576044E-3</v>
      </c>
      <c r="J30" s="13"/>
    </row>
    <row r="31" spans="1:10" x14ac:dyDescent="0.3">
      <c r="A31" s="47"/>
      <c r="B31" s="382" t="s">
        <v>61</v>
      </c>
      <c r="C31" s="390"/>
      <c r="D31" s="37"/>
      <c r="E31" s="37">
        <f t="shared" ref="E31:G31" si="12">(E29-D29)/D29</f>
        <v>0.56666666666666665</v>
      </c>
      <c r="F31" s="37">
        <f t="shared" si="12"/>
        <v>0.44376899696048633</v>
      </c>
      <c r="G31" s="37">
        <f t="shared" si="12"/>
        <v>0.57052631578947366</v>
      </c>
      <c r="H31" s="38">
        <f>AVERAGE(E31:G31)</f>
        <v>0.52698732647220892</v>
      </c>
      <c r="I31" s="38">
        <f>MEDIAN(E31:G31)</f>
        <v>0.56666666666666665</v>
      </c>
      <c r="J31" s="13"/>
    </row>
    <row r="32" spans="1:10" ht="15" thickBot="1" x14ac:dyDescent="0.35">
      <c r="A32" s="47"/>
      <c r="B32" s="403" t="s">
        <v>62</v>
      </c>
      <c r="C32" s="407"/>
      <c r="D32" s="405"/>
      <c r="E32" s="405">
        <f>(E29/$D29)^(1/E$8)-1</f>
        <v>0.56666666666666665</v>
      </c>
      <c r="F32" s="405">
        <f>(F29/$D29)^(1/F$8)-1</f>
        <v>0.50396301879559591</v>
      </c>
      <c r="G32" s="405">
        <f>(G29/$D29)^(1/G$8)-1</f>
        <v>0.52583126979316908</v>
      </c>
      <c r="H32" s="415">
        <f>AVERAGE(E32:G32)</f>
        <v>0.53215365175181051</v>
      </c>
      <c r="I32" s="406">
        <f>MEDIAN(E32:G32)</f>
        <v>0.52583126979316908</v>
      </c>
      <c r="J32" s="13"/>
    </row>
    <row r="33" spans="1:10" x14ac:dyDescent="0.3">
      <c r="A33" s="47"/>
      <c r="B33" s="13"/>
      <c r="C33" s="390"/>
      <c r="D33" s="391"/>
      <c r="E33" s="391"/>
      <c r="F33" s="391"/>
      <c r="G33" s="391"/>
      <c r="H33" s="13"/>
      <c r="I33" s="13"/>
      <c r="J33" s="13"/>
    </row>
    <row r="34" spans="1:10" x14ac:dyDescent="0.3">
      <c r="A34" s="47"/>
      <c r="B34" s="221" t="s">
        <v>68</v>
      </c>
      <c r="C34" s="395" t="str">
        <f>IS!C11</f>
        <v>-</v>
      </c>
      <c r="D34" s="172">
        <f>IS!D11</f>
        <v>25278</v>
      </c>
      <c r="E34" s="172">
        <f>IS!E11</f>
        <v>32651</v>
      </c>
      <c r="F34" s="172">
        <f>IS!F11</f>
        <v>48002</v>
      </c>
      <c r="G34" s="172">
        <f>IS!G11</f>
        <v>67838</v>
      </c>
      <c r="H34" s="13"/>
      <c r="I34" s="13"/>
      <c r="J34" s="13"/>
    </row>
    <row r="35" spans="1:10" x14ac:dyDescent="0.3">
      <c r="A35" s="47"/>
      <c r="B35" s="382" t="s">
        <v>64</v>
      </c>
      <c r="C35" s="393"/>
      <c r="D35" s="37">
        <f t="shared" ref="D35:F35" si="13">D34/D$10</f>
        <v>0.69511893304001104</v>
      </c>
      <c r="E35" s="37">
        <f t="shared" si="13"/>
        <v>0.69164124724622944</v>
      </c>
      <c r="F35" s="37">
        <f t="shared" si="13"/>
        <v>0.72557703644361138</v>
      </c>
      <c r="G35" s="37">
        <f>G34/G$10</f>
        <v>0.65862775366751136</v>
      </c>
      <c r="H35" s="38">
        <f>AVERAGE(D35:G35)</f>
        <v>0.69274124259934089</v>
      </c>
      <c r="I35" s="38">
        <f>MEDIAN(D35:G35)</f>
        <v>0.69338009014312019</v>
      </c>
      <c r="J35" s="13"/>
    </row>
    <row r="36" spans="1:10" x14ac:dyDescent="0.3">
      <c r="A36" s="47"/>
      <c r="B36" s="382" t="s">
        <v>61</v>
      </c>
      <c r="C36" s="390"/>
      <c r="D36" s="37"/>
      <c r="E36" s="37">
        <f t="shared" ref="E36:G36" si="14">(E34-D34)/D34</f>
        <v>0.29167655668961151</v>
      </c>
      <c r="F36" s="37">
        <f t="shared" si="14"/>
        <v>0.47015405347462558</v>
      </c>
      <c r="G36" s="37">
        <f t="shared" si="14"/>
        <v>0.41323278196741803</v>
      </c>
      <c r="H36" s="38">
        <f>AVERAGE(E36:G36)</f>
        <v>0.39168779737721837</v>
      </c>
      <c r="I36" s="38">
        <f>MEDIAN(E36:G36)</f>
        <v>0.41323278196741803</v>
      </c>
      <c r="J36" s="13"/>
    </row>
    <row r="37" spans="1:10" ht="15" thickBot="1" x14ac:dyDescent="0.35">
      <c r="A37" s="47"/>
      <c r="B37" s="403" t="s">
        <v>62</v>
      </c>
      <c r="C37" s="407"/>
      <c r="D37" s="405"/>
      <c r="E37" s="405">
        <f>(E34/$D34)^(1/E$8)-1</f>
        <v>0.29167655668961157</v>
      </c>
      <c r="F37" s="405">
        <f>(F34/$D34)^(1/F$8)-1</f>
        <v>0.37802885513888262</v>
      </c>
      <c r="G37" s="405">
        <f>(G34/$D34)^(1/G$8)-1</f>
        <v>0.38966496525267602</v>
      </c>
      <c r="H37" s="415">
        <f>AVERAGE(E37:G37)</f>
        <v>0.35312345902705672</v>
      </c>
      <c r="I37" s="406">
        <f>MEDIAN(E37:G37)</f>
        <v>0.37802885513888262</v>
      </c>
      <c r="J37" s="13"/>
    </row>
    <row r="38" spans="1:10" x14ac:dyDescent="0.3">
      <c r="A38" s="47"/>
      <c r="B38" s="13"/>
      <c r="C38" s="390"/>
      <c r="D38" s="391"/>
      <c r="E38" s="391"/>
      <c r="F38" s="391"/>
      <c r="G38" s="391"/>
      <c r="H38" s="13"/>
      <c r="I38" s="13"/>
      <c r="J38" s="13"/>
    </row>
    <row r="39" spans="1:10" x14ac:dyDescent="0.3">
      <c r="A39" s="47"/>
      <c r="B39" s="221" t="s">
        <v>69</v>
      </c>
      <c r="C39" s="396" t="str">
        <f>IS!C17</f>
        <v>-</v>
      </c>
      <c r="D39" s="41">
        <f>IS!D17</f>
        <v>79</v>
      </c>
      <c r="E39" s="41">
        <f>IS!E17</f>
        <v>106</v>
      </c>
      <c r="F39" s="41">
        <f>IS!F17</f>
        <v>77</v>
      </c>
      <c r="G39" s="41">
        <f>IS!G17</f>
        <v>201</v>
      </c>
      <c r="H39" s="13"/>
      <c r="I39" s="13"/>
      <c r="J39" s="13"/>
    </row>
    <row r="40" spans="1:10" x14ac:dyDescent="0.3">
      <c r="A40" s="47"/>
      <c r="B40" s="382" t="s">
        <v>64</v>
      </c>
      <c r="C40" s="393"/>
      <c r="D40" s="37">
        <f t="shared" ref="D40:F40" si="15">D39/D$10</f>
        <v>2.1724185343049637E-3</v>
      </c>
      <c r="E40" s="37">
        <f t="shared" si="15"/>
        <v>2.2453821386205727E-3</v>
      </c>
      <c r="F40" s="37">
        <f t="shared" si="15"/>
        <v>1.1638980002116178E-3</v>
      </c>
      <c r="G40" s="37">
        <f>G39/G$10</f>
        <v>1.9514752570413305E-3</v>
      </c>
      <c r="H40" s="38">
        <f>AVERAGE(D40:G40)</f>
        <v>1.8832934825446211E-3</v>
      </c>
      <c r="I40" s="38">
        <f>MEDIAN(D40:G40)</f>
        <v>2.061946895673147E-3</v>
      </c>
      <c r="J40" s="13"/>
    </row>
    <row r="41" spans="1:10" x14ac:dyDescent="0.3">
      <c r="A41" s="47"/>
      <c r="B41" s="382" t="s">
        <v>61</v>
      </c>
      <c r="C41" s="390"/>
      <c r="D41" s="37"/>
      <c r="E41" s="37">
        <f t="shared" ref="E41" si="16">(E39-D39)/D39</f>
        <v>0.34177215189873417</v>
      </c>
      <c r="F41" s="37">
        <f t="shared" ref="F41" si="17">(F39-E39)/E39</f>
        <v>-0.27358490566037735</v>
      </c>
      <c r="G41" s="37">
        <f t="shared" ref="G41" si="18">(G39-F39)/F39</f>
        <v>1.6103896103896105</v>
      </c>
      <c r="H41" s="38">
        <f>AVERAGE(E41:G41)</f>
        <v>0.55952561887598906</v>
      </c>
      <c r="I41" s="38">
        <f>MEDIAN(E41:G41)</f>
        <v>0.34177215189873417</v>
      </c>
      <c r="J41" s="13"/>
    </row>
    <row r="42" spans="1:10" ht="15" thickBot="1" x14ac:dyDescent="0.35">
      <c r="A42" s="47"/>
      <c r="B42" s="403" t="s">
        <v>62</v>
      </c>
      <c r="C42" s="407"/>
      <c r="D42" s="405"/>
      <c r="E42" s="405">
        <f>(E39/$D39)^(1/E$8)-1</f>
        <v>0.34177215189873422</v>
      </c>
      <c r="F42" s="405">
        <f>(F39/$D39)^(1/F$8)-1</f>
        <v>-1.2739373668838372E-2</v>
      </c>
      <c r="G42" s="405">
        <f>(G39/$D39)^(1/G$8)-1</f>
        <v>0.36517917696380353</v>
      </c>
      <c r="H42" s="415">
        <f>AVERAGE(E42:G42)</f>
        <v>0.23140398506456647</v>
      </c>
      <c r="I42" s="406">
        <f>MEDIAN(E42:G42)</f>
        <v>0.34177215189873422</v>
      </c>
      <c r="J42" s="13"/>
    </row>
    <row r="43" spans="1:10" x14ac:dyDescent="0.3">
      <c r="A43" s="47"/>
      <c r="B43" s="13"/>
      <c r="C43" s="390"/>
      <c r="D43" s="391"/>
      <c r="E43" s="391"/>
      <c r="F43" s="391"/>
      <c r="G43" s="391"/>
      <c r="H43" s="13"/>
      <c r="I43" s="13"/>
      <c r="J43" s="13"/>
    </row>
    <row r="44" spans="1:10" ht="28.8" x14ac:dyDescent="0.3">
      <c r="A44" s="47"/>
      <c r="B44" s="384" t="s">
        <v>70</v>
      </c>
      <c r="C44" s="397" t="str">
        <f>IS!C18</f>
        <v>-</v>
      </c>
      <c r="D44" s="216">
        <f>IS!D18</f>
        <v>0</v>
      </c>
      <c r="E44" s="216">
        <f>IS!E18</f>
        <v>0</v>
      </c>
      <c r="F44" s="216">
        <f>IS!F18</f>
        <v>0</v>
      </c>
      <c r="G44" s="216">
        <f>IS!G18</f>
        <v>0</v>
      </c>
      <c r="H44" s="13"/>
      <c r="I44" s="13"/>
      <c r="J44" s="13"/>
    </row>
    <row r="45" spans="1:10" x14ac:dyDescent="0.3">
      <c r="A45" s="47"/>
      <c r="B45" s="382" t="s">
        <v>64</v>
      </c>
      <c r="C45" s="393"/>
      <c r="D45" s="37">
        <f t="shared" ref="D45:F45" si="19">D44/D$10</f>
        <v>0</v>
      </c>
      <c r="E45" s="37">
        <f t="shared" si="19"/>
        <v>0</v>
      </c>
      <c r="F45" s="37">
        <f t="shared" si="19"/>
        <v>0</v>
      </c>
      <c r="G45" s="37">
        <f>G44/G$10</f>
        <v>0</v>
      </c>
      <c r="H45" s="38">
        <f>AVERAGE(D45:G45)</f>
        <v>0</v>
      </c>
      <c r="I45" s="38">
        <f>MEDIAN(D45:G45)</f>
        <v>0</v>
      </c>
      <c r="J45" s="13"/>
    </row>
    <row r="46" spans="1:10" x14ac:dyDescent="0.3">
      <c r="A46" s="47"/>
      <c r="B46" s="382" t="s">
        <v>61</v>
      </c>
      <c r="C46" s="390"/>
      <c r="D46" s="37"/>
      <c r="E46" s="37" t="e">
        <f>(E44-D44)/D44</f>
        <v>#DIV/0!</v>
      </c>
      <c r="F46" s="37" t="e">
        <f t="shared" ref="F46:G46" si="20">(F44-E44)/E44</f>
        <v>#DIV/0!</v>
      </c>
      <c r="G46" s="37" t="e">
        <f t="shared" si="20"/>
        <v>#DIV/0!</v>
      </c>
      <c r="H46" s="38" t="e">
        <f>AVERAGE(E46:G46)</f>
        <v>#DIV/0!</v>
      </c>
      <c r="I46" s="38" t="e">
        <f>MEDIAN(E46:G46)</f>
        <v>#DIV/0!</v>
      </c>
      <c r="J46" s="13"/>
    </row>
    <row r="47" spans="1:10" ht="15" thickBot="1" x14ac:dyDescent="0.35">
      <c r="A47" s="408"/>
      <c r="B47" s="403" t="s">
        <v>62</v>
      </c>
      <c r="C47" s="407"/>
      <c r="D47" s="405"/>
      <c r="E47" s="405" t="e">
        <f>(E44/$D44)^(1/E$8)-1</f>
        <v>#DIV/0!</v>
      </c>
      <c r="F47" s="405" t="e">
        <f t="shared" ref="F47:G47" si="21">(F44/$D44)^(1/F$8)-1</f>
        <v>#DIV/0!</v>
      </c>
      <c r="G47" s="405" t="e">
        <f t="shared" si="21"/>
        <v>#DIV/0!</v>
      </c>
      <c r="H47" s="416" t="e">
        <f>AVERAGE(E47:G47)</f>
        <v>#DIV/0!</v>
      </c>
      <c r="I47" s="406" t="e">
        <f>MEDIAN(E47:G47)</f>
        <v>#DIV/0!</v>
      </c>
      <c r="J47" s="13"/>
    </row>
    <row r="48" spans="1:10" x14ac:dyDescent="0.3">
      <c r="A48" s="47"/>
      <c r="B48" s="13"/>
      <c r="C48" s="390"/>
      <c r="D48" s="391"/>
      <c r="E48" s="391"/>
      <c r="F48" s="391"/>
      <c r="G48" s="391"/>
      <c r="H48" s="13"/>
      <c r="I48" s="13"/>
      <c r="J48" s="13"/>
    </row>
    <row r="49" spans="1:10" x14ac:dyDescent="0.3">
      <c r="A49" s="47"/>
      <c r="B49" s="370" t="s">
        <v>71</v>
      </c>
      <c r="C49" s="396" t="str">
        <f>IS!C17</f>
        <v>-</v>
      </c>
      <c r="D49" s="41">
        <f>IS!D17</f>
        <v>79</v>
      </c>
      <c r="E49" s="41">
        <f>IS!E17</f>
        <v>106</v>
      </c>
      <c r="F49" s="41">
        <f>IS!F17</f>
        <v>77</v>
      </c>
      <c r="G49" s="41">
        <f>IS!G17</f>
        <v>201</v>
      </c>
      <c r="H49" s="23"/>
      <c r="I49" s="23"/>
      <c r="J49" s="13"/>
    </row>
    <row r="50" spans="1:10" x14ac:dyDescent="0.3">
      <c r="A50" s="47"/>
      <c r="B50" s="385" t="s">
        <v>64</v>
      </c>
      <c r="C50" s="398"/>
      <c r="D50" s="42">
        <f t="shared" ref="D50:G50" si="22">D49/D$10</f>
        <v>2.1724185343049637E-3</v>
      </c>
      <c r="E50" s="42">
        <f t="shared" si="22"/>
        <v>2.2453821386205727E-3</v>
      </c>
      <c r="F50" s="42">
        <f t="shared" si="22"/>
        <v>1.1638980002116178E-3</v>
      </c>
      <c r="G50" s="42">
        <f t="shared" si="22"/>
        <v>1.9514752570413305E-3</v>
      </c>
      <c r="H50" s="44">
        <f>AVERAGE(D50:G50)</f>
        <v>1.8832934825446211E-3</v>
      </c>
      <c r="I50" s="44">
        <f>MEDIAN(D50:G50)</f>
        <v>2.061946895673147E-3</v>
      </c>
      <c r="J50" s="13"/>
    </row>
    <row r="51" spans="1:10" x14ac:dyDescent="0.3">
      <c r="A51" s="47"/>
      <c r="B51" s="385" t="s">
        <v>61</v>
      </c>
      <c r="C51" s="399"/>
      <c r="D51" s="42"/>
      <c r="E51" s="42">
        <f t="shared" ref="E51:G51" si="23">(E49-D49)/D49</f>
        <v>0.34177215189873417</v>
      </c>
      <c r="F51" s="42">
        <f t="shared" si="23"/>
        <v>-0.27358490566037735</v>
      </c>
      <c r="G51" s="42">
        <f t="shared" si="23"/>
        <v>1.6103896103896105</v>
      </c>
      <c r="H51" s="44">
        <f>AVERAGE(E51:G51)</f>
        <v>0.55952561887598906</v>
      </c>
      <c r="I51" s="44">
        <f>MEDIAN(E51:G51)</f>
        <v>0.34177215189873417</v>
      </c>
      <c r="J51" s="13"/>
    </row>
    <row r="52" spans="1:10" ht="15" thickBot="1" x14ac:dyDescent="0.35">
      <c r="A52" s="47"/>
      <c r="B52" s="410" t="s">
        <v>62</v>
      </c>
      <c r="C52" s="411"/>
      <c r="D52" s="409"/>
      <c r="E52" s="409">
        <f>(E49/$D49)^(1/E$8)-1</f>
        <v>0.34177215189873422</v>
      </c>
      <c r="F52" s="409">
        <f>(F49/$D49)^(1/F$8)-1</f>
        <v>-1.2739373668838372E-2</v>
      </c>
      <c r="G52" s="409">
        <f>(G49/$D49)^(1/G$8)-1</f>
        <v>0.36517917696380353</v>
      </c>
      <c r="H52" s="417">
        <f>AVERAGE(E52:G52)</f>
        <v>0.23140398506456647</v>
      </c>
      <c r="I52" s="412">
        <f>MEDIAN(E52:G52)</f>
        <v>0.34177215189873422</v>
      </c>
      <c r="J52" s="13"/>
    </row>
    <row r="53" spans="1:10" x14ac:dyDescent="0.3">
      <c r="A53" s="47"/>
      <c r="B53" s="23"/>
      <c r="C53" s="399"/>
      <c r="D53" s="400"/>
      <c r="E53" s="400"/>
      <c r="F53" s="400"/>
      <c r="G53" s="400"/>
      <c r="H53" s="23"/>
      <c r="I53" s="23"/>
      <c r="J53" s="13"/>
    </row>
    <row r="54" spans="1:10" x14ac:dyDescent="0.3">
      <c r="A54" s="47"/>
      <c r="B54" s="221" t="s">
        <v>72</v>
      </c>
      <c r="C54" s="396" t="str">
        <f>IS!C20</f>
        <v>-</v>
      </c>
      <c r="D54" s="172">
        <f>IS!D20</f>
        <v>-392</v>
      </c>
      <c r="E54" s="41">
        <f>IS!E20</f>
        <v>-225</v>
      </c>
      <c r="F54" s="172">
        <f>IS!F20</f>
        <v>1320</v>
      </c>
      <c r="G54" s="41">
        <f>IS!G20</f>
        <v>4512</v>
      </c>
      <c r="H54" s="13"/>
      <c r="I54" s="13"/>
      <c r="J54" s="13"/>
    </row>
    <row r="55" spans="1:10" x14ac:dyDescent="0.3">
      <c r="A55" s="47"/>
      <c r="B55" s="13" t="s">
        <v>73</v>
      </c>
      <c r="C55" s="396" t="str">
        <f>IS!C19</f>
        <v>-</v>
      </c>
      <c r="D55" s="172">
        <f>IS!D19</f>
        <v>5481</v>
      </c>
      <c r="E55" s="41">
        <f>IS!E19</f>
        <v>7637</v>
      </c>
      <c r="F55" s="172">
        <f>IS!F19</f>
        <v>7955</v>
      </c>
      <c r="G55" s="41">
        <f>IS!G19</f>
        <v>14466</v>
      </c>
      <c r="H55" s="13"/>
      <c r="I55" s="13"/>
      <c r="J55" s="13"/>
    </row>
    <row r="56" spans="1:10" x14ac:dyDescent="0.3">
      <c r="A56" s="47"/>
      <c r="B56" s="382" t="s">
        <v>74</v>
      </c>
      <c r="C56" s="393"/>
      <c r="D56" s="37">
        <f>D54/D55</f>
        <v>-7.151979565772669E-2</v>
      </c>
      <c r="E56" s="37">
        <f t="shared" ref="E56:G56" si="24">E54/E55</f>
        <v>-2.9461830561738903E-2</v>
      </c>
      <c r="F56" s="37">
        <f t="shared" si="24"/>
        <v>0.16593337523570081</v>
      </c>
      <c r="G56" s="37">
        <f t="shared" si="24"/>
        <v>0.31190377436748234</v>
      </c>
      <c r="H56" s="38">
        <f>AVERAGE(D56:G56)</f>
        <v>9.4213880845929396E-2</v>
      </c>
      <c r="I56" s="38">
        <f>MEDIAN(D56:G56)</f>
        <v>6.8235772336980957E-2</v>
      </c>
      <c r="J56" s="13"/>
    </row>
    <row r="57" spans="1:10" x14ac:dyDescent="0.3">
      <c r="A57" s="47"/>
      <c r="B57" s="382" t="s">
        <v>64</v>
      </c>
      <c r="C57" s="393"/>
      <c r="D57" s="37">
        <f>D54/D$10</f>
        <v>-1.0779595765158807E-2</v>
      </c>
      <c r="E57" s="37">
        <f t="shared" ref="E57:G57" si="25">E54/E$10</f>
        <v>-4.7661413319776309E-3</v>
      </c>
      <c r="F57" s="37">
        <f t="shared" si="25"/>
        <v>1.9952537146484876E-2</v>
      </c>
      <c r="G57" s="37">
        <f t="shared" si="25"/>
        <v>4.3806250546121805E-2</v>
      </c>
      <c r="H57" s="38">
        <f>AVERAGE(D57:G57)</f>
        <v>1.2053262648867561E-2</v>
      </c>
      <c r="I57" s="38">
        <f>MEDIAN(D57:G57)</f>
        <v>7.5931979072536224E-3</v>
      </c>
      <c r="J57" s="13"/>
    </row>
    <row r="58" spans="1:10" x14ac:dyDescent="0.3">
      <c r="A58" s="47"/>
      <c r="B58" s="382" t="s">
        <v>61</v>
      </c>
      <c r="C58" s="390"/>
      <c r="D58" s="37"/>
      <c r="E58" s="37">
        <f>(E54-D54)/D54</f>
        <v>-0.42602040816326531</v>
      </c>
      <c r="F58" s="37">
        <f t="shared" ref="F58:G58" si="26">(F54-E54)/E54</f>
        <v>-6.8666666666666663</v>
      </c>
      <c r="G58" s="37">
        <f t="shared" si="26"/>
        <v>2.418181818181818</v>
      </c>
      <c r="H58" s="38">
        <f>AVERAGE(E58:G58)</f>
        <v>-1.6248350855493712</v>
      </c>
      <c r="I58" s="38">
        <f>MEDIAN(E58:G58)</f>
        <v>-0.42602040816326531</v>
      </c>
      <c r="J58" s="13"/>
    </row>
    <row r="59" spans="1:10" ht="15" thickBot="1" x14ac:dyDescent="0.35">
      <c r="A59" s="47"/>
      <c r="B59" s="403" t="s">
        <v>62</v>
      </c>
      <c r="C59" s="407"/>
      <c r="D59" s="405"/>
      <c r="E59" s="405">
        <f>(E54/$D54)^(1/E$8)-1</f>
        <v>-0.42602040816326525</v>
      </c>
      <c r="F59" s="405" t="e">
        <f t="shared" ref="F59:G59" si="27">(F54/$D54)^(1/F$8)-1</f>
        <v>#NUM!</v>
      </c>
      <c r="G59" s="405">
        <f t="shared" si="27"/>
        <v>-3.2578461272134285</v>
      </c>
      <c r="H59" s="415" t="e">
        <f>AVERAGE(D59:G59)</f>
        <v>#NUM!</v>
      </c>
      <c r="I59" s="406" t="e">
        <f>MEDIAN(D59:G59)</f>
        <v>#NUM!</v>
      </c>
      <c r="J59" s="13"/>
    </row>
    <row r="60" spans="1:10" x14ac:dyDescent="0.3">
      <c r="A60" s="47"/>
      <c r="B60" s="13"/>
      <c r="C60" s="390"/>
      <c r="D60" s="391"/>
      <c r="E60" s="391"/>
      <c r="F60" s="391"/>
      <c r="G60" s="391"/>
      <c r="H60" s="13"/>
      <c r="I60" s="13"/>
      <c r="J60" s="13"/>
    </row>
    <row r="61" spans="1:10" x14ac:dyDescent="0.3">
      <c r="A61" s="47"/>
      <c r="B61" s="218" t="s">
        <v>75</v>
      </c>
      <c r="C61" s="396" t="str">
        <f>CF!C5</f>
        <v>-</v>
      </c>
      <c r="D61" s="41">
        <f>CF!D5</f>
        <v>210</v>
      </c>
      <c r="E61" s="41">
        <f>CF!E5</f>
        <v>329</v>
      </c>
      <c r="F61" s="41">
        <f>CF!F5</f>
        <v>475</v>
      </c>
      <c r="G61" s="41">
        <f>CF!G5</f>
        <v>746</v>
      </c>
      <c r="H61" s="13"/>
      <c r="I61" s="13"/>
      <c r="J61" s="13"/>
    </row>
    <row r="62" spans="1:10" x14ac:dyDescent="0.3">
      <c r="A62" s="47"/>
      <c r="B62" s="382" t="s">
        <v>64</v>
      </c>
      <c r="C62" s="393"/>
      <c r="D62" s="37">
        <f>D61/D$10</f>
        <v>5.7747834456207889E-3</v>
      </c>
      <c r="E62" s="37">
        <f t="shared" ref="E62:F62" si="28">E61/E$10</f>
        <v>6.9691577698695138E-3</v>
      </c>
      <c r="F62" s="37">
        <f t="shared" si="28"/>
        <v>7.1798902610456941E-3</v>
      </c>
      <c r="G62" s="37">
        <f>G61/G$10</f>
        <v>7.2427887649394651E-3</v>
      </c>
      <c r="H62" s="38">
        <f>AVERAGE(D62:G62)</f>
        <v>6.7916550603688659E-3</v>
      </c>
      <c r="I62" s="38">
        <f>MEDIAN(D62:G62)</f>
        <v>7.0745240154576044E-3</v>
      </c>
      <c r="J62" s="13"/>
    </row>
    <row r="63" spans="1:10" x14ac:dyDescent="0.3">
      <c r="A63" s="47"/>
      <c r="B63" s="382" t="s">
        <v>61</v>
      </c>
      <c r="C63" s="390"/>
      <c r="D63" s="37"/>
      <c r="E63" s="37">
        <f t="shared" ref="E63:G63" si="29">(E61-D61)/D61</f>
        <v>0.56666666666666665</v>
      </c>
      <c r="F63" s="37">
        <f t="shared" si="29"/>
        <v>0.44376899696048633</v>
      </c>
      <c r="G63" s="37">
        <f t="shared" si="29"/>
        <v>0.57052631578947366</v>
      </c>
      <c r="H63" s="38">
        <f>AVERAGE(E63:G63)</f>
        <v>0.52698732647220892</v>
      </c>
      <c r="I63" s="38">
        <f>MEDIAN(E63:G63)</f>
        <v>0.56666666666666665</v>
      </c>
      <c r="J63" s="13"/>
    </row>
    <row r="64" spans="1:10" ht="15" thickBot="1" x14ac:dyDescent="0.35">
      <c r="A64" s="47"/>
      <c r="B64" s="403" t="s">
        <v>62</v>
      </c>
      <c r="C64" s="407"/>
      <c r="D64" s="405"/>
      <c r="E64" s="405">
        <f>(E61/$D61)^(1/E$8)-1</f>
        <v>0.56666666666666665</v>
      </c>
      <c r="F64" s="405">
        <f>(F61/$D61)^(1/F$8)-1</f>
        <v>0.50396301879559591</v>
      </c>
      <c r="G64" s="405">
        <f>(G61/$D61)^(1/G$8)-1</f>
        <v>0.52583126979316908</v>
      </c>
      <c r="H64" s="415">
        <f>AVERAGE(D64:G64)</f>
        <v>0.53215365175181051</v>
      </c>
      <c r="I64" s="406">
        <f>MEDIAN(D64:G64)</f>
        <v>0.52583126979316908</v>
      </c>
      <c r="J64" s="13"/>
    </row>
    <row r="65" spans="1:10" x14ac:dyDescent="0.3">
      <c r="A65" s="47"/>
      <c r="B65" s="13"/>
      <c r="C65" s="390"/>
      <c r="D65" s="391"/>
      <c r="E65" s="391"/>
      <c r="F65" s="391"/>
      <c r="G65" s="391"/>
      <c r="H65" s="13"/>
      <c r="I65" s="13"/>
      <c r="J65" s="13"/>
    </row>
    <row r="66" spans="1:10" x14ac:dyDescent="0.3">
      <c r="A66" s="47"/>
      <c r="B66" s="221" t="s">
        <v>76</v>
      </c>
      <c r="C66" s="396" t="str">
        <f>CF!C17</f>
        <v>-</v>
      </c>
      <c r="D66" s="41">
        <f>CF!D17</f>
        <v>-431</v>
      </c>
      <c r="E66" s="41">
        <f>CF!E17</f>
        <v>-686</v>
      </c>
      <c r="F66" s="41">
        <f>CF!F17</f>
        <v>-752</v>
      </c>
      <c r="G66" s="41">
        <f>CF!G17</f>
        <v>-1408</v>
      </c>
      <c r="H66" s="13"/>
      <c r="I66" s="13"/>
      <c r="J66" s="13"/>
    </row>
    <row r="67" spans="1:10" x14ac:dyDescent="0.3">
      <c r="A67" s="47"/>
      <c r="B67" s="382" t="s">
        <v>64</v>
      </c>
      <c r="C67" s="393"/>
      <c r="D67" s="37">
        <f>D66/D$10</f>
        <v>-1.1852055547916953E-2</v>
      </c>
      <c r="E67" s="37">
        <f t="shared" ref="E67:G67" si="30">E66/E$10</f>
        <v>-1.4531435349940688E-2</v>
      </c>
      <c r="F67" s="37">
        <f t="shared" si="30"/>
        <v>-1.1366899950118657E-2</v>
      </c>
      <c r="G67" s="37">
        <f t="shared" si="30"/>
        <v>-1.3670035631413897E-2</v>
      </c>
      <c r="H67" s="38">
        <f>AVERAGE(D67:G67)</f>
        <v>-1.2855106619847548E-2</v>
      </c>
      <c r="I67" s="38">
        <f>MEDIAN(D67:G67)</f>
        <v>-1.2761045589665426E-2</v>
      </c>
      <c r="J67" s="13"/>
    </row>
    <row r="68" spans="1:10" x14ac:dyDescent="0.3">
      <c r="A68" s="47"/>
      <c r="B68" s="382" t="s">
        <v>61</v>
      </c>
      <c r="C68" s="390"/>
      <c r="D68" s="37"/>
      <c r="E68" s="37">
        <f t="shared" ref="E68:G68" si="31">(E67-D67)/D67</f>
        <v>0.22606878538420674</v>
      </c>
      <c r="F68" s="37">
        <f t="shared" si="31"/>
        <v>-0.21777170139183447</v>
      </c>
      <c r="G68" s="37">
        <f t="shared" si="31"/>
        <v>0.20261774902586333</v>
      </c>
      <c r="H68" s="38">
        <f>AVERAGE(E68:G68)</f>
        <v>7.0304944339411868E-2</v>
      </c>
      <c r="I68" s="38">
        <f>MEDIAN(E68:G68)</f>
        <v>0.20261774902586333</v>
      </c>
      <c r="J68" s="13"/>
    </row>
    <row r="69" spans="1:10" ht="15" thickBot="1" x14ac:dyDescent="0.35">
      <c r="A69" s="47"/>
      <c r="B69" s="403" t="s">
        <v>62</v>
      </c>
      <c r="C69" s="407"/>
      <c r="D69" s="405"/>
      <c r="E69" s="405">
        <f>(E66/$D66)^(1/E$8)-1</f>
        <v>0.59164733178654294</v>
      </c>
      <c r="F69" s="405">
        <f t="shared" ref="F69:G69" si="32">(F66/$D66)^(1/F$8)-1</f>
        <v>0.32090104942292674</v>
      </c>
      <c r="G69" s="405">
        <f t="shared" si="32"/>
        <v>0.4837991850450214</v>
      </c>
      <c r="H69" s="415">
        <f>AVERAGE(D69:G69)</f>
        <v>0.46544918875149704</v>
      </c>
      <c r="I69" s="406">
        <f>MEDIAN(D69:G69)</f>
        <v>0.4837991850450214</v>
      </c>
      <c r="J69" s="13"/>
    </row>
    <row r="70" spans="1:10" x14ac:dyDescent="0.3">
      <c r="A70" s="47"/>
      <c r="B70" s="13"/>
      <c r="C70" s="390"/>
      <c r="D70" s="391"/>
      <c r="E70" s="391"/>
      <c r="F70" s="391"/>
      <c r="G70" s="391"/>
      <c r="H70" s="13"/>
      <c r="I70" s="13"/>
      <c r="J70" s="13"/>
    </row>
    <row r="71" spans="1:10" x14ac:dyDescent="0.3">
      <c r="A71" s="47"/>
      <c r="B71" s="370" t="s">
        <v>77</v>
      </c>
      <c r="C71" s="396" t="str">
        <f>BS!C22</f>
        <v>-</v>
      </c>
      <c r="D71" s="41">
        <v>0</v>
      </c>
      <c r="E71" s="41">
        <f>BS!E22</f>
        <v>64379</v>
      </c>
      <c r="F71" s="41">
        <f>BS!F22</f>
        <v>89724</v>
      </c>
      <c r="G71" s="41">
        <f>BS!G22</f>
        <v>210552</v>
      </c>
      <c r="H71" s="13"/>
      <c r="I71" s="13"/>
      <c r="J71" s="13"/>
    </row>
    <row r="72" spans="1:10" x14ac:dyDescent="0.3">
      <c r="A72" s="47"/>
      <c r="B72" s="382" t="s">
        <v>64</v>
      </c>
      <c r="C72" s="393"/>
      <c r="D72" s="37">
        <f>D71/D$10</f>
        <v>0</v>
      </c>
      <c r="E72" s="37">
        <f t="shared" ref="E72:G72" si="33">E71/E$10</f>
        <v>1.3637307236061684</v>
      </c>
      <c r="F72" s="37">
        <f t="shared" si="33"/>
        <v>1.3562283658569765</v>
      </c>
      <c r="G72" s="37">
        <f t="shared" si="33"/>
        <v>2.0442140214953541</v>
      </c>
      <c r="H72" s="38">
        <f>AVERAGE(E72:G72)</f>
        <v>1.5880577036528329</v>
      </c>
      <c r="I72" s="38">
        <f>MEDIAN(E72:G72)</f>
        <v>1.3637307236061684</v>
      </c>
      <c r="J72" s="13"/>
    </row>
    <row r="73" spans="1:10" x14ac:dyDescent="0.3">
      <c r="A73" s="47"/>
      <c r="B73" s="382" t="s">
        <v>61</v>
      </c>
      <c r="C73" s="390"/>
      <c r="D73" s="37"/>
      <c r="E73" s="37" t="e">
        <f>(E71-D71)/D71</f>
        <v>#DIV/0!</v>
      </c>
      <c r="F73" s="37">
        <f t="shared" ref="F73:G73" si="34">(F71-E71)/E71</f>
        <v>0.39368427592848598</v>
      </c>
      <c r="G73" s="37">
        <f t="shared" si="34"/>
        <v>1.3466631001738665</v>
      </c>
      <c r="H73" s="38">
        <f>AVERAGE(F73:G73)</f>
        <v>0.87017368805117623</v>
      </c>
      <c r="I73" s="38">
        <f>MEDIAN(F73:G73)</f>
        <v>0.87017368805117623</v>
      </c>
      <c r="J73" s="13"/>
    </row>
    <row r="74" spans="1:10" ht="15" thickBot="1" x14ac:dyDescent="0.35">
      <c r="A74" s="47"/>
      <c r="B74" s="403" t="s">
        <v>62</v>
      </c>
      <c r="C74" s="407"/>
      <c r="D74" s="405"/>
      <c r="E74" s="405" t="e">
        <f>(E71/$D71)^(1/E$8)-1</f>
        <v>#DIV/0!</v>
      </c>
      <c r="F74" s="405" t="e">
        <f>(F71/$D71)^(1/F$8)-1</f>
        <v>#DIV/0!</v>
      </c>
      <c r="G74" s="405" t="e">
        <f>(G71/$D71)^(1/G$8)-1</f>
        <v>#DIV/0!</v>
      </c>
      <c r="H74" s="415" t="e">
        <f>AVERAGE(E74:G74)</f>
        <v>#DIV/0!</v>
      </c>
      <c r="I74" s="406" t="e">
        <f>MEDIAN(E74:G74)</f>
        <v>#DIV/0!</v>
      </c>
      <c r="J74" s="13"/>
    </row>
    <row r="75" spans="1:10" x14ac:dyDescent="0.3">
      <c r="A75" s="47"/>
      <c r="B75" s="13"/>
      <c r="C75" s="390"/>
      <c r="D75" s="391"/>
      <c r="E75" s="391"/>
      <c r="F75" s="391"/>
      <c r="G75" s="391"/>
      <c r="H75" s="13"/>
      <c r="I75" s="13"/>
      <c r="J75" s="13"/>
    </row>
    <row r="76" spans="1:10" x14ac:dyDescent="0.3">
      <c r="A76" s="47"/>
      <c r="B76" s="370" t="s">
        <v>78</v>
      </c>
      <c r="C76" s="396" t="str">
        <f>BS!C4</f>
        <v>-</v>
      </c>
      <c r="D76" s="41">
        <f>BS!D4</f>
        <v>0</v>
      </c>
      <c r="E76" s="41">
        <f>BS!E4</f>
        <v>45995</v>
      </c>
      <c r="F76" s="41">
        <f>BS!F4</f>
        <v>65786</v>
      </c>
      <c r="G76" s="41">
        <f>BS!G4</f>
        <v>177181</v>
      </c>
      <c r="H76" s="13"/>
      <c r="I76" s="13"/>
      <c r="J76" s="13"/>
    </row>
    <row r="77" spans="1:10" x14ac:dyDescent="0.3">
      <c r="A77" s="47"/>
      <c r="B77" s="382" t="s">
        <v>79</v>
      </c>
      <c r="C77" s="393"/>
      <c r="D77" s="37" t="e">
        <f>D76/D71</f>
        <v>#DIV/0!</v>
      </c>
      <c r="E77" s="37">
        <f t="shared" ref="E77:G77" si="35">E76/E71</f>
        <v>0.71444104443995715</v>
      </c>
      <c r="F77" s="37">
        <f t="shared" si="35"/>
        <v>0.73320404796932814</v>
      </c>
      <c r="G77" s="37">
        <f t="shared" si="35"/>
        <v>0.84150708613549152</v>
      </c>
      <c r="H77" s="38">
        <f>AVERAGE(E77:G77)</f>
        <v>0.76305072618159231</v>
      </c>
      <c r="I77" s="38">
        <f>MEDIAN(E77:G77)</f>
        <v>0.73320404796932814</v>
      </c>
      <c r="J77" s="13"/>
    </row>
    <row r="78" spans="1:10" x14ac:dyDescent="0.3">
      <c r="A78" s="47"/>
      <c r="B78" s="382" t="s">
        <v>64</v>
      </c>
      <c r="C78" s="393"/>
      <c r="D78" s="37">
        <f>D76/D$10</f>
        <v>0</v>
      </c>
      <c r="E78" s="37">
        <f t="shared" ref="E78:G78" si="36">E76/E$10</f>
        <v>0.97430520250804953</v>
      </c>
      <c r="F78" s="37">
        <f t="shared" si="36"/>
        <v>0.99439212781716224</v>
      </c>
      <c r="G78" s="37">
        <f t="shared" si="36"/>
        <v>1.7202205846658705</v>
      </c>
      <c r="H78" s="38">
        <f>AVERAGE(E78:G78)</f>
        <v>1.2296393049970273</v>
      </c>
      <c r="I78" s="38">
        <f>MEDIAN(E78:G78)</f>
        <v>0.99439212781716224</v>
      </c>
      <c r="J78" s="13"/>
    </row>
    <row r="79" spans="1:10" x14ac:dyDescent="0.3">
      <c r="A79" s="47"/>
      <c r="B79" s="382" t="s">
        <v>61</v>
      </c>
      <c r="C79" s="390"/>
      <c r="D79" s="37"/>
      <c r="E79" s="37" t="e">
        <f>(E76-D76)/D76</f>
        <v>#DIV/0!</v>
      </c>
      <c r="F79" s="37">
        <f>(F76-E76)/E76</f>
        <v>0.43028590064137406</v>
      </c>
      <c r="G79" s="37">
        <f>(G76-F76)/F76</f>
        <v>1.6932934058918312</v>
      </c>
      <c r="H79" s="38">
        <f>AVERAGE(F79:G79)</f>
        <v>1.0617896532666027</v>
      </c>
      <c r="I79" s="38">
        <f>MEDIAN(F79:G79)</f>
        <v>1.0617896532666027</v>
      </c>
      <c r="J79" s="13"/>
    </row>
    <row r="80" spans="1:10" ht="15" thickBot="1" x14ac:dyDescent="0.35">
      <c r="A80" s="47"/>
      <c r="B80" s="403" t="s">
        <v>62</v>
      </c>
      <c r="C80" s="407"/>
      <c r="D80" s="405"/>
      <c r="E80" s="405" t="e">
        <f>(E76/$D76)^(1/E$8)-1</f>
        <v>#DIV/0!</v>
      </c>
      <c r="F80" s="405" t="e">
        <f>(F76/$D76)^(1/F$8)-1</f>
        <v>#DIV/0!</v>
      </c>
      <c r="G80" s="405" t="e">
        <f>(G76/$D76)^(1/G$8)-1</f>
        <v>#DIV/0!</v>
      </c>
      <c r="H80" s="415" t="e">
        <f>AVERAGE(D80:G80)</f>
        <v>#DIV/0!</v>
      </c>
      <c r="I80" s="406" t="e">
        <f>MEDIAN(D80:G80)</f>
        <v>#DIV/0!</v>
      </c>
      <c r="J80" s="13"/>
    </row>
    <row r="81" spans="1:10" x14ac:dyDescent="0.3">
      <c r="A81" s="47"/>
      <c r="B81" s="382"/>
      <c r="C81" s="390"/>
      <c r="D81" s="37"/>
      <c r="E81" s="37"/>
      <c r="F81" s="37"/>
      <c r="G81" s="37"/>
      <c r="H81" s="13"/>
      <c r="I81" s="13"/>
      <c r="J81" s="13"/>
    </row>
    <row r="82" spans="1:10" x14ac:dyDescent="0.3">
      <c r="A82" s="47"/>
      <c r="B82" s="386" t="s">
        <v>80</v>
      </c>
      <c r="C82" s="396" t="str">
        <f>BS!C6</f>
        <v>-</v>
      </c>
      <c r="D82" s="401" t="s">
        <v>180</v>
      </c>
      <c r="E82" s="401">
        <v>0</v>
      </c>
      <c r="F82" s="401">
        <v>0</v>
      </c>
      <c r="G82" s="401">
        <f>BS!G6</f>
        <v>52997</v>
      </c>
      <c r="H82" s="13"/>
      <c r="I82" s="13"/>
      <c r="J82" s="13"/>
    </row>
    <row r="83" spans="1:10" x14ac:dyDescent="0.3">
      <c r="A83" s="47"/>
      <c r="B83" s="385" t="s">
        <v>79</v>
      </c>
      <c r="C83" s="398"/>
      <c r="D83" s="282" t="e">
        <f>D82/D$10</f>
        <v>#VALUE!</v>
      </c>
      <c r="E83" s="42">
        <f>E82/E71</f>
        <v>0</v>
      </c>
      <c r="F83" s="42">
        <f>F82/F71</f>
        <v>0</v>
      </c>
      <c r="G83" s="42">
        <f>G82/G71</f>
        <v>0.25170504198487786</v>
      </c>
      <c r="H83" s="38">
        <f>AVERAGE(G83)</f>
        <v>0.25170504198487786</v>
      </c>
      <c r="I83" s="38">
        <f>MEDIAN(G83)</f>
        <v>0.25170504198487786</v>
      </c>
      <c r="J83" s="13"/>
    </row>
    <row r="84" spans="1:10" x14ac:dyDescent="0.3">
      <c r="A84" s="47"/>
      <c r="B84" s="385" t="s">
        <v>61</v>
      </c>
      <c r="C84" s="399"/>
      <c r="D84" s="42"/>
      <c r="E84" s="42" t="e">
        <f>(E82-D82)/D82</f>
        <v>#VALUE!</v>
      </c>
      <c r="F84" s="42" t="e">
        <f>(F82-E82)/E82</f>
        <v>#DIV/0!</v>
      </c>
      <c r="G84" s="42" t="e">
        <f>(G82-F82)/F82</f>
        <v>#DIV/0!</v>
      </c>
      <c r="H84" s="38" t="e">
        <f>AVERAGE(G84)</f>
        <v>#DIV/0!</v>
      </c>
      <c r="I84" s="38" t="e">
        <f>MEDIAN(G84)</f>
        <v>#DIV/0!</v>
      </c>
      <c r="J84" s="13"/>
    </row>
    <row r="85" spans="1:10" ht="15" thickBot="1" x14ac:dyDescent="0.35">
      <c r="A85" s="47"/>
      <c r="B85" s="410" t="s">
        <v>62</v>
      </c>
      <c r="C85" s="411"/>
      <c r="D85" s="409"/>
      <c r="E85" s="409" t="e">
        <f>(E82/$D82)^(1/E$8)-1</f>
        <v>#VALUE!</v>
      </c>
      <c r="F85" s="409" t="e">
        <f>(F82/$D82)^(1/F$8)-1</f>
        <v>#VALUE!</v>
      </c>
      <c r="G85" s="409" t="e">
        <f>(G82/$D82)^(1/G$8)-1</f>
        <v>#VALUE!</v>
      </c>
      <c r="H85" s="415" t="e">
        <f>AVERAGE(E85:G85)</f>
        <v>#VALUE!</v>
      </c>
      <c r="I85" s="406" t="e">
        <f>MEDIAN(E85:G85)</f>
        <v>#VALUE!</v>
      </c>
      <c r="J85" s="13"/>
    </row>
    <row r="86" spans="1:10" x14ac:dyDescent="0.3">
      <c r="A86" s="47"/>
      <c r="B86" s="23"/>
      <c r="C86" s="399"/>
      <c r="D86" s="400"/>
      <c r="E86" s="400"/>
      <c r="F86" s="400"/>
      <c r="G86" s="400"/>
      <c r="H86" s="13"/>
      <c r="I86" s="13"/>
      <c r="J86" s="13"/>
    </row>
    <row r="87" spans="1:10" x14ac:dyDescent="0.3">
      <c r="A87" s="47"/>
      <c r="B87" s="370" t="s">
        <v>81</v>
      </c>
      <c r="C87" s="402" t="str">
        <f>BS!C45</f>
        <v>-</v>
      </c>
      <c r="D87" s="217">
        <f>BS!D45</f>
        <v>0</v>
      </c>
      <c r="E87" s="217">
        <f>BS!E45</f>
        <v>25885</v>
      </c>
      <c r="F87" s="217">
        <f>BS!F45</f>
        <v>43878</v>
      </c>
      <c r="G87" s="217">
        <f>BS!G45</f>
        <v>55544</v>
      </c>
      <c r="H87" s="13"/>
      <c r="I87" s="13"/>
      <c r="J87" s="13"/>
    </row>
    <row r="88" spans="1:10" x14ac:dyDescent="0.3">
      <c r="A88" s="47"/>
      <c r="B88" s="385" t="s">
        <v>64</v>
      </c>
      <c r="C88" s="398"/>
      <c r="D88" s="42">
        <f>D87/D$10</f>
        <v>0</v>
      </c>
      <c r="E88" s="42">
        <f t="shared" ref="E88:F88" si="37">E87/E$10</f>
        <v>0.54831808168107099</v>
      </c>
      <c r="F88" s="42">
        <f t="shared" si="37"/>
        <v>0.66324047341929049</v>
      </c>
      <c r="G88" s="42">
        <f>G87/G$10</f>
        <v>0.53926737152787896</v>
      </c>
      <c r="H88" s="38">
        <f>AVERAGE(E88:G88)</f>
        <v>0.58360864220941344</v>
      </c>
      <c r="I88" s="38">
        <f>MEDIAN(E88:G88)</f>
        <v>0.54831808168107099</v>
      </c>
      <c r="J88" s="13"/>
    </row>
    <row r="89" spans="1:10" x14ac:dyDescent="0.3">
      <c r="A89" s="47"/>
      <c r="B89" s="385" t="s">
        <v>61</v>
      </c>
      <c r="C89" s="220"/>
      <c r="D89" s="42"/>
      <c r="E89" s="282" t="e">
        <f>(E87-D87)/D87</f>
        <v>#DIV/0!</v>
      </c>
      <c r="F89" s="42">
        <f>(F87-E87)/E87</f>
        <v>0.69511299980683794</v>
      </c>
      <c r="G89" s="42">
        <f>(G87-F87)/F87</f>
        <v>0.26587355850312228</v>
      </c>
      <c r="H89" s="38">
        <f>AVERAGE(F89:G89)</f>
        <v>0.48049327915498008</v>
      </c>
      <c r="I89" s="38">
        <f>MEDIAN(F89:G89)</f>
        <v>0.48049327915498008</v>
      </c>
      <c r="J89" s="13"/>
    </row>
    <row r="90" spans="1:10" ht="15" thickBot="1" x14ac:dyDescent="0.35">
      <c r="A90" s="47"/>
      <c r="B90" s="410" t="s">
        <v>62</v>
      </c>
      <c r="C90" s="413"/>
      <c r="D90" s="409"/>
      <c r="E90" s="409" t="e">
        <f>(E87/$D87)^(1/E$8)-1</f>
        <v>#DIV/0!</v>
      </c>
      <c r="F90" s="409" t="e">
        <f>(F87/$D87)^(1/F$8)-1</f>
        <v>#DIV/0!</v>
      </c>
      <c r="G90" s="409" t="e">
        <f>(G87/$D87)^(1/G$8)-1</f>
        <v>#DIV/0!</v>
      </c>
      <c r="H90" s="415" t="e">
        <f>AVERAGE(E90:G90)</f>
        <v>#DIV/0!</v>
      </c>
      <c r="I90" s="406" t="e">
        <f>MEDIAN(E90:G90)</f>
        <v>#DIV/0!</v>
      </c>
      <c r="J90" s="13"/>
    </row>
    <row r="91" spans="1:10" x14ac:dyDescent="0.3">
      <c r="A91" s="47"/>
      <c r="B91" s="385"/>
      <c r="C91" s="220"/>
      <c r="D91" s="42"/>
      <c r="E91" s="42"/>
      <c r="F91" s="42"/>
      <c r="G91" s="42"/>
      <c r="H91" s="38"/>
      <c r="I91" s="38"/>
      <c r="J91" s="13"/>
    </row>
    <row r="92" spans="1:10" x14ac:dyDescent="0.3">
      <c r="A92" s="47"/>
      <c r="B92" s="386" t="s">
        <v>82</v>
      </c>
      <c r="C92" s="402" t="str">
        <f>BS!C26</f>
        <v>-</v>
      </c>
      <c r="D92" s="217">
        <f>BS!D26</f>
        <v>0</v>
      </c>
      <c r="E92" s="217">
        <f>BS!E26</f>
        <v>0</v>
      </c>
      <c r="F92" s="217">
        <f>BS!F26</f>
        <v>0</v>
      </c>
      <c r="G92" s="217">
        <f>BS!G26</f>
        <v>0</v>
      </c>
      <c r="H92" s="38"/>
      <c r="I92" s="38"/>
      <c r="J92" s="13"/>
    </row>
    <row r="93" spans="1:10" x14ac:dyDescent="0.3">
      <c r="A93" s="47"/>
      <c r="B93" s="382" t="s">
        <v>83</v>
      </c>
      <c r="C93" s="37"/>
      <c r="D93" s="37" t="e">
        <f>D92/D87</f>
        <v>#DIV/0!</v>
      </c>
      <c r="E93" s="37">
        <f t="shared" ref="E93:G93" si="38">E92/E87</f>
        <v>0</v>
      </c>
      <c r="F93" s="37">
        <f t="shared" si="38"/>
        <v>0</v>
      </c>
      <c r="G93" s="37">
        <f t="shared" si="38"/>
        <v>0</v>
      </c>
      <c r="H93" s="38" t="e">
        <f>AVERAGE(C93:G93)</f>
        <v>#DIV/0!</v>
      </c>
      <c r="I93" s="38" t="e">
        <f>MEDIAN(C93:G93)</f>
        <v>#DIV/0!</v>
      </c>
      <c r="J93" s="13"/>
    </row>
    <row r="94" spans="1:10" x14ac:dyDescent="0.3">
      <c r="A94" s="47"/>
      <c r="B94" s="382" t="s">
        <v>61</v>
      </c>
      <c r="C94" s="13"/>
      <c r="D94" s="37"/>
      <c r="E94" s="37" t="e">
        <f>(E93-D93)/D93</f>
        <v>#DIV/0!</v>
      </c>
      <c r="F94" s="37" t="e">
        <f>(F93-E93)/E93</f>
        <v>#DIV/0!</v>
      </c>
      <c r="G94" s="37" t="e">
        <f>(G93-F93)/F93</f>
        <v>#DIV/0!</v>
      </c>
      <c r="H94" s="38" t="e">
        <f>AVERAGE(D94:G94)</f>
        <v>#DIV/0!</v>
      </c>
      <c r="I94" s="38" t="e">
        <f>MEDIAN(D94:G94)</f>
        <v>#DIV/0!</v>
      </c>
      <c r="J94" s="13"/>
    </row>
    <row r="95" spans="1:10" ht="15" thickBot="1" x14ac:dyDescent="0.35">
      <c r="A95" s="47"/>
      <c r="B95" s="403" t="s">
        <v>62</v>
      </c>
      <c r="C95" s="376"/>
      <c r="D95" s="405"/>
      <c r="E95" s="405" t="e">
        <f>(E93/$D93)^(1/E$8)-1</f>
        <v>#DIV/0!</v>
      </c>
      <c r="F95" s="405" t="e">
        <f>(F93/$D93)^(1/F$8)-1</f>
        <v>#DIV/0!</v>
      </c>
      <c r="G95" s="405" t="e">
        <f>(G93/$D93)^(1/G$8)-1</f>
        <v>#DIV/0!</v>
      </c>
      <c r="H95" s="415" t="e">
        <f>AVERAGE(D95:G95)</f>
        <v>#DIV/0!</v>
      </c>
      <c r="I95" s="406" t="e">
        <f>MEDIAN(D95:G95)</f>
        <v>#DIV/0!</v>
      </c>
      <c r="J95" s="13"/>
    </row>
    <row r="96" spans="1:10" x14ac:dyDescent="0.3">
      <c r="A96" s="47"/>
      <c r="B96" s="13"/>
      <c r="C96" s="13"/>
      <c r="D96" s="13"/>
      <c r="E96" s="13"/>
      <c r="F96" s="13"/>
      <c r="G96" s="13"/>
      <c r="H96" s="13"/>
      <c r="I96" s="13"/>
      <c r="J96" s="13"/>
    </row>
    <row r="97" spans="1:11" x14ac:dyDescent="0.3">
      <c r="A97" s="47"/>
      <c r="B97" s="13"/>
      <c r="C97" s="23">
        <v>2009</v>
      </c>
      <c r="D97" s="13">
        <v>2010</v>
      </c>
      <c r="E97" s="13">
        <v>2011</v>
      </c>
      <c r="F97" s="13">
        <v>2012</v>
      </c>
      <c r="G97" s="13">
        <v>2013</v>
      </c>
      <c r="H97" s="13">
        <v>2014</v>
      </c>
      <c r="I97" s="13"/>
      <c r="J97" s="13"/>
    </row>
    <row r="98" spans="1:11" x14ac:dyDescent="0.3">
      <c r="A98" s="47"/>
      <c r="B98" s="221" t="s">
        <v>84</v>
      </c>
      <c r="C98" s="45" t="s">
        <v>180</v>
      </c>
      <c r="D98" s="209" t="str">
        <f>IS!C27</f>
        <v>-</v>
      </c>
      <c r="E98" s="210">
        <f>IS!D27</f>
        <v>0.26</v>
      </c>
      <c r="F98" s="209">
        <f>IS!E27</f>
        <v>0.31</v>
      </c>
      <c r="G98" s="210">
        <f>IS!F27</f>
        <v>0.16</v>
      </c>
      <c r="H98" s="209">
        <f>IS!G27</f>
        <v>0.34</v>
      </c>
      <c r="I98" s="46" t="s">
        <v>49</v>
      </c>
      <c r="J98" s="13"/>
    </row>
    <row r="99" spans="1:11" x14ac:dyDescent="0.3">
      <c r="A99" s="47"/>
      <c r="B99" s="382" t="s">
        <v>61</v>
      </c>
      <c r="C99" s="13"/>
      <c r="D99" s="211"/>
      <c r="E99" s="211"/>
      <c r="F99" s="37">
        <f t="shared" ref="F99:H99" si="39">(F98-E98)/E98</f>
        <v>0.19230769230769226</v>
      </c>
      <c r="G99" s="37">
        <f t="shared" si="39"/>
        <v>-0.48387096774193544</v>
      </c>
      <c r="H99" s="37">
        <f t="shared" si="39"/>
        <v>1.125</v>
      </c>
      <c r="I99" s="42">
        <f>AVERAGE(F99:H99)</f>
        <v>0.27781224152191891</v>
      </c>
      <c r="J99" s="13"/>
    </row>
    <row r="100" spans="1:11" ht="15" thickBot="1" x14ac:dyDescent="0.35">
      <c r="A100" s="47"/>
      <c r="B100" s="403" t="s">
        <v>62</v>
      </c>
      <c r="C100" s="376"/>
      <c r="D100" s="405"/>
      <c r="E100" s="405"/>
      <c r="F100" s="405">
        <f>(F98/$E98)^(1/F$101)-1</f>
        <v>0.19230769230769229</v>
      </c>
      <c r="G100" s="405">
        <f>(G98/$E98)^(1/G$101)-1</f>
        <v>-0.21553545944726382</v>
      </c>
      <c r="H100" s="418">
        <f>(H98/$E98)^(1/H$101)-1</f>
        <v>9.3541299792876842E-2</v>
      </c>
      <c r="I100" s="406">
        <f>AVERAGE(F100:H100)</f>
        <v>2.3437844217768438E-2</v>
      </c>
      <c r="J100" s="13"/>
    </row>
    <row r="101" spans="1:11" x14ac:dyDescent="0.3">
      <c r="A101" s="47"/>
      <c r="B101" s="13"/>
      <c r="C101" s="13"/>
      <c r="D101" s="13"/>
      <c r="E101" s="13"/>
      <c r="F101" s="13">
        <v>1</v>
      </c>
      <c r="G101" s="13">
        <v>2</v>
      </c>
      <c r="H101" s="13">
        <v>3</v>
      </c>
      <c r="I101" s="13"/>
      <c r="J101" s="13"/>
    </row>
    <row r="102" spans="1:11" ht="47.55" customHeight="1" x14ac:dyDescent="0.3">
      <c r="A102" s="47"/>
      <c r="B102" s="13"/>
      <c r="C102" s="13"/>
      <c r="D102" s="13"/>
      <c r="E102" s="13"/>
      <c r="F102" s="13"/>
      <c r="G102" s="13"/>
      <c r="H102" s="13"/>
      <c r="I102" s="13"/>
      <c r="J102" s="13"/>
    </row>
    <row r="103" spans="1:11" s="229" customFormat="1" ht="47.55" customHeight="1" x14ac:dyDescent="0.3">
      <c r="A103" s="237"/>
      <c r="K103" s="2"/>
    </row>
  </sheetData>
  <pageMargins left="0.75" right="0.75" top="1" bottom="1" header="0.5" footer="0.5"/>
  <pageSetup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5"/>
  <sheetViews>
    <sheetView showGridLines="0" zoomScale="60" zoomScaleNormal="60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J51" sqref="J51"/>
    </sheetView>
  </sheetViews>
  <sheetFormatPr defaultColWidth="8.77734375" defaultRowHeight="14.4" outlineLevelRow="1" x14ac:dyDescent="0.3"/>
  <cols>
    <col min="1" max="1" width="3.33203125" style="237" customWidth="1"/>
    <col min="2" max="2" width="34.44140625" bestFit="1" customWidth="1"/>
    <col min="3" max="3" width="12.21875" customWidth="1"/>
    <col min="4" max="4" width="12.109375" customWidth="1"/>
    <col min="5" max="5" width="12.77734375" customWidth="1"/>
    <col min="6" max="6" width="12.21875" customWidth="1"/>
    <col min="7" max="7" width="12.77734375" customWidth="1"/>
    <col min="8" max="9" width="13.109375" customWidth="1"/>
    <col min="10" max="10" width="14.5546875" customWidth="1"/>
    <col min="11" max="15" width="13.109375" customWidth="1"/>
    <col min="16" max="16" width="12.77734375" bestFit="1" customWidth="1"/>
    <col min="17" max="17" width="16" customWidth="1"/>
    <col min="18" max="18" width="11.44140625" bestFit="1" customWidth="1"/>
    <col min="19" max="19" width="17.88671875" style="30" customWidth="1"/>
    <col min="21" max="21" width="8.77734375" style="2"/>
  </cols>
  <sheetData>
    <row r="1" spans="2:21" s="237" customFormat="1" ht="18" customHeight="1" thickBot="1" x14ac:dyDescent="0.35"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98"/>
      <c r="O1" s="47"/>
      <c r="P1" s="47"/>
      <c r="Q1" s="47"/>
    </row>
    <row r="2" spans="2:21" x14ac:dyDescent="0.3">
      <c r="B2" s="83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5"/>
      <c r="O2" s="86"/>
      <c r="P2" s="86"/>
      <c r="Q2" s="87"/>
      <c r="R2" s="86"/>
    </row>
    <row r="3" spans="2:21" x14ac:dyDescent="0.3">
      <c r="B3" s="88"/>
      <c r="C3" s="89"/>
      <c r="D3" s="89"/>
      <c r="E3" s="89"/>
      <c r="F3" s="89"/>
      <c r="G3" s="89"/>
      <c r="H3" s="89"/>
      <c r="I3" s="89"/>
      <c r="J3" s="299"/>
      <c r="K3" s="299"/>
      <c r="L3" s="299"/>
      <c r="M3" s="299"/>
      <c r="N3" s="300"/>
      <c r="O3" s="86"/>
      <c r="P3" s="13"/>
      <c r="Q3" s="87"/>
      <c r="R3" s="86"/>
    </row>
    <row r="4" spans="2:21" ht="15" thickBot="1" x14ac:dyDescent="0.35">
      <c r="B4" s="90" t="s">
        <v>311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91"/>
      <c r="O4" s="86"/>
      <c r="P4" s="86"/>
      <c r="Q4" s="87"/>
      <c r="R4" s="86"/>
    </row>
    <row r="5" spans="2:21" x14ac:dyDescent="0.3">
      <c r="B5" s="90"/>
      <c r="C5" s="92"/>
      <c r="D5" s="92"/>
      <c r="E5" s="92"/>
      <c r="F5" s="92"/>
      <c r="G5" s="92"/>
      <c r="H5" s="92"/>
      <c r="I5" s="92"/>
      <c r="J5" s="486" t="s">
        <v>109</v>
      </c>
      <c r="K5" s="486"/>
      <c r="L5" s="487" t="s">
        <v>110</v>
      </c>
      <c r="M5" s="487"/>
      <c r="N5" s="93" t="s">
        <v>111</v>
      </c>
      <c r="O5" s="86"/>
      <c r="P5" s="488" t="s">
        <v>56</v>
      </c>
      <c r="Q5" s="489"/>
      <c r="R5" s="490"/>
      <c r="S5" s="222"/>
    </row>
    <row r="6" spans="2:21" ht="15" thickBot="1" x14ac:dyDescent="0.35">
      <c r="B6" s="90" t="s">
        <v>57</v>
      </c>
      <c r="C6" s="94">
        <v>2011</v>
      </c>
      <c r="D6" s="94">
        <v>2012</v>
      </c>
      <c r="E6" s="94">
        <v>2013</v>
      </c>
      <c r="F6" s="94">
        <v>2014</v>
      </c>
      <c r="G6" s="94" t="s">
        <v>308</v>
      </c>
      <c r="H6" s="94" t="s">
        <v>306</v>
      </c>
      <c r="I6" s="94" t="s">
        <v>307</v>
      </c>
      <c r="J6" s="94" t="s">
        <v>309</v>
      </c>
      <c r="K6" s="94" t="s">
        <v>43</v>
      </c>
      <c r="L6" s="94" t="s">
        <v>112</v>
      </c>
      <c r="M6" s="94" t="s">
        <v>113</v>
      </c>
      <c r="N6" s="95" t="s">
        <v>114</v>
      </c>
      <c r="O6" s="86"/>
      <c r="P6" s="96" t="s">
        <v>109</v>
      </c>
      <c r="Q6" s="97" t="s">
        <v>110</v>
      </c>
      <c r="R6" s="98" t="s">
        <v>111</v>
      </c>
      <c r="S6" s="99" t="s">
        <v>115</v>
      </c>
    </row>
    <row r="7" spans="2:21" ht="15" thickBot="1" x14ac:dyDescent="0.35">
      <c r="B7" s="100" t="s">
        <v>60</v>
      </c>
      <c r="C7" s="101">
        <f>IS!D4</f>
        <v>36365</v>
      </c>
      <c r="D7" s="101">
        <f>IS!E4</f>
        <v>47208</v>
      </c>
      <c r="E7" s="101">
        <f>IS!F4</f>
        <v>66157</v>
      </c>
      <c r="F7" s="101">
        <f>IS!G4</f>
        <v>102999</v>
      </c>
      <c r="G7" s="101">
        <f>IS!H4</f>
        <v>32915</v>
      </c>
      <c r="H7" s="101">
        <f>IS!I4</f>
        <v>36375</v>
      </c>
      <c r="I7" s="101">
        <f>IS!J4</f>
        <v>40056</v>
      </c>
      <c r="J7" s="283">
        <f>F7*(1+$P$7)*J36+SUM($G7:$I7)</f>
        <v>151060.595</v>
      </c>
      <c r="K7" s="102">
        <f>J7*(1+$P$7)</f>
        <v>244718.16390000001</v>
      </c>
      <c r="L7" s="102">
        <f>K7*(1+$Q$7)</f>
        <v>418468.06026900001</v>
      </c>
      <c r="M7" s="102">
        <f>L7*(1+$Q$7)</f>
        <v>715580.38305999001</v>
      </c>
      <c r="N7" s="103">
        <f>M7*(1+$R$7)</f>
        <v>1166396.0243877836</v>
      </c>
      <c r="O7" s="86"/>
      <c r="P7" s="104">
        <v>0.62</v>
      </c>
      <c r="Q7" s="105">
        <v>0.71</v>
      </c>
      <c r="R7" s="106">
        <v>0.63</v>
      </c>
      <c r="S7" s="43"/>
    </row>
    <row r="8" spans="2:21" x14ac:dyDescent="0.3">
      <c r="B8" s="90" t="s">
        <v>296</v>
      </c>
      <c r="C8" s="107">
        <f>IS!D5</f>
        <v>5416</v>
      </c>
      <c r="D8" s="107">
        <f>IS!E5</f>
        <v>6924</v>
      </c>
      <c r="E8" s="107">
        <f>IS!F5</f>
        <v>9076</v>
      </c>
      <c r="F8" s="107">
        <f>IS!G5</f>
        <v>14707</v>
      </c>
      <c r="G8" s="107">
        <f>IS!H5</f>
        <v>4257</v>
      </c>
      <c r="H8" s="107">
        <f>IS!I5</f>
        <v>6074</v>
      </c>
      <c r="I8" s="107">
        <f>IS!J5</f>
        <v>5531</v>
      </c>
      <c r="J8" s="499">
        <f>F8*(1+$P$8)*J36+SUM($G8:$I8)</f>
        <v>20090.262500000001</v>
      </c>
      <c r="K8" s="108">
        <f>K7*$P8</f>
        <v>36707.724585000004</v>
      </c>
      <c r="L8" s="108">
        <f>L7*$Q8</f>
        <v>62770.209040349997</v>
      </c>
      <c r="M8" s="108">
        <f>M7*$Q8</f>
        <v>107337.0574589985</v>
      </c>
      <c r="N8" s="109">
        <f>N7*R8</f>
        <v>174959.40365816755</v>
      </c>
      <c r="O8" s="86"/>
      <c r="P8" s="104">
        <v>0.15</v>
      </c>
      <c r="Q8" s="105">
        <v>0.15</v>
      </c>
      <c r="R8" s="110">
        <v>0.15</v>
      </c>
      <c r="S8" s="43" t="s">
        <v>116</v>
      </c>
    </row>
    <row r="9" spans="2:21" x14ac:dyDescent="0.3">
      <c r="B9" s="111" t="s">
        <v>117</v>
      </c>
      <c r="C9" s="112">
        <f>C7-C8</f>
        <v>30949</v>
      </c>
      <c r="D9" s="112">
        <f>D7-D8</f>
        <v>40284</v>
      </c>
      <c r="E9" s="112">
        <f t="shared" ref="E9:F9" si="0">E7-E8</f>
        <v>57081</v>
      </c>
      <c r="F9" s="112">
        <f t="shared" si="0"/>
        <v>88292</v>
      </c>
      <c r="G9" s="112">
        <f t="shared" ref="G9" si="1">G7-G8</f>
        <v>28658</v>
      </c>
      <c r="H9" s="112">
        <f t="shared" ref="H9" si="2">H7-H8</f>
        <v>30301</v>
      </c>
      <c r="I9" s="112">
        <f t="shared" ref="I9" si="3">I7-I8</f>
        <v>34525</v>
      </c>
      <c r="J9" s="113">
        <f>J7-J8</f>
        <v>130970.3325</v>
      </c>
      <c r="K9" s="112">
        <f t="shared" ref="K9:N9" si="4">K7-K8</f>
        <v>208010.43931500003</v>
      </c>
      <c r="L9" s="112">
        <f t="shared" si="4"/>
        <v>355697.85122865002</v>
      </c>
      <c r="M9" s="112">
        <f t="shared" si="4"/>
        <v>608243.32560099149</v>
      </c>
      <c r="N9" s="114">
        <f t="shared" si="4"/>
        <v>991436.62072961603</v>
      </c>
      <c r="O9" s="86"/>
      <c r="P9" s="115"/>
      <c r="Q9" s="116"/>
      <c r="R9" s="91"/>
      <c r="S9" s="43"/>
    </row>
    <row r="10" spans="2:21" x14ac:dyDescent="0.3">
      <c r="B10" s="90" t="s">
        <v>118</v>
      </c>
      <c r="C10" s="117">
        <f>C9/C7</f>
        <v>0.85106558504056096</v>
      </c>
      <c r="D10" s="117">
        <f>D9/D7</f>
        <v>0.85332994407727503</v>
      </c>
      <c r="E10" s="117">
        <f t="shared" ref="E10:N10" si="5">E9/E7</f>
        <v>0.86281119155947217</v>
      </c>
      <c r="F10" s="117">
        <f t="shared" si="5"/>
        <v>0.85721220594374703</v>
      </c>
      <c r="G10" s="117">
        <f t="shared" ref="G10:I10" si="6">G9/G7</f>
        <v>0.87066686920856751</v>
      </c>
      <c r="H10" s="117">
        <f t="shared" si="6"/>
        <v>0.83301718213058418</v>
      </c>
      <c r="I10" s="117">
        <f t="shared" si="6"/>
        <v>0.86191831435989619</v>
      </c>
      <c r="J10" s="117">
        <f>J9/J7</f>
        <v>0.86700527361222168</v>
      </c>
      <c r="K10" s="117">
        <f t="shared" si="5"/>
        <v>0.85000000000000009</v>
      </c>
      <c r="L10" s="117">
        <f t="shared" si="5"/>
        <v>0.85</v>
      </c>
      <c r="M10" s="117">
        <f t="shared" si="5"/>
        <v>0.85</v>
      </c>
      <c r="N10" s="117">
        <f t="shared" si="5"/>
        <v>0.85</v>
      </c>
      <c r="O10" s="86"/>
      <c r="P10" s="115"/>
      <c r="Q10" s="116"/>
      <c r="R10" s="91"/>
      <c r="S10" s="43"/>
    </row>
    <row r="11" spans="2:21" x14ac:dyDescent="0.3">
      <c r="B11" s="90" t="s">
        <v>105</v>
      </c>
      <c r="C11" s="118"/>
      <c r="D11" s="119"/>
      <c r="E11" s="119"/>
      <c r="F11" s="119"/>
      <c r="G11" s="119"/>
      <c r="H11" s="119"/>
      <c r="I11" s="119"/>
      <c r="J11" s="90"/>
      <c r="K11" s="86"/>
      <c r="L11" s="86"/>
      <c r="M11" s="86"/>
      <c r="N11" s="91"/>
      <c r="O11" s="86"/>
      <c r="P11" s="115"/>
      <c r="Q11" s="116"/>
      <c r="R11" s="91"/>
      <c r="S11" s="43"/>
    </row>
    <row r="12" spans="2:21" x14ac:dyDescent="0.3">
      <c r="B12" s="120" t="s">
        <v>106</v>
      </c>
      <c r="C12" s="107">
        <f>IS!D12</f>
        <v>6272</v>
      </c>
      <c r="D12" s="107">
        <f>IS!E12</f>
        <v>7273</v>
      </c>
      <c r="E12" s="107">
        <f>IS!F12</f>
        <v>10404</v>
      </c>
      <c r="F12" s="107">
        <f>IS!G12</f>
        <v>14400</v>
      </c>
      <c r="G12" s="107">
        <f>IS!H12</f>
        <v>4117</v>
      </c>
      <c r="H12" s="107">
        <f>IS!I12</f>
        <v>4263</v>
      </c>
      <c r="I12" s="107">
        <f>IS!J12</f>
        <v>5649</v>
      </c>
      <c r="J12" s="121">
        <f>F12*(1+$P$12)*J36+SUM($G12:$I12)</f>
        <v>18169</v>
      </c>
      <c r="K12" s="107">
        <f>K7*$P$12</f>
        <v>36707.724585000004</v>
      </c>
      <c r="L12" s="107">
        <f>L7*$Q$12</f>
        <v>66954.889643040005</v>
      </c>
      <c r="M12" s="107">
        <f>M7*$Q$12</f>
        <v>114492.8612895984</v>
      </c>
      <c r="N12" s="122">
        <f>N7*$R$12</f>
        <v>186623.36390204538</v>
      </c>
      <c r="O12" s="86"/>
      <c r="P12" s="123">
        <v>0.15</v>
      </c>
      <c r="Q12" s="105">
        <v>0.16</v>
      </c>
      <c r="R12" s="106">
        <v>0.16</v>
      </c>
      <c r="S12" s="43"/>
    </row>
    <row r="13" spans="2:21" x14ac:dyDescent="0.3">
      <c r="B13" s="120" t="s">
        <v>119</v>
      </c>
      <c r="C13" s="107">
        <f>IS!D13</f>
        <v>19006</v>
      </c>
      <c r="D13" s="107">
        <f>IS!E13</f>
        <v>25378</v>
      </c>
      <c r="E13" s="107">
        <f>IS!F13</f>
        <v>37598</v>
      </c>
      <c r="F13" s="107">
        <f>IS!G13</f>
        <v>53438</v>
      </c>
      <c r="G13" s="107">
        <f>IS!H13</f>
        <v>17038</v>
      </c>
      <c r="H13" s="107">
        <f>IS!I13</f>
        <v>19507</v>
      </c>
      <c r="I13" s="107">
        <f>IS!J13</f>
        <v>20588</v>
      </c>
      <c r="J13" s="313">
        <f>F13*(1+$P$13)*J36+SUM($G13:$I13)</f>
        <v>77573.035000000003</v>
      </c>
      <c r="K13" s="107">
        <f>K7*$P$13</f>
        <v>129700.62686700001</v>
      </c>
      <c r="L13" s="107">
        <f>L7*$P$13</f>
        <v>221788.07194257001</v>
      </c>
      <c r="M13" s="107">
        <f>M7*$P$13</f>
        <v>379257.6030217947</v>
      </c>
      <c r="N13" s="122">
        <f>N7*$P$13</f>
        <v>618189.89292552532</v>
      </c>
      <c r="O13" s="86"/>
      <c r="P13" s="123">
        <v>0.53</v>
      </c>
      <c r="Q13" s="284"/>
      <c r="R13" s="110"/>
      <c r="S13" s="43" t="s">
        <v>116</v>
      </c>
    </row>
    <row r="14" spans="2:21" x14ac:dyDescent="0.3">
      <c r="B14" s="124" t="s">
        <v>67</v>
      </c>
      <c r="C14" s="107">
        <f>'DCF Growth Rates'!D29</f>
        <v>210</v>
      </c>
      <c r="D14" s="107">
        <f>'DCF Growth Rates'!E29</f>
        <v>329</v>
      </c>
      <c r="E14" s="107">
        <f>'DCF Growth Rates'!F29</f>
        <v>475</v>
      </c>
      <c r="F14" s="107">
        <f>'DCF Growth Rates'!G29</f>
        <v>746</v>
      </c>
      <c r="G14" s="107">
        <f>'DCF Growth Rates'!H29</f>
        <v>0</v>
      </c>
      <c r="H14" s="107">
        <f>'DCF Growth Rates'!I29</f>
        <v>0</v>
      </c>
      <c r="I14" s="107">
        <f>'DCF Growth Rates'!J29</f>
        <v>0</v>
      </c>
      <c r="J14" s="121">
        <f>J7*P14</f>
        <v>1510.6059500000001</v>
      </c>
      <c r="K14" s="107">
        <f>K7*$P$14</f>
        <v>2447.1816390000004</v>
      </c>
      <c r="L14" s="107">
        <f>L7*$P$14</f>
        <v>4184.6806026900003</v>
      </c>
      <c r="M14" s="107">
        <f>M7*$P$14</f>
        <v>7155.8038305998998</v>
      </c>
      <c r="N14" s="122">
        <f>N7*$P$14</f>
        <v>11663.960243877837</v>
      </c>
      <c r="O14" s="86"/>
      <c r="P14" s="123">
        <v>0.01</v>
      </c>
      <c r="Q14" s="284">
        <v>0.01</v>
      </c>
      <c r="R14" s="110">
        <v>0.01</v>
      </c>
      <c r="S14" s="43"/>
      <c r="U14" s="301"/>
    </row>
    <row r="15" spans="2:21" x14ac:dyDescent="0.3">
      <c r="B15" s="90" t="s">
        <v>107</v>
      </c>
      <c r="C15" s="107">
        <f>IS!D11</f>
        <v>25278</v>
      </c>
      <c r="D15" s="107">
        <f>IS!E11</f>
        <v>32651</v>
      </c>
      <c r="E15" s="107">
        <f>IS!F11</f>
        <v>48002</v>
      </c>
      <c r="F15" s="107">
        <f>IS!G11</f>
        <v>67838</v>
      </c>
      <c r="G15" s="107">
        <f>IS!H11</f>
        <v>21155</v>
      </c>
      <c r="H15" s="107">
        <f>IS!I11</f>
        <v>23770</v>
      </c>
      <c r="I15" s="107">
        <f>IS!J11</f>
        <v>26237</v>
      </c>
      <c r="J15" s="121">
        <f>J12+J13+J14</f>
        <v>97252.640950000001</v>
      </c>
      <c r="K15" s="107">
        <f t="shared" ref="C15:N15" si="7">K12+K13+K14</f>
        <v>168855.53309100002</v>
      </c>
      <c r="L15" s="107">
        <f t="shared" si="7"/>
        <v>292927.64218829997</v>
      </c>
      <c r="M15" s="107">
        <f t="shared" si="7"/>
        <v>500906.26814199297</v>
      </c>
      <c r="N15" s="122">
        <f t="shared" si="7"/>
        <v>816477.21707144857</v>
      </c>
      <c r="O15" s="86"/>
      <c r="P15" s="115"/>
      <c r="Q15" s="116"/>
      <c r="R15" s="91"/>
      <c r="S15" s="43"/>
    </row>
    <row r="16" spans="2:21" ht="15" thickBot="1" x14ac:dyDescent="0.35">
      <c r="B16" s="125" t="s">
        <v>75</v>
      </c>
      <c r="C16" s="126">
        <f>CF!D5</f>
        <v>210</v>
      </c>
      <c r="D16" s="126">
        <f>CF!E5</f>
        <v>329</v>
      </c>
      <c r="E16" s="126">
        <f>CF!F5</f>
        <v>475</v>
      </c>
      <c r="F16" s="126">
        <f>CF!G5</f>
        <v>746</v>
      </c>
      <c r="G16" s="126">
        <f>CF!H5</f>
        <v>222</v>
      </c>
      <c r="H16" s="126">
        <f>CF!I5</f>
        <v>237</v>
      </c>
      <c r="I16" s="126">
        <f>CF!J5</f>
        <v>577</v>
      </c>
      <c r="J16" s="314">
        <f>(J7*P16*J36)+G16+H16+I16</f>
        <v>1791.3029750000001</v>
      </c>
      <c r="K16" s="126">
        <f>K7*$P$16</f>
        <v>4894.3632780000007</v>
      </c>
      <c r="L16" s="126">
        <f>L7*$P$16</f>
        <v>8369.3612053800007</v>
      </c>
      <c r="M16" s="126">
        <f>M7*$P$16</f>
        <v>14311.6076611998</v>
      </c>
      <c r="N16" s="128">
        <f>N7*$P$16</f>
        <v>23327.920487755673</v>
      </c>
      <c r="O16" s="86"/>
      <c r="P16" s="104">
        <v>0.02</v>
      </c>
      <c r="Q16" s="116"/>
      <c r="R16" s="91"/>
      <c r="S16" s="43" t="s">
        <v>116</v>
      </c>
    </row>
    <row r="17" spans="2:19" x14ac:dyDescent="0.3">
      <c r="B17" s="129" t="s">
        <v>120</v>
      </c>
      <c r="C17" s="130">
        <f t="shared" ref="C17:N17" si="8">C9-C15</f>
        <v>5671</v>
      </c>
      <c r="D17" s="130">
        <f t="shared" si="8"/>
        <v>7633</v>
      </c>
      <c r="E17" s="130">
        <f>E9-E15</f>
        <v>9079</v>
      </c>
      <c r="F17" s="130">
        <f t="shared" si="8"/>
        <v>20454</v>
      </c>
      <c r="G17" s="130">
        <f t="shared" ref="G17:I17" si="9">G9-G15</f>
        <v>7503</v>
      </c>
      <c r="H17" s="130">
        <f t="shared" si="9"/>
        <v>6531</v>
      </c>
      <c r="I17" s="130">
        <f t="shared" si="9"/>
        <v>8288</v>
      </c>
      <c r="J17" s="131">
        <f>J9-J15</f>
        <v>33717.691550000003</v>
      </c>
      <c r="K17" s="130">
        <f t="shared" si="8"/>
        <v>39154.906224000006</v>
      </c>
      <c r="L17" s="130">
        <f t="shared" si="8"/>
        <v>62770.209040350048</v>
      </c>
      <c r="M17" s="130">
        <f t="shared" si="8"/>
        <v>107337.05745899852</v>
      </c>
      <c r="N17" s="132">
        <f t="shared" si="8"/>
        <v>174959.40365816746</v>
      </c>
      <c r="O17" s="86"/>
      <c r="P17" s="104"/>
      <c r="Q17" s="116"/>
      <c r="R17" s="91"/>
      <c r="S17" s="43"/>
    </row>
    <row r="18" spans="2:19" x14ac:dyDescent="0.3">
      <c r="B18" s="90" t="s">
        <v>121</v>
      </c>
      <c r="C18" s="107">
        <f>IS!D17</f>
        <v>79</v>
      </c>
      <c r="D18" s="107">
        <f>IS!E17</f>
        <v>106</v>
      </c>
      <c r="E18" s="107">
        <f>IS!F17</f>
        <v>77</v>
      </c>
      <c r="F18" s="107">
        <f>IS!G17</f>
        <v>201</v>
      </c>
      <c r="G18" s="107">
        <f>IS!H17</f>
        <v>1631</v>
      </c>
      <c r="H18" s="107">
        <f>IS!I17</f>
        <v>0</v>
      </c>
      <c r="I18" s="107">
        <f>IS!J17</f>
        <v>0</v>
      </c>
      <c r="J18" s="313">
        <f>(J7*P18*J36)+SUM(G18:I18)</f>
        <v>1634.776514875</v>
      </c>
      <c r="K18" s="107">
        <f>K7*$P$18</f>
        <v>24.471816390000004</v>
      </c>
      <c r="L18" s="107">
        <f>L7*$P$18</f>
        <v>41.846806026900005</v>
      </c>
      <c r="M18" s="107">
        <f>M7*$P$18</f>
        <v>71.558038305999006</v>
      </c>
      <c r="N18" s="122">
        <f>N7*$P$18</f>
        <v>116.63960243877837</v>
      </c>
      <c r="O18" s="86"/>
      <c r="P18" s="133">
        <v>1E-4</v>
      </c>
      <c r="Q18" s="116"/>
      <c r="R18" s="91"/>
      <c r="S18" s="43" t="s">
        <v>116</v>
      </c>
    </row>
    <row r="19" spans="2:19" x14ac:dyDescent="0.3">
      <c r="B19" s="90" t="s">
        <v>122</v>
      </c>
      <c r="C19" s="107">
        <f>IS!D18</f>
        <v>0</v>
      </c>
      <c r="D19" s="107">
        <f>IS!E18</f>
        <v>0</v>
      </c>
      <c r="E19" s="107">
        <f>IS!F18</f>
        <v>0</v>
      </c>
      <c r="F19" s="107">
        <f>IS!G18</f>
        <v>0</v>
      </c>
      <c r="G19" s="107">
        <f>IS!H18</f>
        <v>0</v>
      </c>
      <c r="H19" s="107">
        <f>IS!I18</f>
        <v>0</v>
      </c>
      <c r="I19" s="107">
        <f>IS!J18</f>
        <v>0</v>
      </c>
      <c r="J19" s="313">
        <f>(J7*P19*J36)+SUM(G19:I19)</f>
        <v>3.7765148750000002</v>
      </c>
      <c r="K19" s="107">
        <f>K7*$P$19</f>
        <v>24.471816390000004</v>
      </c>
      <c r="L19" s="107">
        <f>L7*$P$19</f>
        <v>41.846806026900005</v>
      </c>
      <c r="M19" s="107">
        <f>M7*$P$19</f>
        <v>71.558038305999006</v>
      </c>
      <c r="N19" s="122">
        <f>N7*$P$19</f>
        <v>116.63960243877837</v>
      </c>
      <c r="O19" s="86"/>
      <c r="P19" s="133">
        <v>1E-4</v>
      </c>
      <c r="Q19" s="116"/>
      <c r="R19" s="91"/>
      <c r="S19" s="43" t="s">
        <v>116</v>
      </c>
    </row>
    <row r="20" spans="2:19" x14ac:dyDescent="0.3">
      <c r="B20" s="90" t="s">
        <v>123</v>
      </c>
      <c r="C20" s="107">
        <f>IS!D19</f>
        <v>5481</v>
      </c>
      <c r="D20" s="107">
        <f>IS!E19</f>
        <v>7637</v>
      </c>
      <c r="E20" s="107">
        <f>IS!F19</f>
        <v>7955</v>
      </c>
      <c r="F20" s="107">
        <f>IS!G19</f>
        <v>14466</v>
      </c>
      <c r="G20" s="107">
        <f>IS!H19</f>
        <v>5872</v>
      </c>
      <c r="H20" s="107">
        <f>IS!I19</f>
        <v>6858</v>
      </c>
      <c r="I20" s="107">
        <f>IS!J19</f>
        <v>8346</v>
      </c>
      <c r="J20" s="121">
        <f>J17+J18+J19</f>
        <v>35356.244579749997</v>
      </c>
      <c r="K20" s="107">
        <f>K17+K18+K19</f>
        <v>39203.849856780012</v>
      </c>
      <c r="L20" s="107">
        <f>L17+L18+L19</f>
        <v>62853.902652403849</v>
      </c>
      <c r="M20" s="107">
        <f>M17+M18+M19</f>
        <v>107480.17353561052</v>
      </c>
      <c r="N20" s="122">
        <f>N17+N18+N19</f>
        <v>175192.68286304502</v>
      </c>
      <c r="O20" s="86"/>
      <c r="P20" s="115"/>
      <c r="Q20" s="285"/>
      <c r="R20" s="91"/>
      <c r="S20" s="43"/>
    </row>
    <row r="21" spans="2:19" x14ac:dyDescent="0.3">
      <c r="B21" s="90" t="s">
        <v>124</v>
      </c>
      <c r="C21" s="107">
        <f>IS!D20</f>
        <v>-392</v>
      </c>
      <c r="D21" s="107">
        <f>IS!E20</f>
        <v>-225</v>
      </c>
      <c r="E21" s="107">
        <f>IS!F20</f>
        <v>1320</v>
      </c>
      <c r="F21" s="107">
        <f>IS!G20</f>
        <v>4512</v>
      </c>
      <c r="G21" s="107">
        <f>IS!H20</f>
        <v>1706</v>
      </c>
      <c r="H21" s="107">
        <f>IS!I20</f>
        <v>1936</v>
      </c>
      <c r="I21" s="107">
        <f>IS!J20</f>
        <v>1573</v>
      </c>
      <c r="J21" s="313">
        <f>J20*$P$21</f>
        <v>12374.685602912497</v>
      </c>
      <c r="K21" s="107">
        <f>K20*$P$21</f>
        <v>13721.347449873003</v>
      </c>
      <c r="L21" s="107">
        <f>L20*$P$21</f>
        <v>21998.865928341347</v>
      </c>
      <c r="M21" s="107">
        <f>M20*$P$21</f>
        <v>37618.060737463682</v>
      </c>
      <c r="N21" s="122">
        <f>N20*$P$21</f>
        <v>61317.439002065752</v>
      </c>
      <c r="O21" s="86"/>
      <c r="P21" s="104">
        <v>0.35</v>
      </c>
      <c r="Q21" s="284"/>
      <c r="R21" s="110"/>
      <c r="S21" s="43" t="s">
        <v>73</v>
      </c>
    </row>
    <row r="22" spans="2:19" ht="15" thickBot="1" x14ac:dyDescent="0.35">
      <c r="B22" s="134" t="s">
        <v>125</v>
      </c>
      <c r="C22" s="498">
        <f>IS!D25</f>
        <v>5873</v>
      </c>
      <c r="D22" s="498">
        <f>IS!E25</f>
        <v>7862</v>
      </c>
      <c r="E22" s="498">
        <f>IS!F25</f>
        <v>6635</v>
      </c>
      <c r="F22" s="498">
        <f>IS!G25</f>
        <v>9954</v>
      </c>
      <c r="G22" s="498">
        <f>IS!H25</f>
        <v>4166</v>
      </c>
      <c r="H22" s="498">
        <f>IS!I25</f>
        <v>4922</v>
      </c>
      <c r="I22" s="498">
        <f>IS!J25</f>
        <v>6773</v>
      </c>
      <c r="J22" s="136">
        <f>J17+J18+J19-J21</f>
        <v>22981.558976837499</v>
      </c>
      <c r="K22" s="135">
        <f t="shared" ref="C22:N22" si="10">K17+K18+K19-K21</f>
        <v>25482.50240690701</v>
      </c>
      <c r="L22" s="135">
        <f t="shared" si="10"/>
        <v>40855.036724062506</v>
      </c>
      <c r="M22" s="135">
        <f t="shared" si="10"/>
        <v>69862.112798146845</v>
      </c>
      <c r="N22" s="137">
        <f t="shared" si="10"/>
        <v>113875.24386097927</v>
      </c>
      <c r="O22" s="86"/>
      <c r="P22" s="138"/>
      <c r="Q22" s="116"/>
      <c r="R22" s="91"/>
      <c r="S22" s="43"/>
    </row>
    <row r="23" spans="2:19" outlineLevel="1" x14ac:dyDescent="0.3">
      <c r="B23" s="139" t="s">
        <v>126</v>
      </c>
      <c r="C23" s="107">
        <f>IS!D31</f>
        <v>22791.4</v>
      </c>
      <c r="D23" s="107">
        <f>IS!E31</f>
        <v>25245.8</v>
      </c>
      <c r="E23" s="107">
        <f>IS!F31</f>
        <v>27828.799999999999</v>
      </c>
      <c r="F23" s="107">
        <f>IS!G31</f>
        <v>29704.7</v>
      </c>
      <c r="G23" s="107">
        <f>IS!H31</f>
        <v>34786.6</v>
      </c>
      <c r="H23" s="107">
        <f>IS!I31</f>
        <v>35001.300000000003</v>
      </c>
      <c r="I23" s="107">
        <f>IS!J31</f>
        <v>35761.1</v>
      </c>
      <c r="J23" s="121">
        <f>I23</f>
        <v>35761.1</v>
      </c>
      <c r="K23" s="121">
        <f t="shared" ref="K23:N23" si="11">J23</f>
        <v>35761.1</v>
      </c>
      <c r="L23" s="121">
        <f t="shared" si="11"/>
        <v>35761.1</v>
      </c>
      <c r="M23" s="121">
        <f t="shared" si="11"/>
        <v>35761.1</v>
      </c>
      <c r="N23" s="121">
        <f t="shared" si="11"/>
        <v>35761.1</v>
      </c>
      <c r="O23" s="86"/>
      <c r="P23" s="138"/>
      <c r="Q23" s="116"/>
      <c r="R23" s="91"/>
      <c r="S23" s="43"/>
    </row>
    <row r="24" spans="2:19" ht="15" outlineLevel="1" thickBot="1" x14ac:dyDescent="0.35">
      <c r="B24" s="139" t="s">
        <v>16</v>
      </c>
      <c r="C24" s="140">
        <f>C22/C23</f>
        <v>0.25768491624033624</v>
      </c>
      <c r="D24" s="140">
        <f t="shared" ref="D24:N24" si="12">D22/D23</f>
        <v>0.3114181368782134</v>
      </c>
      <c r="E24" s="140">
        <f>IS!F28</f>
        <v>0.06</v>
      </c>
      <c r="F24" s="140">
        <f t="shared" si="12"/>
        <v>0.33509848609815956</v>
      </c>
      <c r="G24" s="140">
        <f t="shared" ref="G24:I24" si="13">G22/G23</f>
        <v>0.11975875768255594</v>
      </c>
      <c r="H24" s="140">
        <f t="shared" si="13"/>
        <v>0.14062334827563547</v>
      </c>
      <c r="I24" s="140">
        <f t="shared" si="13"/>
        <v>0.18939574006392421</v>
      </c>
      <c r="J24" s="140">
        <f>J22/J23</f>
        <v>0.6426412771653417</v>
      </c>
      <c r="K24" s="140">
        <f t="shared" si="12"/>
        <v>0.71257602274278509</v>
      </c>
      <c r="L24" s="140">
        <f t="shared" si="12"/>
        <v>1.142443513316495</v>
      </c>
      <c r="M24" s="140">
        <f t="shared" si="12"/>
        <v>1.9535784077712053</v>
      </c>
      <c r="N24" s="140">
        <f t="shared" si="12"/>
        <v>3.1843328046670623</v>
      </c>
      <c r="O24" s="86"/>
      <c r="P24" s="138"/>
      <c r="Q24" s="116"/>
      <c r="R24" s="91"/>
      <c r="S24" s="43"/>
    </row>
    <row r="25" spans="2:19" x14ac:dyDescent="0.3">
      <c r="B25" s="83" t="s">
        <v>127</v>
      </c>
      <c r="C25" s="226">
        <f>BS!D22</f>
        <v>0</v>
      </c>
      <c r="D25" s="141">
        <f>BS!E22</f>
        <v>64379</v>
      </c>
      <c r="E25" s="141">
        <f>BS!F22</f>
        <v>89724</v>
      </c>
      <c r="F25" s="141">
        <f>BS!G22</f>
        <v>210552</v>
      </c>
      <c r="G25" s="141">
        <f>BS!H22</f>
        <v>222060</v>
      </c>
      <c r="H25" s="141">
        <f>BS!I22</f>
        <v>315372</v>
      </c>
      <c r="I25" s="141">
        <f>BS!J22</f>
        <v>316041</v>
      </c>
      <c r="J25" s="142">
        <f>J7*$P$25</f>
        <v>196378.77350000001</v>
      </c>
      <c r="K25" s="141">
        <f>K7*$P$25</f>
        <v>318133.61307000002</v>
      </c>
      <c r="L25" s="141">
        <f>L7*$P$25</f>
        <v>544008.47834969999</v>
      </c>
      <c r="M25" s="141">
        <f>M7*$P$25</f>
        <v>930254.49797798705</v>
      </c>
      <c r="N25" s="143">
        <f>N7*$P$25</f>
        <v>1516314.8317041188</v>
      </c>
      <c r="O25" s="86"/>
      <c r="P25" s="286">
        <v>1.3</v>
      </c>
      <c r="Q25" s="284"/>
      <c r="R25" s="110"/>
      <c r="S25" s="43" t="s">
        <v>116</v>
      </c>
    </row>
    <row r="26" spans="2:19" x14ac:dyDescent="0.3">
      <c r="B26" s="90" t="s">
        <v>128</v>
      </c>
      <c r="C26" s="224">
        <f>BS!D45</f>
        <v>0</v>
      </c>
      <c r="D26" s="107">
        <f>BS!E45</f>
        <v>25885</v>
      </c>
      <c r="E26" s="107">
        <f>BS!F45</f>
        <v>43878</v>
      </c>
      <c r="F26" s="107">
        <f>BS!G45</f>
        <v>55544</v>
      </c>
      <c r="G26" s="107">
        <f>BS!H45</f>
        <v>61620</v>
      </c>
      <c r="H26" s="107">
        <f>BS!I45</f>
        <v>93405</v>
      </c>
      <c r="I26" s="107">
        <f>BS!J45</f>
        <v>84290</v>
      </c>
      <c r="J26" s="121">
        <f>J7*$P$26</f>
        <v>83083.327250000002</v>
      </c>
      <c r="K26" s="107">
        <f>K7*$P$26</f>
        <v>134594.99014500002</v>
      </c>
      <c r="L26" s="107">
        <f>L7*$P$26</f>
        <v>230157.43314795001</v>
      </c>
      <c r="M26" s="107">
        <f>M7*$P$26</f>
        <v>393569.21068299451</v>
      </c>
      <c r="N26" s="122">
        <f>N7*$P$26</f>
        <v>641517.81341328099</v>
      </c>
      <c r="O26" s="86"/>
      <c r="P26" s="104">
        <v>0.55000000000000004</v>
      </c>
      <c r="Q26" s="284">
        <v>0.5</v>
      </c>
      <c r="R26" s="91"/>
      <c r="S26" s="43" t="s">
        <v>116</v>
      </c>
    </row>
    <row r="27" spans="2:19" x14ac:dyDescent="0.3">
      <c r="B27" s="90" t="s">
        <v>25</v>
      </c>
      <c r="C27" s="224">
        <f>BS!D4</f>
        <v>0</v>
      </c>
      <c r="D27" s="107">
        <f>BS!E4</f>
        <v>45995</v>
      </c>
      <c r="E27" s="107">
        <f>BS!F4</f>
        <v>65786</v>
      </c>
      <c r="F27" s="107">
        <f>BS!G4</f>
        <v>177181</v>
      </c>
      <c r="G27" s="107">
        <f>BS!H4</f>
        <v>191668</v>
      </c>
      <c r="H27" s="107">
        <f>BS!I4</f>
        <v>283818</v>
      </c>
      <c r="I27" s="107">
        <f>BS!J4</f>
        <v>249655</v>
      </c>
      <c r="J27" s="313">
        <f>J25*P27</f>
        <v>149247.86786</v>
      </c>
      <c r="K27" s="107">
        <f>K25*$P$27</f>
        <v>241781.54593320002</v>
      </c>
      <c r="L27" s="107">
        <f>L25*$P$27</f>
        <v>413446.443545772</v>
      </c>
      <c r="M27" s="107">
        <f>M25*$P$27</f>
        <v>706993.41846327018</v>
      </c>
      <c r="N27" s="122">
        <f>N25*$P$27</f>
        <v>1152399.2720951303</v>
      </c>
      <c r="O27" s="86"/>
      <c r="P27" s="104">
        <v>0.76</v>
      </c>
      <c r="Q27" s="116"/>
      <c r="R27" s="91"/>
      <c r="S27" s="43" t="s">
        <v>127</v>
      </c>
    </row>
    <row r="28" spans="2:19" x14ac:dyDescent="0.3">
      <c r="B28" s="90" t="s">
        <v>82</v>
      </c>
      <c r="C28" s="224">
        <f>BS!D26</f>
        <v>0</v>
      </c>
      <c r="D28" s="107">
        <f>BS!E26</f>
        <v>0</v>
      </c>
      <c r="E28" s="107">
        <f>BS!F26</f>
        <v>0</v>
      </c>
      <c r="F28" s="107">
        <f>BS!G26</f>
        <v>0</v>
      </c>
      <c r="G28" s="107">
        <f>BS!H26</f>
        <v>0</v>
      </c>
      <c r="H28" s="107">
        <f>BS!I26</f>
        <v>0</v>
      </c>
      <c r="I28" s="107">
        <f>BS!J26</f>
        <v>0</v>
      </c>
      <c r="J28" s="313">
        <f>J26*P28</f>
        <v>0</v>
      </c>
      <c r="K28" s="107">
        <f>K26*$P$28</f>
        <v>0</v>
      </c>
      <c r="L28" s="107">
        <f>L26*$Q$28</f>
        <v>0</v>
      </c>
      <c r="M28" s="107">
        <f>M26*$Q$28</f>
        <v>0</v>
      </c>
      <c r="N28" s="122">
        <f>N26*$R$28</f>
        <v>3207.5890670664048</v>
      </c>
      <c r="O28" s="86"/>
      <c r="P28" s="452">
        <v>0</v>
      </c>
      <c r="Q28" s="501">
        <v>0</v>
      </c>
      <c r="R28" s="500">
        <v>5.0000000000000001E-3</v>
      </c>
      <c r="S28" s="43" t="s">
        <v>128</v>
      </c>
    </row>
    <row r="29" spans="2:19" x14ac:dyDescent="0.3">
      <c r="B29" s="90" t="s">
        <v>129</v>
      </c>
      <c r="C29" s="107">
        <f>(C25-C27)-(C26-C28)</f>
        <v>0</v>
      </c>
      <c r="D29" s="107">
        <f>(D25-D27)-(D26-D28)</f>
        <v>-7501</v>
      </c>
      <c r="E29" s="107">
        <f t="shared" ref="E29:N29" si="14">(E25-E27)-(E26-E28)</f>
        <v>-19940</v>
      </c>
      <c r="F29" s="107">
        <f t="shared" si="14"/>
        <v>-22173</v>
      </c>
      <c r="G29" s="107">
        <f t="shared" ref="G29:I29" si="15">(G25-G27)-(G26-G28)</f>
        <v>-31228</v>
      </c>
      <c r="H29" s="107">
        <f>(H25-H27)-(H26-H28)</f>
        <v>-61851</v>
      </c>
      <c r="I29" s="107">
        <f t="shared" si="15"/>
        <v>-17904</v>
      </c>
      <c r="J29" s="121">
        <f>(J25-J27)-(J26-J28)</f>
        <v>-35952.42160999999</v>
      </c>
      <c r="K29" s="107">
        <f t="shared" si="14"/>
        <v>-58242.923008200014</v>
      </c>
      <c r="L29" s="107">
        <f>(L25-L27)-(L26-L28)</f>
        <v>-99595.398344022018</v>
      </c>
      <c r="M29" s="107">
        <f t="shared" si="14"/>
        <v>-170308.13116827764</v>
      </c>
      <c r="N29" s="122">
        <f t="shared" si="14"/>
        <v>-274394.66473722609</v>
      </c>
      <c r="O29" s="86"/>
      <c r="P29" s="138"/>
      <c r="Q29" s="116"/>
      <c r="R29" s="91"/>
      <c r="S29" s="43"/>
    </row>
    <row r="30" spans="2:19" ht="15" thickBot="1" x14ac:dyDescent="0.35">
      <c r="B30" s="125" t="s">
        <v>130</v>
      </c>
      <c r="C30" s="126"/>
      <c r="D30" s="126">
        <f>D29-C29</f>
        <v>-7501</v>
      </c>
      <c r="E30" s="126">
        <f>E29-D29</f>
        <v>-12439</v>
      </c>
      <c r="F30" s="126">
        <f>F29-E29</f>
        <v>-2233</v>
      </c>
      <c r="G30" s="126">
        <f t="shared" ref="G30:I30" si="16">G29-F29</f>
        <v>-9055</v>
      </c>
      <c r="H30" s="126">
        <f>H29-G29</f>
        <v>-30623</v>
      </c>
      <c r="I30" s="126">
        <f t="shared" si="16"/>
        <v>43947</v>
      </c>
      <c r="J30" s="127">
        <f>J29-F29</f>
        <v>-13779.42160999999</v>
      </c>
      <c r="K30" s="126">
        <f>K29-J29</f>
        <v>-22290.501398200024</v>
      </c>
      <c r="L30" s="126">
        <f>L29-K29</f>
        <v>-41352.475335822004</v>
      </c>
      <c r="M30" s="126">
        <f>M29-L29</f>
        <v>-70712.732824255625</v>
      </c>
      <c r="N30" s="128">
        <f>N29-M29</f>
        <v>-104086.53356894845</v>
      </c>
      <c r="O30" s="86"/>
      <c r="P30" s="138"/>
      <c r="Q30" s="116"/>
      <c r="R30" s="91"/>
      <c r="S30" s="43"/>
    </row>
    <row r="31" spans="2:19" x14ac:dyDescent="0.3">
      <c r="B31" s="83"/>
      <c r="C31" s="141"/>
      <c r="D31" s="141"/>
      <c r="E31" s="141"/>
      <c r="F31" s="141"/>
      <c r="G31" s="141"/>
      <c r="H31" s="141"/>
      <c r="I31" s="141"/>
      <c r="J31" s="121"/>
      <c r="K31" s="107"/>
      <c r="L31" s="107"/>
      <c r="M31" s="107"/>
      <c r="N31" s="122"/>
      <c r="O31" s="86"/>
      <c r="P31" s="138"/>
      <c r="Q31" s="116"/>
      <c r="R31" s="91"/>
      <c r="S31" s="43"/>
    </row>
    <row r="32" spans="2:19" x14ac:dyDescent="0.3">
      <c r="B32" s="90" t="s">
        <v>131</v>
      </c>
      <c r="C32" s="107">
        <f>C17-C21+C16-C30</f>
        <v>6273</v>
      </c>
      <c r="D32" s="107">
        <f>D17-D21+D16-D30</f>
        <v>15688</v>
      </c>
      <c r="E32" s="107">
        <f t="shared" ref="E32:N32" si="17">E17-E21+E16-E30</f>
        <v>20673</v>
      </c>
      <c r="F32" s="107">
        <f t="shared" si="17"/>
        <v>18921</v>
      </c>
      <c r="G32" s="107">
        <f t="shared" ref="G32:I32" si="18">G17-G21+G16-G30</f>
        <v>15074</v>
      </c>
      <c r="H32" s="107">
        <f>H17-H21+H16-H30</f>
        <v>35455</v>
      </c>
      <c r="I32" s="107">
        <f t="shared" si="18"/>
        <v>-36655</v>
      </c>
      <c r="J32" s="121">
        <f>J17-J21+J16-J30</f>
        <v>36913.730532087495</v>
      </c>
      <c r="K32" s="107">
        <f t="shared" si="17"/>
        <v>52618.423450327027</v>
      </c>
      <c r="L32" s="107">
        <f>L17-L21+L16-L30</f>
        <v>90493.179653210711</v>
      </c>
      <c r="M32" s="107">
        <f t="shared" si="17"/>
        <v>154743.33720699028</v>
      </c>
      <c r="N32" s="122">
        <f t="shared" si="17"/>
        <v>241056.41871280584</v>
      </c>
      <c r="O32" s="86"/>
      <c r="P32" s="138"/>
      <c r="Q32" s="116"/>
      <c r="R32" s="91"/>
      <c r="S32" s="43"/>
    </row>
    <row r="33" spans="2:19" ht="15" thickBot="1" x14ac:dyDescent="0.35">
      <c r="B33" s="125" t="s">
        <v>132</v>
      </c>
      <c r="C33" s="126">
        <f>CF!D17</f>
        <v>-431</v>
      </c>
      <c r="D33" s="126">
        <f>CF!E17</f>
        <v>-686</v>
      </c>
      <c r="E33" s="126">
        <f>CF!F17</f>
        <v>-752</v>
      </c>
      <c r="F33" s="126">
        <f>CF!G17</f>
        <v>-1408</v>
      </c>
      <c r="G33" s="126">
        <f>CF!H17</f>
        <v>-620</v>
      </c>
      <c r="H33" s="126">
        <f>CF!I17</f>
        <v>-440</v>
      </c>
      <c r="I33" s="126">
        <f>CF!J17</f>
        <v>-691</v>
      </c>
      <c r="J33" s="121">
        <f>J7*P33</f>
        <v>-1510.6059500000001</v>
      </c>
      <c r="K33" s="107">
        <f>K7*$P$33</f>
        <v>-2447.1816390000004</v>
      </c>
      <c r="L33" s="107">
        <f>L7*$P$33</f>
        <v>-4184.6806026900003</v>
      </c>
      <c r="M33" s="107">
        <f>M7*$P$33</f>
        <v>-7155.8038305998998</v>
      </c>
      <c r="N33" s="122">
        <f>N7*$P$33</f>
        <v>-11663.960243877837</v>
      </c>
      <c r="O33" s="86"/>
      <c r="P33" s="144">
        <v>-0.01</v>
      </c>
      <c r="Q33" s="145"/>
      <c r="R33" s="146"/>
      <c r="S33" s="297" t="s">
        <v>116</v>
      </c>
    </row>
    <row r="34" spans="2:19" ht="15" thickBot="1" x14ac:dyDescent="0.35">
      <c r="B34" s="147" t="s">
        <v>133</v>
      </c>
      <c r="C34" s="148">
        <f t="shared" ref="C34:M34" si="19">SUM(C32:C33)</f>
        <v>5842</v>
      </c>
      <c r="D34" s="148">
        <f t="shared" si="19"/>
        <v>15002</v>
      </c>
      <c r="E34" s="148">
        <f t="shared" si="19"/>
        <v>19921</v>
      </c>
      <c r="F34" s="148">
        <f>SUM(F32:F33)</f>
        <v>17513</v>
      </c>
      <c r="G34" s="148">
        <f t="shared" ref="G34:I34" si="20">SUM(G32:G33)</f>
        <v>14454</v>
      </c>
      <c r="H34" s="148">
        <f>SUM(H32:H33)</f>
        <v>35015</v>
      </c>
      <c r="I34" s="148">
        <f t="shared" si="20"/>
        <v>-37346</v>
      </c>
      <c r="J34" s="149">
        <f t="shared" si="19"/>
        <v>35403.124582087497</v>
      </c>
      <c r="K34" s="148">
        <f t="shared" si="19"/>
        <v>50171.241811327025</v>
      </c>
      <c r="L34" s="148">
        <f>SUM(L32:L33)</f>
        <v>86308.49905052071</v>
      </c>
      <c r="M34" s="148">
        <f t="shared" si="19"/>
        <v>147587.53337639038</v>
      </c>
      <c r="N34" s="150">
        <f>SUM(N32:N33)</f>
        <v>229392.458468928</v>
      </c>
      <c r="O34" s="86"/>
      <c r="P34" s="86"/>
      <c r="Q34" s="86"/>
      <c r="R34" s="86"/>
    </row>
    <row r="35" spans="2:19" ht="15" thickTop="1" x14ac:dyDescent="0.3">
      <c r="B35" s="90"/>
      <c r="C35" s="86"/>
      <c r="D35" s="86"/>
      <c r="E35" s="86"/>
      <c r="F35" s="86"/>
      <c r="G35" s="86"/>
      <c r="H35" s="86"/>
      <c r="I35" s="86"/>
      <c r="J35" s="90"/>
      <c r="K35" s="86"/>
      <c r="L35" s="86"/>
      <c r="M35" s="86"/>
      <c r="N35" s="91"/>
      <c r="O35" s="86"/>
      <c r="P35" s="86"/>
      <c r="Q35" s="86"/>
      <c r="R35" s="86"/>
    </row>
    <row r="36" spans="2:19" x14ac:dyDescent="0.3">
      <c r="B36" s="90" t="s">
        <v>134</v>
      </c>
      <c r="C36" s="86"/>
      <c r="D36" s="86"/>
      <c r="E36" s="86"/>
      <c r="F36" s="86"/>
      <c r="G36" s="86"/>
      <c r="H36" s="86"/>
      <c r="I36" s="86"/>
      <c r="J36" s="90">
        <v>0.25</v>
      </c>
      <c r="K36" s="86">
        <v>1.25</v>
      </c>
      <c r="L36" s="86">
        <v>2.25</v>
      </c>
      <c r="M36" s="86">
        <v>3.25</v>
      </c>
      <c r="N36" s="91">
        <v>4.25</v>
      </c>
      <c r="O36" s="86"/>
      <c r="P36" s="86"/>
      <c r="Q36" s="86"/>
      <c r="R36" s="86"/>
    </row>
    <row r="37" spans="2:19" ht="15" thickBot="1" x14ac:dyDescent="0.35">
      <c r="B37" s="125" t="s">
        <v>135</v>
      </c>
      <c r="C37" s="151"/>
      <c r="D37" s="151"/>
      <c r="E37" s="151"/>
      <c r="F37" s="151"/>
      <c r="G37" s="151"/>
      <c r="H37" s="151"/>
      <c r="I37" s="151"/>
      <c r="J37" s="127">
        <f>(J34)/((1+$K$48)^(J36))</f>
        <v>34268.976238722149</v>
      </c>
      <c r="K37" s="126">
        <f>(K34)/((1+$K$48)^(K36))</f>
        <v>42633.651984072116</v>
      </c>
      <c r="L37" s="126">
        <f>(L34)/((1+$K$48)^(L36))</f>
        <v>64385.696395850668</v>
      </c>
      <c r="M37" s="126">
        <f>(M34)/((1+$K$48)^(M36))</f>
        <v>96654.851055135296</v>
      </c>
      <c r="N37" s="128">
        <f>(N34)/((1+$K$48)^(N36))</f>
        <v>131883.74333491671</v>
      </c>
      <c r="O37" s="86"/>
      <c r="P37" s="86"/>
      <c r="Q37" s="86"/>
      <c r="R37" s="86"/>
    </row>
    <row r="38" spans="2:19" ht="15" thickBot="1" x14ac:dyDescent="0.35"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R38" s="180"/>
    </row>
    <row r="39" spans="2:19" x14ac:dyDescent="0.3">
      <c r="B39" s="483" t="s">
        <v>136</v>
      </c>
      <c r="C39" s="485"/>
      <c r="D39" s="86"/>
      <c r="E39" s="86"/>
      <c r="F39" s="86"/>
      <c r="G39" s="86"/>
      <c r="H39" s="86"/>
      <c r="I39" s="483" t="s">
        <v>137</v>
      </c>
      <c r="J39" s="484"/>
      <c r="K39" s="485"/>
      <c r="L39" s="86"/>
      <c r="M39" s="483" t="s">
        <v>138</v>
      </c>
      <c r="N39" s="484"/>
      <c r="O39" s="484"/>
      <c r="P39" s="485"/>
      <c r="R39" s="180"/>
    </row>
    <row r="40" spans="2:19" x14ac:dyDescent="0.3">
      <c r="B40" s="152" t="s">
        <v>139</v>
      </c>
      <c r="C40" s="122">
        <f>SUM(J37:N37)</f>
        <v>369826.91900869698</v>
      </c>
      <c r="D40" s="86"/>
      <c r="E40" s="86"/>
      <c r="F40" s="86"/>
      <c r="G40" s="86"/>
      <c r="H40" s="86"/>
      <c r="I40" s="477" t="s">
        <v>96</v>
      </c>
      <c r="J40" s="478"/>
      <c r="K40" s="153">
        <v>1.82</v>
      </c>
      <c r="L40" s="86"/>
      <c r="M40" s="90" t="s">
        <v>19</v>
      </c>
      <c r="N40" s="117">
        <f>P40/($P$40+$P$41)</f>
        <v>1</v>
      </c>
      <c r="O40" s="86"/>
      <c r="P40" s="122">
        <f>C47*C49</f>
        <v>1421146.1140000001</v>
      </c>
      <c r="R40" s="180"/>
    </row>
    <row r="41" spans="2:19" ht="15" thickBot="1" x14ac:dyDescent="0.35">
      <c r="B41" s="138" t="s">
        <v>140</v>
      </c>
      <c r="C41" s="122">
        <f>((N34*(1+K43))/(K48-K43))/((1+K48)^N36)</f>
        <v>1245098.5851050797</v>
      </c>
      <c r="D41" s="86"/>
      <c r="E41" s="86"/>
      <c r="F41" s="86"/>
      <c r="G41" s="86"/>
      <c r="H41" s="86"/>
      <c r="I41" s="479" t="s">
        <v>141</v>
      </c>
      <c r="J41" s="480"/>
      <c r="K41" s="154">
        <v>2.9899999999999999E-2</v>
      </c>
      <c r="L41" s="86"/>
      <c r="M41" s="125" t="s">
        <v>142</v>
      </c>
      <c r="N41" s="151">
        <f>P41/($P$40+$P$41)</f>
        <v>0</v>
      </c>
      <c r="O41" s="151"/>
      <c r="P41" s="155">
        <f>(Obligations!C15)+BS!J37</f>
        <v>0</v>
      </c>
      <c r="R41" s="180"/>
    </row>
    <row r="42" spans="2:19" ht="15" thickBot="1" x14ac:dyDescent="0.35">
      <c r="B42" s="138" t="s">
        <v>143</v>
      </c>
      <c r="C42" s="122">
        <f>C40+C41</f>
        <v>1614925.5041137766</v>
      </c>
      <c r="D42" s="86"/>
      <c r="E42" s="86"/>
      <c r="F42" s="86"/>
      <c r="G42" s="86"/>
      <c r="H42" s="86"/>
      <c r="I42" s="479" t="s">
        <v>144</v>
      </c>
      <c r="J42" s="480"/>
      <c r="K42" s="156">
        <v>0.06</v>
      </c>
      <c r="L42" s="86"/>
      <c r="M42" s="86"/>
      <c r="N42" s="86"/>
      <c r="O42" s="86"/>
      <c r="P42" s="86"/>
      <c r="R42" s="180"/>
    </row>
    <row r="43" spans="2:19" ht="15" thickBot="1" x14ac:dyDescent="0.35">
      <c r="B43" s="138" t="s">
        <v>145</v>
      </c>
      <c r="C43" s="122">
        <f>BS!G4</f>
        <v>177181</v>
      </c>
      <c r="D43" s="86"/>
      <c r="E43" s="86"/>
      <c r="F43" s="86"/>
      <c r="G43" s="86"/>
      <c r="H43" s="86"/>
      <c r="I43" s="481" t="s">
        <v>146</v>
      </c>
      <c r="J43" s="482"/>
      <c r="K43" s="157">
        <v>0.03</v>
      </c>
      <c r="L43" s="86"/>
      <c r="M43" s="483" t="s">
        <v>147</v>
      </c>
      <c r="N43" s="484"/>
      <c r="O43" s="484"/>
      <c r="P43" s="485"/>
      <c r="R43" s="180"/>
    </row>
    <row r="44" spans="2:19" ht="15" thickBot="1" x14ac:dyDescent="0.35">
      <c r="B44" s="138" t="s">
        <v>142</v>
      </c>
      <c r="C44" s="122">
        <f>P41</f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125" t="s">
        <v>148</v>
      </c>
      <c r="N44" s="151"/>
      <c r="O44" s="151"/>
      <c r="P44" s="158">
        <v>0.28000000000000003</v>
      </c>
      <c r="R44" s="180"/>
    </row>
    <row r="45" spans="2:19" ht="15" thickBot="1" x14ac:dyDescent="0.35">
      <c r="B45" s="159" t="s">
        <v>149</v>
      </c>
      <c r="C45" s="128">
        <f>C42-(C44-C43)</f>
        <v>1792106.5041137766</v>
      </c>
      <c r="D45" s="86"/>
      <c r="E45" s="86"/>
      <c r="F45" s="86"/>
      <c r="G45" s="86"/>
      <c r="H45" s="86"/>
      <c r="I45" s="483" t="s">
        <v>150</v>
      </c>
      <c r="J45" s="484"/>
      <c r="K45" s="485"/>
      <c r="L45" s="86"/>
      <c r="M45" s="86"/>
      <c r="N45" s="86"/>
      <c r="O45" s="86"/>
      <c r="P45" s="86"/>
      <c r="R45" s="180"/>
    </row>
    <row r="46" spans="2:19" ht="15" thickBot="1" x14ac:dyDescent="0.35">
      <c r="B46" s="86"/>
      <c r="C46" s="86"/>
      <c r="D46" s="86"/>
      <c r="E46" s="86"/>
      <c r="F46" s="86"/>
      <c r="G46" s="86"/>
      <c r="H46" s="86"/>
      <c r="I46" s="477" t="s">
        <v>151</v>
      </c>
      <c r="J46" s="478"/>
      <c r="K46" s="156">
        <f>K41+K40*K42</f>
        <v>0.1391</v>
      </c>
      <c r="L46" s="86"/>
      <c r="M46" s="86"/>
      <c r="N46" s="86"/>
      <c r="O46" s="86"/>
      <c r="P46" s="86"/>
      <c r="R46" s="180"/>
    </row>
    <row r="47" spans="2:19" x14ac:dyDescent="0.3">
      <c r="B47" s="160" t="s">
        <v>18</v>
      </c>
      <c r="C47" s="161">
        <f>I23</f>
        <v>35761.1</v>
      </c>
      <c r="D47" s="86"/>
      <c r="E47" s="86"/>
      <c r="F47" s="86"/>
      <c r="G47" s="86"/>
      <c r="H47" s="86"/>
      <c r="I47" s="479" t="s">
        <v>152</v>
      </c>
      <c r="J47" s="480"/>
      <c r="K47" s="156">
        <v>5.9499999999999997E-2</v>
      </c>
      <c r="L47" s="86"/>
      <c r="M47" s="86"/>
      <c r="N47" s="86"/>
      <c r="O47" s="86"/>
      <c r="P47" s="86"/>
      <c r="R47" s="180"/>
    </row>
    <row r="48" spans="2:19" ht="15" thickBot="1" x14ac:dyDescent="0.35">
      <c r="B48" s="162" t="s">
        <v>90</v>
      </c>
      <c r="C48" s="163">
        <f>C45/C47</f>
        <v>50.113293609921861</v>
      </c>
      <c r="D48" s="86"/>
      <c r="E48" s="86"/>
      <c r="F48" s="86"/>
      <c r="G48" s="86"/>
      <c r="H48" s="86"/>
      <c r="I48" s="481" t="s">
        <v>24</v>
      </c>
      <c r="J48" s="482"/>
      <c r="K48" s="164">
        <f>(N40*K46)+((N41*K47)*(1-P44))</f>
        <v>0.1391</v>
      </c>
      <c r="L48" s="86"/>
      <c r="M48" s="86"/>
      <c r="N48" s="86"/>
      <c r="O48" s="86"/>
      <c r="P48" s="86"/>
      <c r="R48" s="180"/>
    </row>
    <row r="49" spans="1:21" x14ac:dyDescent="0.3">
      <c r="B49" s="162" t="s">
        <v>89</v>
      </c>
      <c r="C49" s="163">
        <f>Valuation!F10</f>
        <v>39.74</v>
      </c>
      <c r="D49" s="86"/>
      <c r="E49" s="86"/>
      <c r="F49" s="86"/>
      <c r="G49" s="86"/>
      <c r="H49" s="86"/>
      <c r="I49" s="165"/>
      <c r="J49" s="165"/>
      <c r="K49" s="166"/>
      <c r="L49" s="86"/>
      <c r="M49" s="86"/>
      <c r="N49" s="86"/>
      <c r="O49" s="86"/>
      <c r="P49" s="86"/>
      <c r="R49" s="180"/>
    </row>
    <row r="50" spans="1:21" ht="15" thickBot="1" x14ac:dyDescent="0.35">
      <c r="B50" s="167" t="s">
        <v>153</v>
      </c>
      <c r="C50" s="168">
        <f>C48/C49-1</f>
        <v>0.26102902893613122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R50" s="180"/>
    </row>
    <row r="51" spans="1:21" ht="47.55" customHeight="1" x14ac:dyDescent="0.3">
      <c r="C51" s="13"/>
      <c r="D51" s="13"/>
      <c r="O51" s="30"/>
      <c r="R51" s="180"/>
    </row>
    <row r="52" spans="1:21" s="229" customFormat="1" ht="47.55" customHeight="1" x14ac:dyDescent="0.3">
      <c r="A52" s="237"/>
      <c r="U52" s="2"/>
    </row>
    <row r="54" spans="1:21" x14ac:dyDescent="0.3">
      <c r="C54" s="23"/>
      <c r="D54" s="23"/>
      <c r="E54" s="449"/>
      <c r="F54" s="23"/>
      <c r="G54" s="23"/>
    </row>
    <row r="55" spans="1:21" x14ac:dyDescent="0.3">
      <c r="C55" s="23"/>
      <c r="D55" s="23"/>
      <c r="E55" s="450"/>
      <c r="F55" s="23"/>
      <c r="G55" s="23"/>
      <c r="H55" s="180"/>
      <c r="I55" s="180"/>
      <c r="J55" s="180"/>
      <c r="K55" s="180"/>
      <c r="L55" s="180"/>
      <c r="M55" s="180"/>
      <c r="N55" s="180"/>
      <c r="O55" s="180"/>
    </row>
    <row r="56" spans="1:21" x14ac:dyDescent="0.3">
      <c r="C56" s="23"/>
      <c r="D56" s="23"/>
      <c r="E56" s="450"/>
      <c r="F56" s="23"/>
      <c r="G56" s="23"/>
    </row>
    <row r="57" spans="1:21" x14ac:dyDescent="0.3">
      <c r="C57" s="23"/>
      <c r="D57" s="23"/>
      <c r="E57" s="450"/>
      <c r="F57" s="23"/>
      <c r="G57" s="23"/>
    </row>
    <row r="58" spans="1:21" x14ac:dyDescent="0.3">
      <c r="C58" s="23"/>
      <c r="D58" s="23"/>
      <c r="E58" s="450"/>
      <c r="F58" s="23"/>
      <c r="G58" s="23"/>
    </row>
    <row r="59" spans="1:21" x14ac:dyDescent="0.3">
      <c r="C59" s="23"/>
      <c r="D59" s="23"/>
      <c r="E59" s="450"/>
      <c r="F59" s="23"/>
      <c r="G59" s="23"/>
    </row>
    <row r="60" spans="1:21" x14ac:dyDescent="0.3">
      <c r="C60" s="23"/>
      <c r="D60" s="23"/>
      <c r="E60" s="450"/>
      <c r="F60" s="23"/>
      <c r="G60" s="23"/>
    </row>
    <row r="61" spans="1:21" x14ac:dyDescent="0.3">
      <c r="C61" s="23"/>
      <c r="D61" s="23"/>
      <c r="E61" s="450"/>
      <c r="F61" s="23"/>
      <c r="G61" s="23"/>
    </row>
    <row r="62" spans="1:21" x14ac:dyDescent="0.3">
      <c r="C62" s="23"/>
      <c r="D62" s="23"/>
      <c r="E62" s="23"/>
      <c r="F62" s="23"/>
      <c r="G62" s="23"/>
    </row>
    <row r="63" spans="1:21" x14ac:dyDescent="0.3">
      <c r="C63" s="23"/>
      <c r="D63" s="23"/>
      <c r="E63" s="23"/>
      <c r="F63" s="23"/>
      <c r="G63" s="23"/>
    </row>
    <row r="64" spans="1:21" x14ac:dyDescent="0.3">
      <c r="C64" s="23"/>
      <c r="D64" s="23"/>
      <c r="E64" s="23"/>
      <c r="F64" s="23"/>
      <c r="G64" s="23"/>
    </row>
    <row r="65" spans="3:7" x14ac:dyDescent="0.3">
      <c r="C65" s="23"/>
      <c r="D65" s="23"/>
      <c r="E65" s="23"/>
      <c r="F65" s="23"/>
      <c r="G65" s="23"/>
    </row>
  </sheetData>
  <mergeCells count="15">
    <mergeCell ref="M43:P43"/>
    <mergeCell ref="L5:M5"/>
    <mergeCell ref="P5:R5"/>
    <mergeCell ref="B39:C39"/>
    <mergeCell ref="I39:K39"/>
    <mergeCell ref="M39:P39"/>
    <mergeCell ref="I46:J46"/>
    <mergeCell ref="I47:J47"/>
    <mergeCell ref="I48:J48"/>
    <mergeCell ref="I45:K45"/>
    <mergeCell ref="J5:K5"/>
    <mergeCell ref="I40:J40"/>
    <mergeCell ref="I41:J41"/>
    <mergeCell ref="I42:J42"/>
    <mergeCell ref="I43:J43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"/>
  <sheetViews>
    <sheetView showGridLines="0" zoomScale="70" zoomScaleNormal="70" zoomScalePageLayoutView="77" workbookViewId="0">
      <selection activeCell="O34" sqref="O34"/>
    </sheetView>
  </sheetViews>
  <sheetFormatPr defaultColWidth="8.77734375" defaultRowHeight="14.4" x14ac:dyDescent="0.3"/>
  <cols>
    <col min="1" max="1" width="3.44140625" style="237" customWidth="1"/>
    <col min="2" max="2" width="25.109375" customWidth="1"/>
    <col min="3" max="3" width="1.109375" style="180" customWidth="1"/>
    <col min="5" max="5" width="1.109375" style="180" customWidth="1"/>
    <col min="6" max="6" width="11.33203125" customWidth="1"/>
    <col min="8" max="8" width="20.6640625" customWidth="1"/>
    <col min="10" max="10" width="18.33203125" customWidth="1"/>
    <col min="12" max="12" width="1.5546875" style="180" customWidth="1"/>
    <col min="13" max="13" width="3.33203125" style="180" customWidth="1"/>
    <col min="16" max="16" width="12.109375" bestFit="1" customWidth="1"/>
    <col min="18" max="18" width="17.77734375" bestFit="1" customWidth="1"/>
    <col min="20" max="20" width="11.6640625" bestFit="1" customWidth="1"/>
    <col min="22" max="22" width="9.44140625" bestFit="1" customWidth="1"/>
    <col min="25" max="25" width="14.44140625" customWidth="1"/>
    <col min="26" max="26" width="10.109375" bestFit="1" customWidth="1"/>
    <col min="28" max="28" width="8.77734375" style="1"/>
  </cols>
  <sheetData>
    <row r="1" spans="1:26" s="237" customFormat="1" ht="18" customHeigh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spans="1:26" ht="52.2" customHeight="1" x14ac:dyDescent="0.3">
      <c r="A2" s="47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6" ht="3.75" customHeight="1" x14ac:dyDescent="0.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spans="1:26" x14ac:dyDescent="0.3">
      <c r="A4" s="47"/>
      <c r="B4" s="13" t="s">
        <v>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6" ht="28.8" customHeight="1" x14ac:dyDescent="0.3">
      <c r="A5" s="47"/>
      <c r="B5" s="13"/>
      <c r="C5" s="13"/>
      <c r="D5" s="20" t="s">
        <v>170</v>
      </c>
      <c r="E5" s="20"/>
      <c r="F5" s="20" t="s">
        <v>171</v>
      </c>
      <c r="G5" s="20" t="s">
        <v>172</v>
      </c>
      <c r="H5" s="20" t="s">
        <v>175</v>
      </c>
      <c r="I5" s="20" t="s">
        <v>177</v>
      </c>
      <c r="J5" s="20" t="s">
        <v>304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6" ht="15" thickBot="1" x14ac:dyDescent="0.35">
      <c r="A6" s="47"/>
      <c r="B6" s="13"/>
      <c r="C6" s="13"/>
      <c r="D6" s="21" t="s">
        <v>167</v>
      </c>
      <c r="E6" s="21"/>
      <c r="F6" s="21" t="s">
        <v>169</v>
      </c>
      <c r="G6" s="21" t="s">
        <v>173</v>
      </c>
      <c r="H6" s="21" t="s">
        <v>174</v>
      </c>
      <c r="I6" s="21" t="s">
        <v>176</v>
      </c>
      <c r="J6" s="21" t="s">
        <v>303</v>
      </c>
      <c r="K6" s="13"/>
      <c r="L6" s="13"/>
      <c r="M6" s="13"/>
      <c r="N6" s="21" t="s">
        <v>10</v>
      </c>
      <c r="O6" s="22"/>
      <c r="P6" s="21" t="s">
        <v>183</v>
      </c>
      <c r="Q6" s="22"/>
      <c r="R6" s="21" t="s">
        <v>11</v>
      </c>
      <c r="S6" s="13"/>
      <c r="T6" s="21" t="s">
        <v>12</v>
      </c>
      <c r="U6" s="13"/>
      <c r="V6" s="21" t="s">
        <v>13</v>
      </c>
      <c r="W6" s="13"/>
      <c r="X6" t="s">
        <v>312</v>
      </c>
    </row>
    <row r="7" spans="1:26" x14ac:dyDescent="0.3">
      <c r="A7" s="47"/>
      <c r="B7" s="221" t="s">
        <v>14</v>
      </c>
      <c r="C7" s="221"/>
      <c r="D7" s="21" t="s">
        <v>168</v>
      </c>
      <c r="E7" s="419"/>
      <c r="F7" s="419" t="s">
        <v>181</v>
      </c>
      <c r="G7" s="419" t="s">
        <v>182</v>
      </c>
      <c r="H7" s="419" t="s">
        <v>179</v>
      </c>
      <c r="I7" s="419" t="s">
        <v>178</v>
      </c>
      <c r="J7" s="419" t="s">
        <v>305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495" t="s">
        <v>316</v>
      </c>
      <c r="Y7" s="495"/>
      <c r="Z7" s="302">
        <f>DCF!J7</f>
        <v>151060.595</v>
      </c>
    </row>
    <row r="8" spans="1:26" ht="15" customHeight="1" thickBot="1" x14ac:dyDescent="0.35">
      <c r="A8" s="47"/>
      <c r="B8" s="13"/>
      <c r="C8" s="23"/>
      <c r="D8" s="19"/>
      <c r="E8" s="23"/>
      <c r="F8" s="13"/>
      <c r="G8" s="13"/>
      <c r="H8" s="13"/>
      <c r="I8" s="13"/>
      <c r="J8" s="420"/>
      <c r="K8" s="13"/>
      <c r="L8" s="13"/>
      <c r="M8" s="13"/>
      <c r="N8" s="376"/>
      <c r="O8" s="376"/>
      <c r="P8" s="376"/>
      <c r="Q8" s="376"/>
      <c r="R8" s="376"/>
      <c r="S8" s="376"/>
      <c r="T8" s="431"/>
      <c r="U8" s="376"/>
      <c r="V8" s="376"/>
      <c r="W8" s="13"/>
      <c r="X8" s="494" t="s">
        <v>313</v>
      </c>
      <c r="Y8" s="494"/>
      <c r="Z8" s="303">
        <f>DCF!J22</f>
        <v>22981.558976837499</v>
      </c>
    </row>
    <row r="9" spans="1:26" x14ac:dyDescent="0.3">
      <c r="A9" s="47"/>
      <c r="B9" s="370" t="s">
        <v>15</v>
      </c>
      <c r="C9" s="370"/>
      <c r="D9" s="220"/>
      <c r="E9" s="23"/>
      <c r="F9" s="23"/>
      <c r="G9" s="23"/>
      <c r="H9" s="23"/>
      <c r="I9" s="23"/>
      <c r="J9" s="23"/>
      <c r="K9" s="23"/>
      <c r="L9" s="372"/>
      <c r="N9" s="23"/>
      <c r="O9" s="23"/>
      <c r="P9" s="220" t="s">
        <v>16</v>
      </c>
      <c r="Q9" s="220"/>
      <c r="R9" s="220"/>
      <c r="S9" s="220"/>
      <c r="T9" s="220"/>
      <c r="U9" s="220"/>
      <c r="V9" s="220"/>
      <c r="W9" s="13"/>
      <c r="X9" s="494" t="s">
        <v>314</v>
      </c>
      <c r="Y9" s="494"/>
      <c r="Z9" s="219">
        <f>Historical!I7</f>
        <v>0.6426412771653417</v>
      </c>
    </row>
    <row r="10" spans="1:26" x14ac:dyDescent="0.3">
      <c r="A10" s="47"/>
      <c r="B10" s="422" t="s">
        <v>17</v>
      </c>
      <c r="C10" s="370"/>
      <c r="D10" s="423">
        <v>72.14</v>
      </c>
      <c r="E10" s="23"/>
      <c r="F10" s="423" t="s">
        <v>180</v>
      </c>
      <c r="G10" s="423" t="s">
        <v>180</v>
      </c>
      <c r="H10" s="31">
        <v>22.69</v>
      </c>
      <c r="I10" s="31">
        <v>317.89999999999998</v>
      </c>
      <c r="J10" s="423" t="s">
        <v>180</v>
      </c>
      <c r="K10" s="23"/>
      <c r="L10" s="428"/>
      <c r="M10" s="23"/>
      <c r="N10" s="430">
        <f>SUMPRODUCT(H10:I10,H11:I11)</f>
        <v>170.29499999999999</v>
      </c>
      <c r="O10" s="424"/>
      <c r="P10" s="439">
        <f>Z9</f>
        <v>0.6426412771653417</v>
      </c>
      <c r="Q10" s="425"/>
      <c r="R10" s="434">
        <f>N10*P10</f>
        <v>109.43859629487186</v>
      </c>
      <c r="S10" s="425"/>
      <c r="T10" s="434">
        <f>R10/(1+$Z$14)</f>
        <v>96.074617061602893</v>
      </c>
      <c r="U10" s="425"/>
      <c r="V10" s="435">
        <v>0.25</v>
      </c>
      <c r="W10" s="13"/>
      <c r="X10" s="494" t="s">
        <v>18</v>
      </c>
      <c r="Y10" s="494"/>
      <c r="Z10" s="304">
        <f>DCF!C47</f>
        <v>35761.1</v>
      </c>
    </row>
    <row r="11" spans="1:26" x14ac:dyDescent="0.3">
      <c r="A11" s="47"/>
      <c r="B11" s="424" t="s">
        <v>13</v>
      </c>
      <c r="C11" s="424"/>
      <c r="D11" s="425"/>
      <c r="E11" s="424"/>
      <c r="F11" s="426">
        <v>0</v>
      </c>
      <c r="G11" s="426">
        <v>0</v>
      </c>
      <c r="H11" s="426">
        <v>0.5</v>
      </c>
      <c r="I11" s="426">
        <v>0.5</v>
      </c>
      <c r="J11" s="427">
        <v>0</v>
      </c>
      <c r="K11" s="23"/>
      <c r="L11" s="428"/>
      <c r="M11" s="23"/>
      <c r="N11" s="25"/>
      <c r="O11" s="23"/>
      <c r="P11" s="220"/>
      <c r="Q11" s="220"/>
      <c r="R11" s="436"/>
      <c r="S11" s="220"/>
      <c r="T11" s="436"/>
      <c r="U11" s="220"/>
      <c r="V11" s="398"/>
      <c r="W11" s="13"/>
      <c r="X11" s="494" t="s">
        <v>19</v>
      </c>
      <c r="Y11" s="494"/>
      <c r="Z11" s="305">
        <f>BS!J55</f>
        <v>231751</v>
      </c>
    </row>
    <row r="12" spans="1:26" x14ac:dyDescent="0.3">
      <c r="A12" s="47"/>
      <c r="B12" s="23"/>
      <c r="C12" s="23"/>
      <c r="D12" s="220"/>
      <c r="E12" s="23"/>
      <c r="F12" s="23"/>
      <c r="G12" s="23"/>
      <c r="H12" s="23"/>
      <c r="I12" s="23"/>
      <c r="J12" s="23"/>
      <c r="K12" s="23"/>
      <c r="L12" s="428"/>
      <c r="M12" s="23"/>
      <c r="N12" s="25"/>
      <c r="O12" s="23"/>
      <c r="P12" s="220"/>
      <c r="Q12" s="220"/>
      <c r="R12" s="436"/>
      <c r="S12" s="220"/>
      <c r="T12" s="436"/>
      <c r="U12" s="220"/>
      <c r="V12" s="398"/>
      <c r="W12" s="13"/>
      <c r="X12" s="494" t="s">
        <v>20</v>
      </c>
      <c r="Y12" s="494"/>
      <c r="Z12" s="26" t="e">
        <f>'DCF Growth Rates'!H93</f>
        <v>#DIV/0!</v>
      </c>
    </row>
    <row r="13" spans="1:26" x14ac:dyDescent="0.3">
      <c r="A13" s="47"/>
      <c r="B13" s="370" t="s">
        <v>21</v>
      </c>
      <c r="C13" s="370"/>
      <c r="D13" s="220"/>
      <c r="E13" s="23"/>
      <c r="F13" s="23"/>
      <c r="G13" s="23"/>
      <c r="H13" s="23"/>
      <c r="I13" s="23"/>
      <c r="J13" s="23"/>
      <c r="K13" s="23"/>
      <c r="L13" s="428"/>
      <c r="M13" s="23"/>
      <c r="N13" s="25"/>
      <c r="O13" s="23"/>
      <c r="P13" s="220" t="s">
        <v>22</v>
      </c>
      <c r="Q13" s="220"/>
      <c r="R13" s="436"/>
      <c r="S13" s="220"/>
      <c r="T13" s="436"/>
      <c r="U13" s="220"/>
      <c r="V13" s="398"/>
      <c r="W13" s="13"/>
      <c r="X13" s="494" t="s">
        <v>315</v>
      </c>
      <c r="Y13" s="494"/>
      <c r="Z13" s="303">
        <f>DCF!J16</f>
        <v>1791.3029750000001</v>
      </c>
    </row>
    <row r="14" spans="1:26" x14ac:dyDescent="0.3">
      <c r="A14" s="47"/>
      <c r="B14" s="422" t="s">
        <v>23</v>
      </c>
      <c r="C14" s="370"/>
      <c r="D14" s="423">
        <v>10.029999999999999</v>
      </c>
      <c r="E14" s="23"/>
      <c r="F14" s="31">
        <v>14.69</v>
      </c>
      <c r="G14" s="31">
        <v>5.89</v>
      </c>
      <c r="H14" s="31">
        <v>9.3699999999999992</v>
      </c>
      <c r="I14" s="31">
        <v>5.81</v>
      </c>
      <c r="J14" s="31">
        <v>12.8</v>
      </c>
      <c r="K14" s="23"/>
      <c r="L14" s="428"/>
      <c r="M14" s="23"/>
      <c r="N14" s="430">
        <f>SUMPRODUCT(F14:J14,F15:J15)</f>
        <v>9.7119999999999997</v>
      </c>
      <c r="O14" s="424"/>
      <c r="P14" s="439">
        <f>Z7/Z10</f>
        <v>4.2241596315549579</v>
      </c>
      <c r="Q14" s="425"/>
      <c r="R14" s="434">
        <f>N14*P14</f>
        <v>41.025038341661748</v>
      </c>
      <c r="S14" s="425"/>
      <c r="T14" s="434">
        <f>R14/(1+$Z$14)</f>
        <v>36.015308876886792</v>
      </c>
      <c r="U14" s="425"/>
      <c r="V14" s="435">
        <v>0.25</v>
      </c>
      <c r="W14" s="13"/>
      <c r="X14" s="494" t="s">
        <v>24</v>
      </c>
      <c r="Y14" s="494"/>
      <c r="Z14" s="306">
        <f>DCF!K48</f>
        <v>0.1391</v>
      </c>
    </row>
    <row r="15" spans="1:26" x14ac:dyDescent="0.3">
      <c r="A15" s="47"/>
      <c r="B15" s="424" t="s">
        <v>13</v>
      </c>
      <c r="C15" s="424"/>
      <c r="D15" s="425"/>
      <c r="E15" s="424"/>
      <c r="F15" s="426">
        <v>0.2</v>
      </c>
      <c r="G15" s="426">
        <v>0.2</v>
      </c>
      <c r="H15" s="426">
        <v>0.2</v>
      </c>
      <c r="I15" s="426">
        <v>0.2</v>
      </c>
      <c r="J15" s="427">
        <v>0.2</v>
      </c>
      <c r="K15" s="23"/>
      <c r="L15" s="428"/>
      <c r="M15" s="23"/>
      <c r="N15" s="25"/>
      <c r="O15" s="23"/>
      <c r="P15" s="220"/>
      <c r="Q15" s="220"/>
      <c r="R15" s="436"/>
      <c r="S15" s="220"/>
      <c r="T15" s="436"/>
      <c r="U15" s="220"/>
      <c r="V15" s="398"/>
      <c r="W15" s="13"/>
      <c r="X15" s="494" t="s">
        <v>25</v>
      </c>
      <c r="Y15" s="494"/>
      <c r="Z15" s="307">
        <f>BS!G4</f>
        <v>177181</v>
      </c>
    </row>
    <row r="16" spans="1:26" x14ac:dyDescent="0.3">
      <c r="A16" s="47"/>
      <c r="B16" s="23"/>
      <c r="C16" s="23"/>
      <c r="D16" s="220"/>
      <c r="E16" s="23"/>
      <c r="F16" s="23"/>
      <c r="G16" s="23"/>
      <c r="H16" s="23"/>
      <c r="I16" s="23"/>
      <c r="J16" s="23"/>
      <c r="K16" s="23"/>
      <c r="L16" s="428"/>
      <c r="M16" s="23"/>
      <c r="N16" s="25"/>
      <c r="O16" s="23"/>
      <c r="P16" s="220"/>
      <c r="Q16" s="220"/>
      <c r="R16" s="436"/>
      <c r="S16" s="220"/>
      <c r="T16" s="436"/>
      <c r="U16" s="220"/>
      <c r="V16" s="398"/>
      <c r="W16" s="13"/>
      <c r="X16" s="494" t="s">
        <v>26</v>
      </c>
      <c r="Y16" s="494"/>
      <c r="Z16" s="304">
        <f>BS!G37</f>
        <v>0</v>
      </c>
    </row>
    <row r="17" spans="1:38" x14ac:dyDescent="0.3">
      <c r="A17" s="47"/>
      <c r="B17" s="370" t="s">
        <v>27</v>
      </c>
      <c r="C17" s="370"/>
      <c r="D17" s="220"/>
      <c r="E17" s="23"/>
      <c r="F17" s="23"/>
      <c r="G17" s="23"/>
      <c r="H17" s="23"/>
      <c r="I17" s="23"/>
      <c r="J17" s="23"/>
      <c r="K17" s="23"/>
      <c r="L17" s="428"/>
      <c r="M17" s="23"/>
      <c r="N17" s="25"/>
      <c r="O17" s="23"/>
      <c r="P17" s="220" t="s">
        <v>28</v>
      </c>
      <c r="Q17" s="220"/>
      <c r="R17" s="436"/>
      <c r="S17" s="220"/>
      <c r="T17" s="436"/>
      <c r="U17" s="220"/>
      <c r="V17" s="398"/>
      <c r="W17" s="13"/>
      <c r="X17" s="494" t="s">
        <v>29</v>
      </c>
      <c r="Y17" s="494"/>
      <c r="Z17" s="43">
        <v>0</v>
      </c>
    </row>
    <row r="18" spans="1:38" x14ac:dyDescent="0.3">
      <c r="A18" s="47"/>
      <c r="B18" s="422" t="s">
        <v>30</v>
      </c>
      <c r="C18" s="370"/>
      <c r="D18" s="423">
        <v>6.6</v>
      </c>
      <c r="E18" s="23"/>
      <c r="F18" s="31">
        <v>27.64</v>
      </c>
      <c r="G18" s="31">
        <v>2.97</v>
      </c>
      <c r="H18" s="31">
        <v>4.17</v>
      </c>
      <c r="I18" s="31">
        <v>6.87</v>
      </c>
      <c r="J18" s="31">
        <v>8.98</v>
      </c>
      <c r="K18" s="23"/>
      <c r="L18" s="428"/>
      <c r="M18" s="23"/>
      <c r="N18" s="430">
        <f>SUMPRODUCT(F18:J18,F19:J19)</f>
        <v>10.126000000000001</v>
      </c>
      <c r="O18" s="424"/>
      <c r="P18" s="439">
        <f>Z11/Z10</f>
        <v>6.4805333169281711</v>
      </c>
      <c r="Q18" s="425"/>
      <c r="R18" s="434">
        <f>N18*P18</f>
        <v>65.621880367214672</v>
      </c>
      <c r="S18" s="425"/>
      <c r="T18" s="434">
        <f>P18*N18</f>
        <v>65.621880367214672</v>
      </c>
      <c r="U18" s="425"/>
      <c r="V18" s="435">
        <v>0.25</v>
      </c>
      <c r="W18" s="13"/>
      <c r="X18" s="494" t="s">
        <v>31</v>
      </c>
      <c r="Y18" s="494"/>
      <c r="Z18" s="43">
        <v>0</v>
      </c>
    </row>
    <row r="19" spans="1:38" x14ac:dyDescent="0.3">
      <c r="A19" s="47"/>
      <c r="B19" s="424" t="s">
        <v>13</v>
      </c>
      <c r="C19" s="424"/>
      <c r="D19" s="425"/>
      <c r="E19" s="424"/>
      <c r="F19" s="426">
        <v>0.2</v>
      </c>
      <c r="G19" s="426">
        <v>0.2</v>
      </c>
      <c r="H19" s="426">
        <v>0.2</v>
      </c>
      <c r="I19" s="426">
        <v>0.2</v>
      </c>
      <c r="J19" s="427">
        <v>0.2</v>
      </c>
      <c r="K19" s="23"/>
      <c r="L19" s="428"/>
      <c r="M19" s="23"/>
      <c r="N19" s="25"/>
      <c r="O19" s="23"/>
      <c r="P19" s="220"/>
      <c r="Q19" s="220"/>
      <c r="R19" s="436"/>
      <c r="S19" s="220"/>
      <c r="T19" s="436"/>
      <c r="U19" s="220"/>
      <c r="V19" s="398"/>
      <c r="W19" s="13"/>
      <c r="X19" s="491" t="s">
        <v>32</v>
      </c>
      <c r="Y19" s="491"/>
      <c r="Z19" s="308">
        <v>1</v>
      </c>
    </row>
    <row r="20" spans="1:38" ht="15" thickBot="1" x14ac:dyDescent="0.35">
      <c r="A20" s="47"/>
      <c r="B20" s="23"/>
      <c r="C20" s="23"/>
      <c r="D20" s="220"/>
      <c r="E20" s="23"/>
      <c r="F20" s="23"/>
      <c r="G20" s="23"/>
      <c r="H20" s="23"/>
      <c r="I20" s="23"/>
      <c r="J20" s="23"/>
      <c r="K20" s="23"/>
      <c r="L20" s="428"/>
      <c r="M20" s="23"/>
      <c r="N20" s="25"/>
      <c r="O20" s="23"/>
      <c r="P20" s="220"/>
      <c r="Q20" s="220"/>
      <c r="R20" s="436"/>
      <c r="S20" s="220"/>
      <c r="T20" s="436"/>
      <c r="U20" s="220"/>
      <c r="V20" s="398"/>
      <c r="W20" s="13"/>
      <c r="X20" s="492" t="s">
        <v>33</v>
      </c>
      <c r="Y20" s="492"/>
      <c r="Z20" s="309">
        <v>1</v>
      </c>
    </row>
    <row r="21" spans="1:38" x14ac:dyDescent="0.3">
      <c r="A21" s="47"/>
      <c r="B21" s="370" t="s">
        <v>34</v>
      </c>
      <c r="C21" s="370"/>
      <c r="D21" s="220"/>
      <c r="E21" s="23"/>
      <c r="F21" s="23"/>
      <c r="G21" s="23"/>
      <c r="H21" s="23"/>
      <c r="I21" s="23"/>
      <c r="J21" s="23"/>
      <c r="K21" s="23"/>
      <c r="L21" s="428"/>
      <c r="M21" s="23"/>
      <c r="N21" s="25"/>
      <c r="O21" s="23"/>
      <c r="P21" s="220" t="s">
        <v>35</v>
      </c>
      <c r="Q21" s="220"/>
      <c r="R21" s="436"/>
      <c r="S21" s="421"/>
      <c r="T21" s="437"/>
      <c r="U21" s="220"/>
      <c r="V21" s="398">
        <v>0</v>
      </c>
      <c r="W21" s="13"/>
      <c r="Z21" s="30"/>
    </row>
    <row r="22" spans="1:38" x14ac:dyDescent="0.3">
      <c r="A22" s="47"/>
      <c r="B22" s="422" t="s">
        <v>36</v>
      </c>
      <c r="C22" s="370"/>
      <c r="D22" s="423">
        <v>2.23</v>
      </c>
      <c r="E22" s="23"/>
      <c r="F22" s="31">
        <v>2.39</v>
      </c>
      <c r="G22" s="31">
        <v>-0.63</v>
      </c>
      <c r="H22" s="31">
        <v>1.85</v>
      </c>
      <c r="I22" s="31">
        <v>3.54</v>
      </c>
      <c r="J22" s="31">
        <v>9.86</v>
      </c>
      <c r="K22" s="23"/>
      <c r="L22" s="428"/>
      <c r="M22" s="23"/>
      <c r="N22" s="430">
        <f>SUMPRODUCT(F22:J22,F23:J23)</f>
        <v>3.4020000000000001</v>
      </c>
      <c r="O22" s="424"/>
      <c r="P22" s="440" t="e">
        <f>Z12</f>
        <v>#DIV/0!</v>
      </c>
      <c r="Q22" s="425"/>
      <c r="R22" s="434" t="e">
        <f>N22*(P22*100)*Z9</f>
        <v>#DIV/0!</v>
      </c>
      <c r="S22" s="433"/>
      <c r="T22" s="438"/>
      <c r="U22" s="425"/>
      <c r="V22" s="435"/>
      <c r="W22" s="13"/>
      <c r="Z22" s="30"/>
      <c r="AL22" s="180" t="e">
        <f>N22*(P22*100)*Z9</f>
        <v>#DIV/0!</v>
      </c>
    </row>
    <row r="23" spans="1:38" x14ac:dyDescent="0.3">
      <c r="A23" s="47"/>
      <c r="B23" s="424" t="s">
        <v>13</v>
      </c>
      <c r="C23" s="424"/>
      <c r="D23" s="425"/>
      <c r="E23" s="424"/>
      <c r="F23" s="426">
        <v>0.2</v>
      </c>
      <c r="G23" s="426">
        <v>0.2</v>
      </c>
      <c r="H23" s="426">
        <v>0.2</v>
      </c>
      <c r="I23" s="426">
        <v>0.2</v>
      </c>
      <c r="J23" s="427">
        <v>0.2</v>
      </c>
      <c r="K23" s="23"/>
      <c r="L23" s="428"/>
      <c r="M23" s="23"/>
      <c r="N23" s="25"/>
      <c r="O23" s="23"/>
      <c r="P23" s="220"/>
      <c r="Q23" s="220"/>
      <c r="R23" s="436"/>
      <c r="S23" s="220"/>
      <c r="T23" s="436"/>
      <c r="U23" s="220"/>
      <c r="V23" s="398"/>
      <c r="W23" s="13"/>
      <c r="Z23" s="30"/>
    </row>
    <row r="24" spans="1:38" x14ac:dyDescent="0.3">
      <c r="A24" s="47"/>
      <c r="B24" s="23"/>
      <c r="C24" s="23"/>
      <c r="D24" s="220"/>
      <c r="E24" s="23"/>
      <c r="F24" s="23"/>
      <c r="G24" s="23"/>
      <c r="H24" s="23"/>
      <c r="I24" s="23"/>
      <c r="J24" s="23"/>
      <c r="K24" s="23"/>
      <c r="L24" s="428"/>
      <c r="M24" s="23"/>
      <c r="N24" s="25"/>
      <c r="O24" s="23"/>
      <c r="P24" s="220"/>
      <c r="Q24" s="220"/>
      <c r="R24" s="436"/>
      <c r="S24" s="220"/>
      <c r="T24" s="436"/>
      <c r="U24" s="220"/>
      <c r="V24" s="398"/>
      <c r="W24" s="13"/>
      <c r="Z24" s="30"/>
    </row>
    <row r="25" spans="1:38" x14ac:dyDescent="0.3">
      <c r="A25" s="47"/>
      <c r="B25" s="370" t="s">
        <v>37</v>
      </c>
      <c r="C25" s="370"/>
      <c r="D25" s="220"/>
      <c r="E25" s="23"/>
      <c r="F25" s="23"/>
      <c r="G25" s="23"/>
      <c r="H25" s="23"/>
      <c r="I25" s="23"/>
      <c r="J25" s="23"/>
      <c r="K25" s="23"/>
      <c r="L25" s="428"/>
      <c r="M25" s="23"/>
      <c r="N25" s="25"/>
      <c r="O25" s="23"/>
      <c r="P25" s="220" t="s">
        <v>38</v>
      </c>
      <c r="Q25" s="220"/>
      <c r="R25" s="436"/>
      <c r="S25" s="220"/>
      <c r="T25" s="436"/>
      <c r="U25" s="220"/>
      <c r="V25" s="398"/>
      <c r="W25" s="13"/>
      <c r="Z25" s="180"/>
    </row>
    <row r="26" spans="1:38" x14ac:dyDescent="0.3">
      <c r="A26" s="47"/>
      <c r="B26" s="422" t="s">
        <v>39</v>
      </c>
      <c r="C26" s="370"/>
      <c r="D26" s="423">
        <v>33.78</v>
      </c>
      <c r="E26" s="23"/>
      <c r="F26" s="31">
        <v>-138.97</v>
      </c>
      <c r="G26" s="31">
        <v>-7.69</v>
      </c>
      <c r="H26" s="31">
        <v>15.88</v>
      </c>
      <c r="I26" s="31">
        <v>74.37</v>
      </c>
      <c r="J26" s="31">
        <v>-247.3</v>
      </c>
      <c r="K26" s="23"/>
      <c r="L26" s="428"/>
      <c r="M26" s="23"/>
      <c r="N26" s="430">
        <f>SUMPRODUCT(F26:J26,F27:J27)</f>
        <v>-60.742000000000004</v>
      </c>
      <c r="O26" s="424"/>
      <c r="P26" s="439">
        <f>Z13/Z10</f>
        <v>5.0090824247576278E-2</v>
      </c>
      <c r="Q26" s="425"/>
      <c r="R26" s="434">
        <f>N26*P26-(Z16+Z17+Z18)/Z10+(Z15)/Z10</f>
        <v>1.9119566985509393</v>
      </c>
      <c r="S26" s="425"/>
      <c r="T26" s="434">
        <f>R26/(1+$Z$14)</f>
        <v>1.6784801146088484</v>
      </c>
      <c r="U26" s="425"/>
      <c r="V26" s="435">
        <v>0.25</v>
      </c>
      <c r="W26" s="13"/>
    </row>
    <row r="27" spans="1:38" ht="15" thickBot="1" x14ac:dyDescent="0.35">
      <c r="A27" s="47"/>
      <c r="B27" s="424" t="s">
        <v>13</v>
      </c>
      <c r="C27" s="424"/>
      <c r="D27" s="425"/>
      <c r="E27" s="424"/>
      <c r="F27" s="426">
        <v>0.2</v>
      </c>
      <c r="G27" s="426">
        <v>0.2</v>
      </c>
      <c r="H27" s="426">
        <v>0.2</v>
      </c>
      <c r="I27" s="426">
        <v>0.2</v>
      </c>
      <c r="J27" s="427">
        <v>0.2</v>
      </c>
      <c r="K27" s="23"/>
      <c r="L27" s="429"/>
      <c r="M27" s="23"/>
      <c r="N27" s="432"/>
      <c r="O27" s="431"/>
      <c r="P27" s="431"/>
      <c r="Q27" s="431"/>
      <c r="R27" s="431"/>
      <c r="S27" s="431"/>
      <c r="T27" s="431"/>
      <c r="U27" s="431"/>
      <c r="V27" s="431"/>
      <c r="W27" s="13"/>
    </row>
    <row r="28" spans="1:38" ht="15" thickBot="1" x14ac:dyDescent="0.35">
      <c r="A28" s="47"/>
      <c r="B28" s="13"/>
      <c r="C28" s="13"/>
      <c r="D28" s="13"/>
      <c r="E28" s="23"/>
      <c r="F28" s="13"/>
      <c r="G28" s="13"/>
      <c r="H28" s="13"/>
      <c r="I28" s="13"/>
      <c r="J28" s="13"/>
      <c r="K28" s="13"/>
      <c r="L28" s="13"/>
      <c r="M28" s="13"/>
      <c r="N28" s="25"/>
      <c r="O28" s="13"/>
      <c r="P28" s="13"/>
      <c r="Q28" s="13"/>
      <c r="R28" s="13"/>
      <c r="S28" s="13"/>
    </row>
    <row r="29" spans="1:38" x14ac:dyDescent="0.3">
      <c r="A29" s="47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25"/>
      <c r="O29" s="13"/>
      <c r="P29" s="13"/>
      <c r="Q29" s="13"/>
      <c r="R29" s="13"/>
      <c r="T29" s="27" t="s">
        <v>40</v>
      </c>
      <c r="U29" s="16"/>
      <c r="V29" s="367">
        <f>SUMPRODUCT(T10:T26,V10:V26)</f>
        <v>49.847571605078294</v>
      </c>
      <c r="W29" s="30"/>
      <c r="X29" s="30"/>
    </row>
    <row r="30" spans="1:38" ht="15" thickBot="1" x14ac:dyDescent="0.35">
      <c r="A30" s="47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25"/>
      <c r="O30" s="13"/>
      <c r="P30" s="13"/>
      <c r="Q30" s="13"/>
      <c r="R30" s="13"/>
      <c r="T30" s="493" t="s">
        <v>41</v>
      </c>
      <c r="U30" s="492"/>
      <c r="V30" s="28">
        <f>(V29-Valuation!F10)/Valuation!F10</f>
        <v>0.25434251648410394</v>
      </c>
    </row>
    <row r="31" spans="1:38" ht="48" customHeight="1" x14ac:dyDescent="0.3">
      <c r="A31" s="47"/>
      <c r="B31" s="13"/>
      <c r="C31" s="13"/>
      <c r="D31" s="13"/>
      <c r="E31" s="13"/>
      <c r="F31" s="37"/>
      <c r="G31" s="37"/>
      <c r="H31" s="37"/>
      <c r="I31" s="37"/>
      <c r="J31" s="37"/>
      <c r="K31" s="13"/>
      <c r="L31" s="13"/>
      <c r="M31" s="13"/>
      <c r="N31" s="13"/>
      <c r="O31" s="13"/>
      <c r="P31" s="13"/>
      <c r="Q31" s="13"/>
      <c r="R31" s="13"/>
      <c r="V31" s="30"/>
    </row>
    <row r="32" spans="1:38" s="2" customFormat="1" ht="48" customHeight="1" x14ac:dyDescent="0.3">
      <c r="A32" s="237"/>
      <c r="AB32" s="1"/>
    </row>
    <row r="33" spans="22:22" x14ac:dyDescent="0.3">
      <c r="V33" s="30"/>
    </row>
  </sheetData>
  <mergeCells count="15">
    <mergeCell ref="X12:Y12"/>
    <mergeCell ref="X7:Y7"/>
    <mergeCell ref="X8:Y8"/>
    <mergeCell ref="X9:Y9"/>
    <mergeCell ref="X10:Y10"/>
    <mergeCell ref="X11:Y11"/>
    <mergeCell ref="X19:Y19"/>
    <mergeCell ref="X20:Y20"/>
    <mergeCell ref="T30:U30"/>
    <mergeCell ref="X13:Y13"/>
    <mergeCell ref="X14:Y14"/>
    <mergeCell ref="X15:Y15"/>
    <mergeCell ref="X16:Y16"/>
    <mergeCell ref="X17:Y17"/>
    <mergeCell ref="X18:Y18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E084352A9DD44782AAE30CCB053054" ma:contentTypeVersion="5" ma:contentTypeDescription="Create a new document." ma:contentTypeScope="" ma:versionID="0d4b3aeaec911933cf7ab83043743ec4">
  <xsd:schema xmlns:xsd="http://www.w3.org/2001/XMLSchema" xmlns:xs="http://www.w3.org/2001/XMLSchema" xmlns:p="http://schemas.microsoft.com/office/2006/metadata/properties" xmlns:ns2="faf8ab08-df85-4b45-9a25-4853a5308fc4" xmlns:ns3="2992665c-6a9e-43ea-8d81-3e749169cff1" targetNamespace="http://schemas.microsoft.com/office/2006/metadata/properties" ma:root="true" ma:fieldsID="30be19432e397eab5c92934052675e1e" ns2:_="" ns3:_="">
    <xsd:import namespace="faf8ab08-df85-4b45-9a25-4853a5308fc4"/>
    <xsd:import namespace="2992665c-6a9e-43ea-8d81-3e749169cff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8ab08-df85-4b45-9a25-4853a5308f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2665c-6a9e-43ea-8d81-3e749169cff1" elementFormDefault="qualified">
    <xsd:import namespace="http://schemas.microsoft.com/office/2006/documentManagement/types"/>
    <xsd:import namespace="http://schemas.microsoft.com/office/infopath/2007/PartnerControls"/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2B63FF-63DA-46E3-87CE-C2D7A91EB851}"/>
</file>

<file path=customXml/itemProps2.xml><?xml version="1.0" encoding="utf-8"?>
<ds:datastoreItem xmlns:ds="http://schemas.openxmlformats.org/officeDocument/2006/customXml" ds:itemID="{2D02C500-AA46-4C1D-96C3-969D7B962A22}"/>
</file>

<file path=customXml/itemProps3.xml><?xml version="1.0" encoding="utf-8"?>
<ds:datastoreItem xmlns:ds="http://schemas.openxmlformats.org/officeDocument/2006/customXml" ds:itemID="{C00B3292-4C9E-4E89-AC27-5FD015D8AD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Valuation</vt:lpstr>
      <vt:lpstr>BS</vt:lpstr>
      <vt:lpstr>IS</vt:lpstr>
      <vt:lpstr>CF</vt:lpstr>
      <vt:lpstr>Beta</vt:lpstr>
      <vt:lpstr>Obligations</vt:lpstr>
      <vt:lpstr>DCF Growth Rates</vt:lpstr>
      <vt:lpstr>DCF</vt:lpstr>
      <vt:lpstr>Relative</vt:lpstr>
      <vt:lpstr>Historical</vt:lpstr>
      <vt:lpstr>DuPont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AHastings756@gmail.com</dc:creator>
  <cp:lastModifiedBy>AHastings756@gmail.com</cp:lastModifiedBy>
  <dcterms:created xsi:type="dcterms:W3CDTF">2015-12-28T00:50:07Z</dcterms:created>
  <dcterms:modified xsi:type="dcterms:W3CDTF">2016-01-10T20:35:14Z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0x01010007E084352A9DD44782AAE30CCB053054</vt:lpwstr>
  </property>
</Properties>
</file>