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0472" windowHeight="13176" tabRatio="894" activeTab="8"/>
  </bookViews>
  <sheets>
    <sheet name="Valuation" sheetId="8" r:id="rId1"/>
    <sheet name="BS" sheetId="10" r:id="rId2"/>
    <sheet name="IS" sheetId="11" r:id="rId3"/>
    <sheet name="CF" sheetId="12" r:id="rId4"/>
    <sheet name="Beta" sheetId="15" r:id="rId5"/>
    <sheet name="Obligations" sheetId="14" r:id="rId6"/>
    <sheet name="DCF Growth Rates" sheetId="7" r:id="rId7"/>
    <sheet name="DCF" sheetId="13" r:id="rId8"/>
    <sheet name="Comparable" sheetId="5" r:id="rId9"/>
    <sheet name="Historical" sheetId="6" r:id="rId10"/>
  </sheets>
  <definedNames>
    <definedName name="AS2DocOpenMode" hidden="1">"AS2DocumentEdit"</definedName>
    <definedName name="BalSheet" localSheetId="4" hidden="1">{"closed",#N/A,FALSE,"Consolidated Products - Budget";"expanded",#N/A,FALSE,"Consolidated Products - Budget"}</definedName>
    <definedName name="BalSheet" localSheetId="1" hidden="1">{"closed",#N/A,FALSE,"Consolidated Products - Budget";"expanded",#N/A,FALSE,"Consolidated Products - Budget"}</definedName>
    <definedName name="BalSheet" localSheetId="3" hidden="1">{"closed",#N/A,FALSE,"Consolidated Products - Budget";"expanded",#N/A,FALSE,"Consolidated Products - Budget"}</definedName>
    <definedName name="BalSheet" localSheetId="8" hidden="1">{"closed",#N/A,FALSE,"Consolidated Products - Budget";"expanded",#N/A,FALSE,"Consolidated Products - Budget"}</definedName>
    <definedName name="BalSheet" localSheetId="7" hidden="1">{"closed",#N/A,FALSE,"Consolidated Products - Budget";"expanded",#N/A,FALSE,"Consolidated Products - Budget"}</definedName>
    <definedName name="BalSheet" localSheetId="6" hidden="1">{"closed",#N/A,FALSE,"Consolidated Products - Budget";"expanded",#N/A,FALSE,"Consolidated Products - Budget"}</definedName>
    <definedName name="BalSheet" localSheetId="9" hidden="1">{"closed",#N/A,FALSE,"Consolidated Products - Budget";"expanded",#N/A,FALSE,"Consolidated Products - Budget"}</definedName>
    <definedName name="BalSheet" localSheetId="2" hidden="1">{"closed",#N/A,FALSE,"Consolidated Products - Budget";"expanded",#N/A,FALSE,"Consolidated Products - Budget"}</definedName>
    <definedName name="BalSheet" localSheetId="5" hidden="1">{"closed",#N/A,FALSE,"Consolidated Products - Budget";"expanded",#N/A,FALSE,"Consolidated Products - Budget"}</definedName>
    <definedName name="BalSheet" localSheetId="0" hidden="1">{"closed",#N/A,FALSE,"Consolidated Products - Budget";"expanded",#N/A,FALSE,"Consolidated Products - Budget"}</definedName>
    <definedName name="BalSheet" hidden="1">{"closed",#N/A,FALSE,"Consolidated Products - Budget";"expanded",#N/A,FALSE,"Consolidated Products - Budget"}</definedName>
    <definedName name="BS" localSheetId="4" hidden="1">{"closed",#N/A,FALSE,"Consolidated Products - Budget";"expanded",#N/A,FALSE,"Consolidated Products - Budget"}</definedName>
    <definedName name="BS" localSheetId="1" hidden="1">{"closed",#N/A,FALSE,"Consolidated Products - Budget";"expanded",#N/A,FALSE,"Consolidated Products - Budget"}</definedName>
    <definedName name="BS" localSheetId="3" hidden="1">{"closed",#N/A,FALSE,"Consolidated Products - Budget";"expanded",#N/A,FALSE,"Consolidated Products - Budget"}</definedName>
    <definedName name="BS" localSheetId="8" hidden="1">{"closed",#N/A,FALSE,"Consolidated Products - Budget";"expanded",#N/A,FALSE,"Consolidated Products - Budget"}</definedName>
    <definedName name="BS" localSheetId="7" hidden="1">{"closed",#N/A,FALSE,"Consolidated Products - Budget";"expanded",#N/A,FALSE,"Consolidated Products - Budget"}</definedName>
    <definedName name="BS" localSheetId="6" hidden="1">{"closed",#N/A,FALSE,"Consolidated Products - Budget";"expanded",#N/A,FALSE,"Consolidated Products - Budget"}</definedName>
    <definedName name="BS" localSheetId="9" hidden="1">{"closed",#N/A,FALSE,"Consolidated Products - Budget";"expanded",#N/A,FALSE,"Consolidated Products - Budget"}</definedName>
    <definedName name="BS" localSheetId="2" hidden="1">{"closed",#N/A,FALSE,"Consolidated Products - Budget";"expanded",#N/A,FALSE,"Consolidated Products - Budget"}</definedName>
    <definedName name="BS" localSheetId="5" hidden="1">{"closed",#N/A,FALSE,"Consolidated Products - Budget";"expanded",#N/A,FALSE,"Consolidated Products - Budget"}</definedName>
    <definedName name="BS" localSheetId="0" hidden="1">{"closed",#N/A,FALSE,"Consolidated Products - Budget";"expanded",#N/A,FALSE,"Consolidated Products - Budget"}</definedName>
    <definedName name="BS" hidden="1">{"closed",#N/A,FALSE,"Consolidated Products - Budget";"expanded",#N/A,FALSE,"Consolidated Products - Budget"}</definedName>
    <definedName name="Cash" localSheetId="4" hidden="1">{"closed",#N/A,FALSE,"Consolidated Products - Budget";"expanded",#N/A,FALSE,"Consolidated Products - Budget"}</definedName>
    <definedName name="Cash" localSheetId="1" hidden="1">{"closed",#N/A,FALSE,"Consolidated Products - Budget";"expanded",#N/A,FALSE,"Consolidated Products - Budget"}</definedName>
    <definedName name="Cash" localSheetId="3" hidden="1">{"closed",#N/A,FALSE,"Consolidated Products - Budget";"expanded",#N/A,FALSE,"Consolidated Products - Budget"}</definedName>
    <definedName name="Cash" localSheetId="8" hidden="1">{"closed",#N/A,FALSE,"Consolidated Products - Budget";"expanded",#N/A,FALSE,"Consolidated Products - Budget"}</definedName>
    <definedName name="Cash" localSheetId="7" hidden="1">{"closed",#N/A,FALSE,"Consolidated Products - Budget";"expanded",#N/A,FALSE,"Consolidated Products - Budget"}</definedName>
    <definedName name="Cash" localSheetId="6" hidden="1">{"closed",#N/A,FALSE,"Consolidated Products - Budget";"expanded",#N/A,FALSE,"Consolidated Products - Budget"}</definedName>
    <definedName name="Cash" localSheetId="9" hidden="1">{"closed",#N/A,FALSE,"Consolidated Products - Budget";"expanded",#N/A,FALSE,"Consolidated Products - Budget"}</definedName>
    <definedName name="Cash" localSheetId="2" hidden="1">{"closed",#N/A,FALSE,"Consolidated Products - Budget";"expanded",#N/A,FALSE,"Consolidated Products - Budget"}</definedName>
    <definedName name="Cash" localSheetId="5" hidden="1">{"closed",#N/A,FALSE,"Consolidated Products - Budget";"expanded",#N/A,FALSE,"Consolidated Products - Budget"}</definedName>
    <definedName name="Cash" localSheetId="0" hidden="1">{"closed",#N/A,FALSE,"Consolidated Products - Budget";"expanded",#N/A,FALSE,"Consolidated Products - Budget"}</definedName>
    <definedName name="Cash" hidden="1">{"closed",#N/A,FALSE,"Consolidated Products - Budget";"expanded",#N/A,FALSE,"Consolidated Products - Budget"}</definedName>
    <definedName name="MBV" localSheetId="4" hidden="1">{"closed",#N/A,FALSE,"Consolidated Products - Budget";"expanded",#N/A,FALSE,"Consolidated Products - Budget"}</definedName>
    <definedName name="MBV" localSheetId="1" hidden="1">{"closed",#N/A,FALSE,"Consolidated Products - Budget";"expanded",#N/A,FALSE,"Consolidated Products - Budget"}</definedName>
    <definedName name="MBV" localSheetId="3" hidden="1">{"closed",#N/A,FALSE,"Consolidated Products - Budget";"expanded",#N/A,FALSE,"Consolidated Products - Budget"}</definedName>
    <definedName name="MBV" localSheetId="8" hidden="1">{"closed",#N/A,FALSE,"Consolidated Products - Budget";"expanded",#N/A,FALSE,"Consolidated Products - Budget"}</definedName>
    <definedName name="MBV" localSheetId="7" hidden="1">{"closed",#N/A,FALSE,"Consolidated Products - Budget";"expanded",#N/A,FALSE,"Consolidated Products - Budget"}</definedName>
    <definedName name="MBV" localSheetId="6" hidden="1">{"closed",#N/A,FALSE,"Consolidated Products - Budget";"expanded",#N/A,FALSE,"Consolidated Products - Budget"}</definedName>
    <definedName name="MBV" localSheetId="9" hidden="1">{"closed",#N/A,FALSE,"Consolidated Products - Budget";"expanded",#N/A,FALSE,"Consolidated Products - Budget"}</definedName>
    <definedName name="MBV" localSheetId="2" hidden="1">{"closed",#N/A,FALSE,"Consolidated Products - Budget";"expanded",#N/A,FALSE,"Consolidated Products - Budget"}</definedName>
    <definedName name="MBV" localSheetId="5" hidden="1">{"closed",#N/A,FALSE,"Consolidated Products - Budget";"expanded",#N/A,FALSE,"Consolidated Products - Budget"}</definedName>
    <definedName name="MBV" localSheetId="0" hidden="1">{"closed",#N/A,FALSE,"Consolidated Products - Budget";"expanded",#N/A,FALSE,"Consolidated Products - Budget"}</definedName>
    <definedName name="MBV" hidden="1">{"closed",#N/A,FALSE,"Consolidated Products - Budget";"expanded",#N/A,FALSE,"Consolidated Products - Budget"}</definedName>
    <definedName name="Pivot2" localSheetId="4" hidden="1">{"closed",#N/A,FALSE,"Consolidated Products - Budget";"expanded",#N/A,FALSE,"Consolidated Products - Budget"}</definedName>
    <definedName name="Pivot2" localSheetId="1" hidden="1">{"closed",#N/A,FALSE,"Consolidated Products - Budget";"expanded",#N/A,FALSE,"Consolidated Products - Budget"}</definedName>
    <definedName name="Pivot2" localSheetId="3" hidden="1">{"closed",#N/A,FALSE,"Consolidated Products - Budget";"expanded",#N/A,FALSE,"Consolidated Products - Budget"}</definedName>
    <definedName name="Pivot2" localSheetId="8" hidden="1">{"closed",#N/A,FALSE,"Consolidated Products - Budget";"expanded",#N/A,FALSE,"Consolidated Products - Budget"}</definedName>
    <definedName name="Pivot2" localSheetId="7" hidden="1">{"closed",#N/A,FALSE,"Consolidated Products - Budget";"expanded",#N/A,FALSE,"Consolidated Products - Budget"}</definedName>
    <definedName name="Pivot2" localSheetId="6" hidden="1">{"closed",#N/A,FALSE,"Consolidated Products - Budget";"expanded",#N/A,FALSE,"Consolidated Products - Budget"}</definedName>
    <definedName name="Pivot2" localSheetId="9" hidden="1">{"closed",#N/A,FALSE,"Consolidated Products - Budget";"expanded",#N/A,FALSE,"Consolidated Products - Budget"}</definedName>
    <definedName name="Pivot2" localSheetId="2" hidden="1">{"closed",#N/A,FALSE,"Consolidated Products - Budget";"expanded",#N/A,FALSE,"Consolidated Products - Budget"}</definedName>
    <definedName name="Pivot2" localSheetId="5" hidden="1">{"closed",#N/A,FALSE,"Consolidated Products - Budget";"expanded",#N/A,FALSE,"Consolidated Products - Budget"}</definedName>
    <definedName name="Pivot2" localSheetId="0" hidden="1">{"closed",#N/A,FALSE,"Consolidated Products - Budget";"expanded",#N/A,FALSE,"Consolidated Products - Budget"}</definedName>
    <definedName name="Pivot2" hidden="1">{"closed",#N/A,FALSE,"Consolidated Products - Budget";"expanded",#N/A,FALSE,"Consolidated Products - Budget"}</definedName>
    <definedName name="summary" localSheetId="4" hidden="1">{"closed",#N/A,FALSE,"Consolidated Products - Budget";"expanded",#N/A,FALSE,"Consolidated Products - Budget"}</definedName>
    <definedName name="summary" localSheetId="1" hidden="1">{"closed",#N/A,FALSE,"Consolidated Products - Budget";"expanded",#N/A,FALSE,"Consolidated Products - Budget"}</definedName>
    <definedName name="summary" localSheetId="3" hidden="1">{"closed",#N/A,FALSE,"Consolidated Products - Budget";"expanded",#N/A,FALSE,"Consolidated Products - Budget"}</definedName>
    <definedName name="summary" localSheetId="8" hidden="1">{"closed",#N/A,FALSE,"Consolidated Products - Budget";"expanded",#N/A,FALSE,"Consolidated Products - Budget"}</definedName>
    <definedName name="summary" localSheetId="7" hidden="1">{"closed",#N/A,FALSE,"Consolidated Products - Budget";"expanded",#N/A,FALSE,"Consolidated Products - Budget"}</definedName>
    <definedName name="summary" localSheetId="6" hidden="1">{"closed",#N/A,FALSE,"Consolidated Products - Budget";"expanded",#N/A,FALSE,"Consolidated Products - Budget"}</definedName>
    <definedName name="summary" localSheetId="9" hidden="1">{"closed",#N/A,FALSE,"Consolidated Products - Budget";"expanded",#N/A,FALSE,"Consolidated Products - Budget"}</definedName>
    <definedName name="summary" localSheetId="2" hidden="1">{"closed",#N/A,FALSE,"Consolidated Products - Budget";"expanded",#N/A,FALSE,"Consolidated Products - Budget"}</definedName>
    <definedName name="summary" localSheetId="5" hidden="1">{"closed",#N/A,FALSE,"Consolidated Products - Budget";"expanded",#N/A,FALSE,"Consolidated Products - Budget"}</definedName>
    <definedName name="summary" localSheetId="0" hidden="1">{"closed",#N/A,FALSE,"Consolidated Products - Budget";"expanded",#N/A,FALSE,"Consolidated Products - Budget"}</definedName>
    <definedName name="summary" hidden="1">{"closed",#N/A,FALSE,"Consolidated Products - Budget";"expanded",#N/A,FALSE,"Consolidated Products - Budget"}</definedName>
    <definedName name="wrn.prodcon." localSheetId="4" hidden="1">{"closed",#N/A,FALSE,"Consolidated Products - Budget";"expanded",#N/A,FALSE,"Consolidated Products - Budget"}</definedName>
    <definedName name="wrn.prodcon." localSheetId="1" hidden="1">{"closed",#N/A,FALSE,"Consolidated Products - Budget";"expanded",#N/A,FALSE,"Consolidated Products - Budget"}</definedName>
    <definedName name="wrn.prodcon." localSheetId="3" hidden="1">{"closed",#N/A,FALSE,"Consolidated Products - Budget";"expanded",#N/A,FALSE,"Consolidated Products - Budget"}</definedName>
    <definedName name="wrn.prodcon." localSheetId="8" hidden="1">{"closed",#N/A,FALSE,"Consolidated Products - Budget";"expanded",#N/A,FALSE,"Consolidated Products - Budget"}</definedName>
    <definedName name="wrn.prodcon." localSheetId="7" hidden="1">{"closed",#N/A,FALSE,"Consolidated Products - Budget";"expanded",#N/A,FALSE,"Consolidated Products - Budget"}</definedName>
    <definedName name="wrn.prodcon." localSheetId="6" hidden="1">{"closed",#N/A,FALSE,"Consolidated Products - Budget";"expanded",#N/A,FALSE,"Consolidated Products - Budget"}</definedName>
    <definedName name="wrn.prodcon." localSheetId="9" hidden="1">{"closed",#N/A,FALSE,"Consolidated Products - Budget";"expanded",#N/A,FALSE,"Consolidated Products - Budget"}</definedName>
    <definedName name="wrn.prodcon." localSheetId="2" hidden="1">{"closed",#N/A,FALSE,"Consolidated Products - Budget";"expanded",#N/A,FALSE,"Consolidated Products - Budget"}</definedName>
    <definedName name="wrn.prodcon." localSheetId="5" hidden="1">{"closed",#N/A,FALSE,"Consolidated Products - Budget";"expanded",#N/A,FALSE,"Consolidated Products - Budget"}</definedName>
    <definedName name="wrn.prodcon." localSheetId="0" hidden="1">{"closed",#N/A,FALSE,"Consolidated Products - Budget";"expanded",#N/A,FALSE,"Consolidated Products - Budget"}</definedName>
    <definedName name="wrn.prodcon." hidden="1">{"closed",#N/A,FALSE,"Consolidated Products - Budget";"expanded",#N/A,FALSE,"Consolidated Products - Budget"}</definedName>
    <definedName name="XRefCopyRangeCount" hidden="1">2</definedName>
  </definedNames>
  <calcPr calcId="144525"/>
</workbook>
</file>

<file path=xl/calcChain.xml><?xml version="1.0" encoding="utf-8"?>
<calcChain xmlns="http://schemas.openxmlformats.org/spreadsheetml/2006/main">
  <c r="E8" i="8" l="1"/>
  <c r="E6" i="8"/>
  <c r="K25" i="13"/>
  <c r="K20" i="13"/>
  <c r="K21" i="13"/>
  <c r="K22" i="13"/>
  <c r="K7" i="13"/>
  <c r="L7" i="13"/>
  <c r="L15" i="13"/>
  <c r="M7" i="13"/>
  <c r="M8" i="13"/>
  <c r="M12" i="13"/>
  <c r="M13" i="13"/>
  <c r="M14" i="13"/>
  <c r="M17" i="13"/>
  <c r="M18" i="13"/>
  <c r="M19" i="13"/>
  <c r="M20" i="13"/>
  <c r="M21" i="13"/>
  <c r="M16" i="13"/>
  <c r="M28" i="13"/>
  <c r="L25" i="13"/>
  <c r="M25" i="13"/>
  <c r="M27" i="13"/>
  <c r="K26" i="13"/>
  <c r="L26" i="13"/>
  <c r="M26" i="13"/>
  <c r="M29" i="13"/>
  <c r="L28" i="13"/>
  <c r="L27" i="13"/>
  <c r="L29" i="13"/>
  <c r="M30" i="13"/>
  <c r="M32" i="13"/>
  <c r="M33" i="13"/>
  <c r="M34" i="13"/>
  <c r="M22" i="13"/>
  <c r="L23" i="13"/>
  <c r="M23" i="13"/>
  <c r="M24" i="13"/>
  <c r="M15" i="13"/>
  <c r="M9" i="13"/>
  <c r="N25" i="13"/>
  <c r="N27" i="13"/>
  <c r="N7" i="13"/>
  <c r="N28" i="13"/>
  <c r="N26" i="13"/>
  <c r="N29" i="13"/>
  <c r="N30" i="13"/>
  <c r="N8" i="13"/>
  <c r="N12" i="13"/>
  <c r="N13" i="13"/>
  <c r="N14" i="13"/>
  <c r="N17" i="13"/>
  <c r="N18" i="13"/>
  <c r="N19" i="13"/>
  <c r="N20" i="13"/>
  <c r="N21" i="13"/>
  <c r="N16" i="13"/>
  <c r="N32" i="13"/>
  <c r="N33" i="13"/>
  <c r="N34" i="13"/>
  <c r="M10" i="13"/>
  <c r="K27" i="13"/>
  <c r="K28" i="13"/>
  <c r="K29" i="13"/>
  <c r="L30" i="13"/>
  <c r="L8" i="13"/>
  <c r="L12" i="13"/>
  <c r="L13" i="13"/>
  <c r="L14" i="13"/>
  <c r="L17" i="13"/>
  <c r="L18" i="13"/>
  <c r="L19" i="13"/>
  <c r="L20" i="13"/>
  <c r="L21" i="13"/>
  <c r="L16" i="13"/>
  <c r="L32" i="13"/>
  <c r="L33" i="13"/>
  <c r="L34" i="13"/>
  <c r="L37" i="13"/>
  <c r="L22" i="13"/>
  <c r="L9" i="13"/>
  <c r="L10" i="13"/>
  <c r="K23" i="13"/>
  <c r="K30" i="13"/>
  <c r="K8" i="13"/>
  <c r="K12" i="13"/>
  <c r="K13" i="13"/>
  <c r="K14" i="13"/>
  <c r="K17" i="13"/>
  <c r="K18" i="13"/>
  <c r="K19" i="13"/>
  <c r="K16" i="13"/>
  <c r="K32" i="13"/>
  <c r="K33" i="13"/>
  <c r="K34" i="13"/>
  <c r="K24" i="13"/>
  <c r="K15" i="13"/>
  <c r="K9" i="13"/>
  <c r="K10" i="13"/>
  <c r="O25" i="13"/>
  <c r="O27" i="13"/>
  <c r="O7" i="13"/>
  <c r="O28" i="13"/>
  <c r="O26" i="13"/>
  <c r="O29" i="13"/>
  <c r="O30" i="13"/>
  <c r="O8" i="13"/>
  <c r="O12" i="13"/>
  <c r="O13" i="13"/>
  <c r="O14" i="13"/>
  <c r="O17" i="13"/>
  <c r="O18" i="13"/>
  <c r="O19" i="13"/>
  <c r="O20" i="13"/>
  <c r="O21" i="13"/>
  <c r="O16" i="13"/>
  <c r="O32" i="13"/>
  <c r="O33" i="13"/>
  <c r="O34" i="13"/>
  <c r="E41" i="13"/>
  <c r="M37" i="13"/>
  <c r="K37" i="13"/>
  <c r="N37" i="13"/>
  <c r="O37" i="13"/>
  <c r="E40" i="13"/>
  <c r="E42" i="13"/>
  <c r="E45" i="13"/>
  <c r="E48" i="13"/>
  <c r="L48" i="13"/>
  <c r="Q40" i="13"/>
  <c r="Q41" i="13"/>
  <c r="E44" i="13"/>
  <c r="O40" i="13"/>
  <c r="O41" i="13"/>
  <c r="E47" i="13"/>
  <c r="H68" i="7"/>
  <c r="H67" i="7"/>
  <c r="H66" i="7"/>
  <c r="G66" i="7"/>
  <c r="F66" i="7"/>
  <c r="E66" i="7"/>
  <c r="D66" i="7"/>
  <c r="C66" i="7"/>
  <c r="C65" i="7"/>
  <c r="D65" i="7"/>
  <c r="E65" i="7"/>
  <c r="F65" i="7"/>
  <c r="G65" i="7"/>
  <c r="H65" i="7"/>
  <c r="D60" i="7"/>
  <c r="C60" i="7"/>
  <c r="D63" i="7"/>
  <c r="E60" i="7"/>
  <c r="E63" i="7"/>
  <c r="F60" i="7"/>
  <c r="F63" i="7"/>
  <c r="G60" i="7"/>
  <c r="G63" i="7"/>
  <c r="H60" i="7"/>
  <c r="H63" i="7"/>
  <c r="K63" i="7"/>
  <c r="J63" i="7"/>
  <c r="D62" i="7"/>
  <c r="E62" i="7"/>
  <c r="F62" i="7"/>
  <c r="G62" i="7"/>
  <c r="H62" i="7"/>
  <c r="K62" i="7"/>
  <c r="J62" i="7"/>
  <c r="C6" i="7"/>
  <c r="C61" i="7"/>
  <c r="D6" i="7"/>
  <c r="D61" i="7"/>
  <c r="E6" i="7"/>
  <c r="E61" i="7"/>
  <c r="F6" i="7"/>
  <c r="F61" i="7"/>
  <c r="G6" i="7"/>
  <c r="G61" i="7"/>
  <c r="H6" i="7"/>
  <c r="H61" i="7"/>
  <c r="K61" i="7"/>
  <c r="J61" i="7"/>
  <c r="J28" i="13"/>
  <c r="J29" i="13"/>
  <c r="D35" i="7"/>
  <c r="E35" i="7"/>
  <c r="F35" i="7"/>
  <c r="G35" i="7"/>
  <c r="H35" i="7"/>
  <c r="C35" i="7"/>
  <c r="C36" i="7"/>
  <c r="C30" i="7"/>
  <c r="C31" i="7"/>
  <c r="J7" i="13"/>
  <c r="N15" i="13"/>
  <c r="O15" i="13"/>
  <c r="D40" i="7"/>
  <c r="E40" i="7"/>
  <c r="F40" i="7"/>
  <c r="G40" i="7"/>
  <c r="H40" i="7"/>
  <c r="C40" i="7"/>
  <c r="D38" i="7"/>
  <c r="E38" i="7"/>
  <c r="F38" i="7"/>
  <c r="G38" i="7"/>
  <c r="H38" i="7"/>
  <c r="K38" i="7"/>
  <c r="J38" i="7"/>
  <c r="D37" i="7"/>
  <c r="E37" i="7"/>
  <c r="F37" i="7"/>
  <c r="G37" i="7"/>
  <c r="H37" i="7"/>
  <c r="K37" i="7"/>
  <c r="J37" i="7"/>
  <c r="D36" i="7"/>
  <c r="E36" i="7"/>
  <c r="F36" i="7"/>
  <c r="G36" i="7"/>
  <c r="H36" i="7"/>
  <c r="K36" i="7"/>
  <c r="J36" i="7"/>
  <c r="K7" i="6"/>
  <c r="F7" i="6"/>
  <c r="G7" i="6"/>
  <c r="H7" i="6"/>
  <c r="I7" i="6"/>
  <c r="J7" i="6"/>
  <c r="E7" i="6"/>
  <c r="AA9" i="5"/>
  <c r="P10" i="5"/>
  <c r="N18" i="5"/>
  <c r="T18" i="5" s="1"/>
  <c r="N22" i="5"/>
  <c r="N26" i="5"/>
  <c r="N14" i="5"/>
  <c r="R14" i="5" s="1"/>
  <c r="T14" i="5" s="1"/>
  <c r="N10" i="5"/>
  <c r="R10" i="5" s="1"/>
  <c r="T10" i="5" s="1"/>
  <c r="AA11" i="5"/>
  <c r="AA13" i="5"/>
  <c r="AA14" i="5"/>
  <c r="AA15" i="5"/>
  <c r="AA16" i="5"/>
  <c r="D25" i="7"/>
  <c r="C25" i="7"/>
  <c r="D27" i="7"/>
  <c r="E25" i="7"/>
  <c r="E27" i="7"/>
  <c r="F25" i="7"/>
  <c r="F27" i="7"/>
  <c r="G25" i="7"/>
  <c r="G27" i="7"/>
  <c r="H25" i="7"/>
  <c r="H27" i="7"/>
  <c r="J27" i="7"/>
  <c r="D68" i="7"/>
  <c r="D67" i="7"/>
  <c r="D55" i="7"/>
  <c r="C55" i="7"/>
  <c r="D58" i="7"/>
  <c r="D57" i="7"/>
  <c r="D56" i="7"/>
  <c r="D50" i="7"/>
  <c r="C50" i="7"/>
  <c r="D53" i="7"/>
  <c r="D52" i="7"/>
  <c r="D51" i="7"/>
  <c r="D45" i="7"/>
  <c r="C45" i="7"/>
  <c r="D48" i="7"/>
  <c r="D47" i="7"/>
  <c r="D46" i="7"/>
  <c r="D43" i="7"/>
  <c r="D42" i="7"/>
  <c r="D41" i="7"/>
  <c r="D30" i="7"/>
  <c r="D33" i="7"/>
  <c r="D31" i="7"/>
  <c r="D28" i="7"/>
  <c r="D26" i="7"/>
  <c r="D20" i="7"/>
  <c r="C20" i="7"/>
  <c r="D23" i="7"/>
  <c r="D22" i="7"/>
  <c r="D21" i="7"/>
  <c r="D15" i="7"/>
  <c r="C15" i="7"/>
  <c r="D18" i="7"/>
  <c r="D17" i="7"/>
  <c r="D16" i="7"/>
  <c r="D10" i="7"/>
  <c r="C10" i="7"/>
  <c r="D13" i="7"/>
  <c r="D12" i="7"/>
  <c r="D11" i="7"/>
  <c r="D8" i="7"/>
  <c r="D7" i="7"/>
  <c r="E79" i="7"/>
  <c r="E81" i="7"/>
  <c r="F79" i="7"/>
  <c r="G79" i="7"/>
  <c r="H79" i="7"/>
  <c r="E82" i="7"/>
  <c r="F82" i="7"/>
  <c r="G82" i="7"/>
  <c r="H82" i="7"/>
  <c r="I82" i="7"/>
  <c r="D82" i="7"/>
  <c r="D79" i="7"/>
  <c r="E85" i="7"/>
  <c r="F85" i="7"/>
  <c r="G85" i="7"/>
  <c r="H85" i="7"/>
  <c r="I85" i="7"/>
  <c r="D85" i="7"/>
  <c r="E50" i="7"/>
  <c r="F50" i="7"/>
  <c r="G50" i="7"/>
  <c r="H50" i="7"/>
  <c r="E45" i="7"/>
  <c r="F45" i="7"/>
  <c r="G45" i="7"/>
  <c r="H45" i="7"/>
  <c r="D70" i="7"/>
  <c r="E70" i="7"/>
  <c r="F70" i="7"/>
  <c r="G70" i="7"/>
  <c r="H70" i="7"/>
  <c r="C70" i="7"/>
  <c r="E55" i="7"/>
  <c r="F55" i="7"/>
  <c r="G55" i="7"/>
  <c r="H55" i="7"/>
  <c r="E30" i="7"/>
  <c r="F30" i="7"/>
  <c r="G30" i="7"/>
  <c r="H30" i="7"/>
  <c r="E20" i="7"/>
  <c r="F20" i="7"/>
  <c r="G20" i="7"/>
  <c r="H20" i="7"/>
  <c r="E18" i="13"/>
  <c r="E15" i="7"/>
  <c r="F15" i="7"/>
  <c r="G15" i="7"/>
  <c r="H15" i="7"/>
  <c r="E10" i="7"/>
  <c r="F10" i="7"/>
  <c r="G10" i="7"/>
  <c r="H10" i="7"/>
  <c r="J25" i="13"/>
  <c r="J26" i="13"/>
  <c r="J27" i="13"/>
  <c r="E43" i="13"/>
  <c r="G17" i="14"/>
  <c r="F17" i="14"/>
  <c r="E17" i="14"/>
  <c r="C18" i="14"/>
  <c r="L46" i="13"/>
  <c r="E50" i="13"/>
  <c r="E49" i="13"/>
  <c r="F17" i="13"/>
  <c r="F25" i="13"/>
  <c r="F27" i="13"/>
  <c r="F26" i="13"/>
  <c r="F28" i="13"/>
  <c r="F29" i="13"/>
  <c r="E25" i="13"/>
  <c r="E27" i="13"/>
  <c r="E26" i="13"/>
  <c r="E28" i="13"/>
  <c r="E29" i="13"/>
  <c r="F30" i="13"/>
  <c r="F32" i="13"/>
  <c r="F34" i="13"/>
  <c r="F33" i="13"/>
  <c r="F23" i="13"/>
  <c r="G23" i="13"/>
  <c r="H23" i="13"/>
  <c r="I23" i="13"/>
  <c r="J23" i="13"/>
  <c r="E23" i="13"/>
  <c r="E24" i="13"/>
  <c r="G28" i="13"/>
  <c r="H28" i="13"/>
  <c r="I28" i="13"/>
  <c r="G27" i="13"/>
  <c r="H27" i="13"/>
  <c r="I27" i="13"/>
  <c r="G26" i="13"/>
  <c r="H26" i="13"/>
  <c r="I26" i="13"/>
  <c r="G25" i="13"/>
  <c r="H25" i="13"/>
  <c r="I25" i="13"/>
  <c r="F21" i="13"/>
  <c r="G21" i="13"/>
  <c r="H21" i="13"/>
  <c r="I21" i="13"/>
  <c r="J21" i="13"/>
  <c r="E21" i="13"/>
  <c r="F18" i="13"/>
  <c r="G18" i="13"/>
  <c r="H18" i="13"/>
  <c r="I18" i="13"/>
  <c r="J18" i="13"/>
  <c r="F19" i="13"/>
  <c r="G19" i="13"/>
  <c r="H19" i="13"/>
  <c r="I19" i="13"/>
  <c r="J19" i="13"/>
  <c r="F20" i="13"/>
  <c r="G20" i="13"/>
  <c r="H20" i="13"/>
  <c r="I20" i="13"/>
  <c r="J20" i="13"/>
  <c r="E20" i="13"/>
  <c r="E19" i="13"/>
  <c r="F15" i="13"/>
  <c r="G15" i="13"/>
  <c r="H15" i="13"/>
  <c r="I15" i="13"/>
  <c r="J15" i="13"/>
  <c r="E15" i="13"/>
  <c r="F22" i="13"/>
  <c r="G22" i="13"/>
  <c r="H22" i="13"/>
  <c r="I22" i="13"/>
  <c r="J22" i="13"/>
  <c r="E22" i="13"/>
  <c r="F12" i="13"/>
  <c r="G12" i="13"/>
  <c r="H12" i="13"/>
  <c r="I12" i="13"/>
  <c r="J12" i="13"/>
  <c r="E12" i="13"/>
  <c r="F13" i="13"/>
  <c r="G13" i="13"/>
  <c r="H13" i="13"/>
  <c r="I13" i="13"/>
  <c r="J13" i="13"/>
  <c r="E13" i="13"/>
  <c r="E8" i="13"/>
  <c r="G29" i="13"/>
  <c r="H29" i="13"/>
  <c r="I29" i="13"/>
  <c r="E7" i="13"/>
  <c r="G33" i="13"/>
  <c r="H33" i="13"/>
  <c r="I33" i="13"/>
  <c r="J33" i="13"/>
  <c r="E33" i="13"/>
  <c r="F16" i="13"/>
  <c r="G16" i="13"/>
  <c r="H16" i="13"/>
  <c r="I16" i="13"/>
  <c r="J16" i="13"/>
  <c r="E16" i="13"/>
  <c r="G6" i="15"/>
  <c r="G10" i="15"/>
  <c r="H8" i="15"/>
  <c r="H7" i="15"/>
  <c r="H6" i="15"/>
  <c r="H5" i="15"/>
  <c r="G5" i="15"/>
  <c r="G7" i="15"/>
  <c r="G8" i="15"/>
  <c r="F8" i="15"/>
  <c r="F5" i="15"/>
  <c r="F7" i="15"/>
  <c r="F6" i="15"/>
  <c r="Z63" i="15"/>
  <c r="Z64" i="15"/>
  <c r="Z65" i="15"/>
  <c r="Z66" i="15"/>
  <c r="Z67" i="15"/>
  <c r="X63" i="15"/>
  <c r="X64" i="15"/>
  <c r="X65" i="15"/>
  <c r="X66" i="15"/>
  <c r="X67" i="15"/>
  <c r="T259" i="15"/>
  <c r="T260" i="15"/>
  <c r="T261" i="15"/>
  <c r="T262" i="15"/>
  <c r="T263" i="15"/>
  <c r="T264" i="15"/>
  <c r="T265" i="15"/>
  <c r="T266" i="15"/>
  <c r="T267" i="15"/>
  <c r="T268" i="15"/>
  <c r="R267" i="15"/>
  <c r="R268" i="15"/>
  <c r="R258" i="15"/>
  <c r="R259" i="15"/>
  <c r="R260" i="15"/>
  <c r="R261" i="15"/>
  <c r="R262" i="15"/>
  <c r="R263" i="15"/>
  <c r="R264" i="15"/>
  <c r="R265" i="15"/>
  <c r="R266" i="15"/>
  <c r="N1226" i="15"/>
  <c r="N1227" i="15"/>
  <c r="N1228" i="15"/>
  <c r="N1229" i="15"/>
  <c r="N1230" i="15"/>
  <c r="N1231" i="15"/>
  <c r="N1232" i="15"/>
  <c r="N1233" i="15"/>
  <c r="N1234" i="15"/>
  <c r="N1235" i="15"/>
  <c r="N1236" i="15"/>
  <c r="N1237" i="15"/>
  <c r="N1238" i="15"/>
  <c r="N1239" i="15"/>
  <c r="N1240" i="15"/>
  <c r="N1241" i="15"/>
  <c r="N1242" i="15"/>
  <c r="N1243" i="15"/>
  <c r="N1244" i="15"/>
  <c r="N1245" i="15"/>
  <c r="N1246" i="15"/>
  <c r="N1247" i="15"/>
  <c r="N1248" i="15"/>
  <c r="N1249" i="15"/>
  <c r="N1250" i="15"/>
  <c r="N1251" i="15"/>
  <c r="N1252" i="15"/>
  <c r="N1253" i="15"/>
  <c r="N1254" i="15"/>
  <c r="N1255" i="15"/>
  <c r="N1256" i="15"/>
  <c r="N1257" i="15"/>
  <c r="N1258" i="15"/>
  <c r="N1259" i="15"/>
  <c r="N1260" i="15"/>
  <c r="N1261" i="15"/>
  <c r="N1262" i="15"/>
  <c r="N1263" i="15"/>
  <c r="N1264" i="15"/>
  <c r="N1220" i="15"/>
  <c r="N1225" i="15"/>
  <c r="L1217" i="15"/>
  <c r="L1218" i="15"/>
  <c r="L1219" i="15"/>
  <c r="L1220" i="15"/>
  <c r="L1221" i="15"/>
  <c r="L1222" i="15"/>
  <c r="L1223" i="15"/>
  <c r="L1224" i="15"/>
  <c r="L1225" i="15"/>
  <c r="L1226" i="15"/>
  <c r="L1227" i="15"/>
  <c r="L1228" i="15"/>
  <c r="L1229" i="15"/>
  <c r="L1230" i="15"/>
  <c r="L1231" i="15"/>
  <c r="L1232" i="15"/>
  <c r="L1233" i="15"/>
  <c r="L1234" i="15"/>
  <c r="L1235" i="15"/>
  <c r="L1236" i="15"/>
  <c r="L1237" i="15"/>
  <c r="L1238" i="15"/>
  <c r="L1239" i="15"/>
  <c r="L1240" i="15"/>
  <c r="L1241" i="15"/>
  <c r="L1242" i="15"/>
  <c r="L1243" i="15"/>
  <c r="L1244" i="15"/>
  <c r="L1245" i="15"/>
  <c r="L1246" i="15"/>
  <c r="L1247" i="15"/>
  <c r="L1248" i="15"/>
  <c r="L1249" i="15"/>
  <c r="L1250" i="15"/>
  <c r="L1251" i="15"/>
  <c r="L1252" i="15"/>
  <c r="L1253" i="15"/>
  <c r="L1254" i="15"/>
  <c r="L1255" i="15"/>
  <c r="L1256" i="15"/>
  <c r="L1257" i="15"/>
  <c r="L1258" i="15"/>
  <c r="L1259" i="15"/>
  <c r="L1260" i="15"/>
  <c r="L1261" i="15"/>
  <c r="L1262" i="15"/>
  <c r="L1263" i="15"/>
  <c r="L1264" i="15"/>
  <c r="L1216" i="15"/>
  <c r="J8" i="13"/>
  <c r="H11" i="6"/>
  <c r="I11" i="6"/>
  <c r="J11" i="6"/>
  <c r="H16" i="6"/>
  <c r="H12" i="6"/>
  <c r="I12" i="6"/>
  <c r="J12" i="6"/>
  <c r="H17" i="6"/>
  <c r="H18" i="6"/>
  <c r="H19" i="6"/>
  <c r="I16" i="6"/>
  <c r="I17" i="6"/>
  <c r="I18" i="6"/>
  <c r="I19" i="6"/>
  <c r="H20" i="6"/>
  <c r="H21" i="6"/>
  <c r="H22" i="6"/>
  <c r="F11" i="6"/>
  <c r="G11" i="6"/>
  <c r="E16" i="6"/>
  <c r="F12" i="6"/>
  <c r="G12" i="6"/>
  <c r="E17" i="6"/>
  <c r="E18" i="6"/>
  <c r="E19" i="6"/>
  <c r="F16" i="6"/>
  <c r="F17" i="6"/>
  <c r="F18" i="6"/>
  <c r="F19" i="6"/>
  <c r="E20" i="6"/>
  <c r="E21" i="6"/>
  <c r="E22" i="6"/>
  <c r="N9" i="13"/>
  <c r="N10" i="13"/>
  <c r="L24" i="13"/>
  <c r="D80" i="7"/>
  <c r="E80" i="7"/>
  <c r="F80" i="7"/>
  <c r="G80" i="7"/>
  <c r="H80" i="7"/>
  <c r="I80" i="7"/>
  <c r="K80" i="7"/>
  <c r="AA12" i="5"/>
  <c r="P22" i="5"/>
  <c r="R22" i="5"/>
  <c r="AA10" i="5"/>
  <c r="P18" i="5"/>
  <c r="AA7" i="5"/>
  <c r="P14" i="5"/>
  <c r="P26" i="5"/>
  <c r="R26" i="5"/>
  <c r="T26" i="5" s="1"/>
  <c r="C71" i="7"/>
  <c r="E17" i="7"/>
  <c r="C11" i="7"/>
  <c r="C16" i="7"/>
  <c r="C21" i="7"/>
  <c r="C26" i="7"/>
  <c r="E26" i="7"/>
  <c r="F26" i="7"/>
  <c r="G26" i="7"/>
  <c r="H26" i="7"/>
  <c r="J26" i="7"/>
  <c r="G28" i="7"/>
  <c r="N23" i="13"/>
  <c r="I7" i="13"/>
  <c r="I8" i="13"/>
  <c r="I17" i="13"/>
  <c r="O9" i="13"/>
  <c r="O10" i="13"/>
  <c r="O23" i="13"/>
  <c r="E84" i="7"/>
  <c r="F84" i="7"/>
  <c r="G84" i="7"/>
  <c r="H84" i="7"/>
  <c r="I84" i="7"/>
  <c r="D84" i="7"/>
  <c r="I86" i="7"/>
  <c r="I87" i="7"/>
  <c r="H87" i="7"/>
  <c r="G87" i="7"/>
  <c r="F87" i="7"/>
  <c r="E87" i="7"/>
  <c r="E86" i="7"/>
  <c r="F86" i="7"/>
  <c r="G86" i="7"/>
  <c r="H86" i="7"/>
  <c r="D81" i="7"/>
  <c r="F81" i="7"/>
  <c r="G81" i="7"/>
  <c r="H81" i="7"/>
  <c r="I81" i="7"/>
  <c r="D83" i="7"/>
  <c r="E83" i="7"/>
  <c r="F83" i="7"/>
  <c r="G83" i="7"/>
  <c r="H83" i="7"/>
  <c r="I83" i="7"/>
  <c r="J24" i="13"/>
  <c r="N22" i="13"/>
  <c r="N24" i="13"/>
  <c r="O22" i="13"/>
  <c r="O24" i="13"/>
  <c r="G24" i="13"/>
  <c r="H24" i="13"/>
  <c r="I24" i="13"/>
  <c r="F7" i="13"/>
  <c r="F8" i="13"/>
  <c r="G7" i="13"/>
  <c r="G8" i="13"/>
  <c r="H7" i="13"/>
  <c r="H8" i="13"/>
  <c r="E17" i="13"/>
  <c r="G17" i="13"/>
  <c r="H17" i="13"/>
  <c r="J17" i="13"/>
  <c r="C46" i="7"/>
  <c r="E46" i="7"/>
  <c r="F46" i="7"/>
  <c r="G46" i="7"/>
  <c r="H46" i="7"/>
  <c r="J46" i="7"/>
  <c r="K46" i="7"/>
  <c r="E47" i="7"/>
  <c r="F47" i="7"/>
  <c r="G47" i="7"/>
  <c r="H47" i="7"/>
  <c r="J47" i="7"/>
  <c r="K47" i="7"/>
  <c r="E48" i="7"/>
  <c r="F48" i="7"/>
  <c r="G48" i="7"/>
  <c r="H48" i="7"/>
  <c r="J48" i="7"/>
  <c r="K48" i="7"/>
  <c r="E43" i="7"/>
  <c r="F43" i="7"/>
  <c r="G43" i="7"/>
  <c r="H43" i="7"/>
  <c r="K43" i="7"/>
  <c r="J43" i="7"/>
  <c r="E42" i="7"/>
  <c r="F42" i="7"/>
  <c r="G42" i="7"/>
  <c r="H42" i="7"/>
  <c r="K42" i="7"/>
  <c r="J42" i="7"/>
  <c r="C41" i="7"/>
  <c r="E41" i="7"/>
  <c r="F41" i="7"/>
  <c r="G41" i="7"/>
  <c r="H41" i="7"/>
  <c r="K41" i="7"/>
  <c r="J41" i="7"/>
  <c r="J30" i="13"/>
  <c r="J32" i="13"/>
  <c r="J34" i="13"/>
  <c r="I9" i="13"/>
  <c r="I10" i="13"/>
  <c r="D32" i="7"/>
  <c r="E32" i="7"/>
  <c r="F32" i="7"/>
  <c r="G32" i="7"/>
  <c r="H32" i="7"/>
  <c r="J32" i="7"/>
  <c r="E31" i="7"/>
  <c r="F31" i="7"/>
  <c r="G31" i="7"/>
  <c r="H31" i="7"/>
  <c r="J31" i="7"/>
  <c r="G33" i="7"/>
  <c r="E33" i="7"/>
  <c r="F33" i="7"/>
  <c r="H33" i="7"/>
  <c r="K33" i="7"/>
  <c r="J33" i="7"/>
  <c r="K32" i="7"/>
  <c r="K31" i="7"/>
  <c r="D71" i="7"/>
  <c r="E71" i="7"/>
  <c r="F71" i="7"/>
  <c r="G71" i="7"/>
  <c r="H71" i="7"/>
  <c r="K71" i="7"/>
  <c r="J71" i="7"/>
  <c r="J66" i="7"/>
  <c r="E67" i="7"/>
  <c r="F67" i="7"/>
  <c r="G67" i="7"/>
  <c r="J67" i="7"/>
  <c r="C56" i="7"/>
  <c r="E56" i="7"/>
  <c r="F56" i="7"/>
  <c r="G56" i="7"/>
  <c r="H56" i="7"/>
  <c r="J56" i="7"/>
  <c r="C51" i="7"/>
  <c r="E51" i="7"/>
  <c r="F51" i="7"/>
  <c r="G51" i="7"/>
  <c r="H51" i="7"/>
  <c r="J51" i="7"/>
  <c r="E21" i="7"/>
  <c r="F21" i="7"/>
  <c r="G21" i="7"/>
  <c r="H21" i="7"/>
  <c r="J21" i="7"/>
  <c r="E16" i="7"/>
  <c r="F16" i="7"/>
  <c r="G16" i="7"/>
  <c r="H16" i="7"/>
  <c r="J16" i="7"/>
  <c r="E11" i="7"/>
  <c r="F11" i="7"/>
  <c r="G11" i="7"/>
  <c r="H11" i="7"/>
  <c r="J11" i="7"/>
  <c r="E23" i="7"/>
  <c r="F23" i="7"/>
  <c r="G23" i="7"/>
  <c r="H23" i="7"/>
  <c r="J23" i="7"/>
  <c r="D74" i="7"/>
  <c r="E74" i="7"/>
  <c r="F74" i="7"/>
  <c r="G74" i="7"/>
  <c r="H74" i="7"/>
  <c r="K74" i="7"/>
  <c r="J74" i="7"/>
  <c r="K16" i="7"/>
  <c r="F17" i="7"/>
  <c r="G17" i="7"/>
  <c r="H17" i="7"/>
  <c r="J17" i="7"/>
  <c r="K17" i="7"/>
  <c r="E18" i="7"/>
  <c r="F18" i="7"/>
  <c r="G18" i="7"/>
  <c r="H18" i="7"/>
  <c r="J18" i="7"/>
  <c r="K18" i="7"/>
  <c r="K21" i="7"/>
  <c r="E22" i="7"/>
  <c r="F22" i="7"/>
  <c r="G22" i="7"/>
  <c r="H22" i="7"/>
  <c r="J22" i="7"/>
  <c r="K22" i="7"/>
  <c r="K23" i="7"/>
  <c r="K26" i="7"/>
  <c r="K27" i="7"/>
  <c r="E28" i="7"/>
  <c r="F28" i="7"/>
  <c r="H28" i="7"/>
  <c r="J28" i="7"/>
  <c r="K28" i="7"/>
  <c r="K51" i="7"/>
  <c r="E52" i="7"/>
  <c r="F52" i="7"/>
  <c r="G52" i="7"/>
  <c r="H52" i="7"/>
  <c r="J52" i="7"/>
  <c r="K52" i="7"/>
  <c r="E53" i="7"/>
  <c r="F53" i="7"/>
  <c r="G53" i="7"/>
  <c r="H53" i="7"/>
  <c r="J53" i="7"/>
  <c r="K53" i="7"/>
  <c r="K56" i="7"/>
  <c r="E57" i="7"/>
  <c r="F57" i="7"/>
  <c r="G57" i="7"/>
  <c r="H57" i="7"/>
  <c r="J57" i="7"/>
  <c r="K57" i="7"/>
  <c r="E58" i="7"/>
  <c r="F58" i="7"/>
  <c r="G58" i="7"/>
  <c r="H58" i="7"/>
  <c r="J58" i="7"/>
  <c r="K58" i="7"/>
  <c r="K66" i="7"/>
  <c r="K67" i="7"/>
  <c r="E68" i="7"/>
  <c r="F68" i="7"/>
  <c r="G68" i="7"/>
  <c r="J68" i="7"/>
  <c r="K68" i="7"/>
  <c r="D72" i="7"/>
  <c r="E72" i="7"/>
  <c r="F72" i="7"/>
  <c r="G72" i="7"/>
  <c r="H72" i="7"/>
  <c r="J72" i="7"/>
  <c r="K72" i="7"/>
  <c r="D73" i="7"/>
  <c r="E73" i="7"/>
  <c r="F73" i="7"/>
  <c r="G73" i="7"/>
  <c r="H73" i="7"/>
  <c r="J73" i="7"/>
  <c r="K73" i="7"/>
  <c r="K11" i="7"/>
  <c r="E12" i="7"/>
  <c r="F12" i="7"/>
  <c r="G12" i="7"/>
  <c r="H12" i="7"/>
  <c r="K12" i="7"/>
  <c r="E13" i="7"/>
  <c r="F13" i="7"/>
  <c r="G13" i="7"/>
  <c r="H13" i="7"/>
  <c r="K13" i="7"/>
  <c r="J13" i="7"/>
  <c r="J12" i="7"/>
  <c r="E8" i="7"/>
  <c r="F8" i="7"/>
  <c r="G8" i="7"/>
  <c r="H8" i="7"/>
  <c r="K8" i="7"/>
  <c r="E7" i="7"/>
  <c r="F7" i="7"/>
  <c r="G7" i="7"/>
  <c r="H7" i="7"/>
  <c r="K7" i="7"/>
  <c r="J8" i="7"/>
  <c r="J7" i="7"/>
  <c r="C72" i="7"/>
  <c r="X8" i="15"/>
  <c r="X9" i="15"/>
  <c r="X10" i="15"/>
  <c r="X11" i="15"/>
  <c r="X12" i="15"/>
  <c r="X13" i="15"/>
  <c r="X14" i="15"/>
  <c r="X15" i="15"/>
  <c r="X16" i="15"/>
  <c r="X17" i="15"/>
  <c r="X18" i="15"/>
  <c r="X19" i="15"/>
  <c r="X20" i="15"/>
  <c r="X21" i="15"/>
  <c r="X22" i="15"/>
  <c r="X23" i="15"/>
  <c r="X24" i="15"/>
  <c r="X25" i="15"/>
  <c r="X26" i="15"/>
  <c r="X27" i="15"/>
  <c r="X28" i="15"/>
  <c r="X29" i="15"/>
  <c r="X30" i="15"/>
  <c r="X31" i="15"/>
  <c r="X32" i="15"/>
  <c r="X33" i="15"/>
  <c r="X34" i="15"/>
  <c r="X35" i="15"/>
  <c r="X36" i="15"/>
  <c r="X37" i="15"/>
  <c r="X38" i="15"/>
  <c r="X39" i="15"/>
  <c r="X40" i="15"/>
  <c r="X41" i="15"/>
  <c r="X42" i="15"/>
  <c r="X43" i="15"/>
  <c r="X44" i="15"/>
  <c r="X45" i="15"/>
  <c r="X46" i="15"/>
  <c r="X47" i="15"/>
  <c r="X48" i="15"/>
  <c r="X49" i="15"/>
  <c r="X50" i="15"/>
  <c r="X51" i="15"/>
  <c r="X52" i="15"/>
  <c r="X53" i="15"/>
  <c r="X54" i="15"/>
  <c r="X55" i="15"/>
  <c r="X56" i="15"/>
  <c r="X57" i="15"/>
  <c r="X58" i="15"/>
  <c r="X59" i="15"/>
  <c r="X60" i="15"/>
  <c r="X61" i="15"/>
  <c r="X62" i="15"/>
  <c r="Z8" i="15"/>
  <c r="Z9" i="15"/>
  <c r="Z10" i="15"/>
  <c r="Z11" i="15"/>
  <c r="Z12" i="15"/>
  <c r="Z13" i="15"/>
  <c r="Z14" i="15"/>
  <c r="Z15" i="15"/>
  <c r="Z16" i="15"/>
  <c r="Z17" i="15"/>
  <c r="Z18" i="15"/>
  <c r="Z19" i="15"/>
  <c r="Z20" i="15"/>
  <c r="Z21" i="15"/>
  <c r="Z22" i="15"/>
  <c r="Z23" i="15"/>
  <c r="Z24" i="15"/>
  <c r="Z25" i="15"/>
  <c r="Z26" i="15"/>
  <c r="Z27" i="15"/>
  <c r="Z28" i="15"/>
  <c r="Z29" i="15"/>
  <c r="Z30" i="15"/>
  <c r="Z31" i="15"/>
  <c r="Z32" i="15"/>
  <c r="Z33" i="15"/>
  <c r="Z34" i="15"/>
  <c r="Z35" i="15"/>
  <c r="Z36" i="15"/>
  <c r="Z37" i="15"/>
  <c r="Z38" i="15"/>
  <c r="Z39" i="15"/>
  <c r="Z40" i="15"/>
  <c r="Z41" i="15"/>
  <c r="Z42" i="15"/>
  <c r="Z43" i="15"/>
  <c r="Z44" i="15"/>
  <c r="Z45" i="15"/>
  <c r="Z46" i="15"/>
  <c r="Z47" i="15"/>
  <c r="Z48" i="15"/>
  <c r="Z49" i="15"/>
  <c r="Z50" i="15"/>
  <c r="Z51" i="15"/>
  <c r="Z52" i="15"/>
  <c r="Z53" i="15"/>
  <c r="Z54" i="15"/>
  <c r="Z55" i="15"/>
  <c r="Z56" i="15"/>
  <c r="Z57" i="15"/>
  <c r="Z58" i="15"/>
  <c r="Z59" i="15"/>
  <c r="Z60" i="15"/>
  <c r="Z61" i="15"/>
  <c r="Z62" i="15"/>
  <c r="R8" i="15"/>
  <c r="R9" i="15"/>
  <c r="R10" i="15"/>
  <c r="R11" i="15"/>
  <c r="R12" i="15"/>
  <c r="R13" i="15"/>
  <c r="R14" i="15"/>
  <c r="R15" i="15"/>
  <c r="R16" i="15"/>
  <c r="R17" i="15"/>
  <c r="R18" i="15"/>
  <c r="R19" i="15"/>
  <c r="R20" i="15"/>
  <c r="R21" i="15"/>
  <c r="R22" i="15"/>
  <c r="R23" i="15"/>
  <c r="R24" i="15"/>
  <c r="R25" i="15"/>
  <c r="R26" i="15"/>
  <c r="R27" i="15"/>
  <c r="R28" i="15"/>
  <c r="R29" i="15"/>
  <c r="R30" i="15"/>
  <c r="R31" i="15"/>
  <c r="R32" i="15"/>
  <c r="R33" i="15"/>
  <c r="R34" i="15"/>
  <c r="R35" i="15"/>
  <c r="R36" i="15"/>
  <c r="R37" i="15"/>
  <c r="R38" i="15"/>
  <c r="R39" i="15"/>
  <c r="R40" i="15"/>
  <c r="R41" i="15"/>
  <c r="R42" i="15"/>
  <c r="R43" i="15"/>
  <c r="R44" i="15"/>
  <c r="R45" i="15"/>
  <c r="R46" i="15"/>
  <c r="R47" i="15"/>
  <c r="R48" i="15"/>
  <c r="R49" i="15"/>
  <c r="R50" i="15"/>
  <c r="R51" i="15"/>
  <c r="R52" i="15"/>
  <c r="R53" i="15"/>
  <c r="R54" i="15"/>
  <c r="R55" i="15"/>
  <c r="R56" i="15"/>
  <c r="R57" i="15"/>
  <c r="R58" i="15"/>
  <c r="R59" i="15"/>
  <c r="R60" i="15"/>
  <c r="R61" i="15"/>
  <c r="R62" i="15"/>
  <c r="R63" i="15"/>
  <c r="R64" i="15"/>
  <c r="R65" i="15"/>
  <c r="R66" i="15"/>
  <c r="R67" i="15"/>
  <c r="R68" i="15"/>
  <c r="R69" i="15"/>
  <c r="R70" i="15"/>
  <c r="R71" i="15"/>
  <c r="R72" i="15"/>
  <c r="R73" i="15"/>
  <c r="R74" i="15"/>
  <c r="R75" i="15"/>
  <c r="R76" i="15"/>
  <c r="R77" i="15"/>
  <c r="R78" i="15"/>
  <c r="R79" i="15"/>
  <c r="R80" i="15"/>
  <c r="R81" i="15"/>
  <c r="R82" i="15"/>
  <c r="R83" i="15"/>
  <c r="R84" i="15"/>
  <c r="R85" i="15"/>
  <c r="R86" i="15"/>
  <c r="R87" i="15"/>
  <c r="R88" i="15"/>
  <c r="R89" i="15"/>
  <c r="R90" i="15"/>
  <c r="R91" i="15"/>
  <c r="R92" i="15"/>
  <c r="R93" i="15"/>
  <c r="R94" i="15"/>
  <c r="R95" i="15"/>
  <c r="R96" i="15"/>
  <c r="R97" i="15"/>
  <c r="R98" i="15"/>
  <c r="R99" i="15"/>
  <c r="R100" i="15"/>
  <c r="R101" i="15"/>
  <c r="R102" i="15"/>
  <c r="R103" i="15"/>
  <c r="R104" i="15"/>
  <c r="R105" i="15"/>
  <c r="R106" i="15"/>
  <c r="R107" i="15"/>
  <c r="R108" i="15"/>
  <c r="R109" i="15"/>
  <c r="R110" i="15"/>
  <c r="R111" i="15"/>
  <c r="R112" i="15"/>
  <c r="R113" i="15"/>
  <c r="R114" i="15"/>
  <c r="R115" i="15"/>
  <c r="R116" i="15"/>
  <c r="R117" i="15"/>
  <c r="R118" i="15"/>
  <c r="R119" i="15"/>
  <c r="R120" i="15"/>
  <c r="R121" i="15"/>
  <c r="R122" i="15"/>
  <c r="R123" i="15"/>
  <c r="R124" i="15"/>
  <c r="R125" i="15"/>
  <c r="R126" i="15"/>
  <c r="R127" i="15"/>
  <c r="R128" i="15"/>
  <c r="R129" i="15"/>
  <c r="R130" i="15"/>
  <c r="R131" i="15"/>
  <c r="R132" i="15"/>
  <c r="R133" i="15"/>
  <c r="R134" i="15"/>
  <c r="R135" i="15"/>
  <c r="R136" i="15"/>
  <c r="R137" i="15"/>
  <c r="R138" i="15"/>
  <c r="R139" i="15"/>
  <c r="R140" i="15"/>
  <c r="R141" i="15"/>
  <c r="R142" i="15"/>
  <c r="R143" i="15"/>
  <c r="R144" i="15"/>
  <c r="R145" i="15"/>
  <c r="R146" i="15"/>
  <c r="R147" i="15"/>
  <c r="R148" i="15"/>
  <c r="R149" i="15"/>
  <c r="R150" i="15"/>
  <c r="R151" i="15"/>
  <c r="R152" i="15"/>
  <c r="R153" i="15"/>
  <c r="R154" i="15"/>
  <c r="R155" i="15"/>
  <c r="R156" i="15"/>
  <c r="R157" i="15"/>
  <c r="R158" i="15"/>
  <c r="R159" i="15"/>
  <c r="R160" i="15"/>
  <c r="R161" i="15"/>
  <c r="R162" i="15"/>
  <c r="R163" i="15"/>
  <c r="R164" i="15"/>
  <c r="R165" i="15"/>
  <c r="R166" i="15"/>
  <c r="R167" i="15"/>
  <c r="R168" i="15"/>
  <c r="R169" i="15"/>
  <c r="R170" i="15"/>
  <c r="R171" i="15"/>
  <c r="R172" i="15"/>
  <c r="R173" i="15"/>
  <c r="R174" i="15"/>
  <c r="R175" i="15"/>
  <c r="R176" i="15"/>
  <c r="R177" i="15"/>
  <c r="R178" i="15"/>
  <c r="R179" i="15"/>
  <c r="R180" i="15"/>
  <c r="R181" i="15"/>
  <c r="R182" i="15"/>
  <c r="R183" i="15"/>
  <c r="R184" i="15"/>
  <c r="R185" i="15"/>
  <c r="R186" i="15"/>
  <c r="R187" i="15"/>
  <c r="R188" i="15"/>
  <c r="R189" i="15"/>
  <c r="R190" i="15"/>
  <c r="R191" i="15"/>
  <c r="R192" i="15"/>
  <c r="R193" i="15"/>
  <c r="R194" i="15"/>
  <c r="R195" i="15"/>
  <c r="R196" i="15"/>
  <c r="R197" i="15"/>
  <c r="R198" i="15"/>
  <c r="R199" i="15"/>
  <c r="R200" i="15"/>
  <c r="R201" i="15"/>
  <c r="R202" i="15"/>
  <c r="R203" i="15"/>
  <c r="R204" i="15"/>
  <c r="R205" i="15"/>
  <c r="R206" i="15"/>
  <c r="R207" i="15"/>
  <c r="R208" i="15"/>
  <c r="R209" i="15"/>
  <c r="R210" i="15"/>
  <c r="R211" i="15"/>
  <c r="R212" i="15"/>
  <c r="R213" i="15"/>
  <c r="R214" i="15"/>
  <c r="R215" i="15"/>
  <c r="R216" i="15"/>
  <c r="R217" i="15"/>
  <c r="R218" i="15"/>
  <c r="R219" i="15"/>
  <c r="R220" i="15"/>
  <c r="R221" i="15"/>
  <c r="R222" i="15"/>
  <c r="R223" i="15"/>
  <c r="R224" i="15"/>
  <c r="R225" i="15"/>
  <c r="R226" i="15"/>
  <c r="R227" i="15"/>
  <c r="R228" i="15"/>
  <c r="R229" i="15"/>
  <c r="R230" i="15"/>
  <c r="R231" i="15"/>
  <c r="R232" i="15"/>
  <c r="R233" i="15"/>
  <c r="R234" i="15"/>
  <c r="R235" i="15"/>
  <c r="R236" i="15"/>
  <c r="R237" i="15"/>
  <c r="R238" i="15"/>
  <c r="R239" i="15"/>
  <c r="R240" i="15"/>
  <c r="R241" i="15"/>
  <c r="R242" i="15"/>
  <c r="R243" i="15"/>
  <c r="R244" i="15"/>
  <c r="R245" i="15"/>
  <c r="R246" i="15"/>
  <c r="R247" i="15"/>
  <c r="R248" i="15"/>
  <c r="R249" i="15"/>
  <c r="R250" i="15"/>
  <c r="R251" i="15"/>
  <c r="R252" i="15"/>
  <c r="R253" i="15"/>
  <c r="R254" i="15"/>
  <c r="R255" i="15"/>
  <c r="R256" i="15"/>
  <c r="R257" i="15"/>
  <c r="T8" i="15"/>
  <c r="T9" i="15"/>
  <c r="T10" i="15"/>
  <c r="T11" i="15"/>
  <c r="T12" i="15"/>
  <c r="T13" i="15"/>
  <c r="T14" i="15"/>
  <c r="T15" i="15"/>
  <c r="T16" i="15"/>
  <c r="T17" i="15"/>
  <c r="T18" i="15"/>
  <c r="T19" i="15"/>
  <c r="T20" i="15"/>
  <c r="T21" i="15"/>
  <c r="T22" i="15"/>
  <c r="T23" i="15"/>
  <c r="T24" i="15"/>
  <c r="T25" i="15"/>
  <c r="T26" i="15"/>
  <c r="T27" i="15"/>
  <c r="T28" i="15"/>
  <c r="T29" i="15"/>
  <c r="T30" i="15"/>
  <c r="T31" i="15"/>
  <c r="T32" i="15"/>
  <c r="T33" i="15"/>
  <c r="T34" i="15"/>
  <c r="T35" i="15"/>
  <c r="T36" i="15"/>
  <c r="T37" i="15"/>
  <c r="T38" i="15"/>
  <c r="T39" i="15"/>
  <c r="T40" i="15"/>
  <c r="T41" i="15"/>
  <c r="T42" i="15"/>
  <c r="T43" i="15"/>
  <c r="T44" i="15"/>
  <c r="T45" i="15"/>
  <c r="T46" i="15"/>
  <c r="T47" i="15"/>
  <c r="T48" i="15"/>
  <c r="T49" i="15"/>
  <c r="T50" i="15"/>
  <c r="T51" i="15"/>
  <c r="T52" i="15"/>
  <c r="T53" i="15"/>
  <c r="T54" i="15"/>
  <c r="T55" i="15"/>
  <c r="T56" i="15"/>
  <c r="T57" i="15"/>
  <c r="T58" i="15"/>
  <c r="T59" i="15"/>
  <c r="T60" i="15"/>
  <c r="T61" i="15"/>
  <c r="T62" i="15"/>
  <c r="T63" i="15"/>
  <c r="T64" i="15"/>
  <c r="T65" i="15"/>
  <c r="T66" i="15"/>
  <c r="T67" i="15"/>
  <c r="T68" i="15"/>
  <c r="T69" i="15"/>
  <c r="T70" i="15"/>
  <c r="T71" i="15"/>
  <c r="T72" i="15"/>
  <c r="T73" i="15"/>
  <c r="T74" i="15"/>
  <c r="T75" i="15"/>
  <c r="T76" i="15"/>
  <c r="T77" i="15"/>
  <c r="T78" i="15"/>
  <c r="T79" i="15"/>
  <c r="T80" i="15"/>
  <c r="T81" i="15"/>
  <c r="T82" i="15"/>
  <c r="T83" i="15"/>
  <c r="T84" i="15"/>
  <c r="T85" i="15"/>
  <c r="T86" i="15"/>
  <c r="T87" i="15"/>
  <c r="T88" i="15"/>
  <c r="T89" i="15"/>
  <c r="T90" i="15"/>
  <c r="T91" i="15"/>
  <c r="T92" i="15"/>
  <c r="T93" i="15"/>
  <c r="T94" i="15"/>
  <c r="T95" i="15"/>
  <c r="T96" i="15"/>
  <c r="T97" i="15"/>
  <c r="T98" i="15"/>
  <c r="T99" i="15"/>
  <c r="T100" i="15"/>
  <c r="T101" i="15"/>
  <c r="T102" i="15"/>
  <c r="T103" i="15"/>
  <c r="T104" i="15"/>
  <c r="T105" i="15"/>
  <c r="T106" i="15"/>
  <c r="T107" i="15"/>
  <c r="T108" i="15"/>
  <c r="T109" i="15"/>
  <c r="T110" i="15"/>
  <c r="T111" i="15"/>
  <c r="T112" i="15"/>
  <c r="T113" i="15"/>
  <c r="T114" i="15"/>
  <c r="T115" i="15"/>
  <c r="T116" i="15"/>
  <c r="T117" i="15"/>
  <c r="T118" i="15"/>
  <c r="T119" i="15"/>
  <c r="T120" i="15"/>
  <c r="T121" i="15"/>
  <c r="T122" i="15"/>
  <c r="T123" i="15"/>
  <c r="T124" i="15"/>
  <c r="T125" i="15"/>
  <c r="T126" i="15"/>
  <c r="T127" i="15"/>
  <c r="T128" i="15"/>
  <c r="T129" i="15"/>
  <c r="T130" i="15"/>
  <c r="T131" i="15"/>
  <c r="T132" i="15"/>
  <c r="T133" i="15"/>
  <c r="T134" i="15"/>
  <c r="T135" i="15"/>
  <c r="T136" i="15"/>
  <c r="T137" i="15"/>
  <c r="T138" i="15"/>
  <c r="T139" i="15"/>
  <c r="T140" i="15"/>
  <c r="T141" i="15"/>
  <c r="T142" i="15"/>
  <c r="T143" i="15"/>
  <c r="T144" i="15"/>
  <c r="T145" i="15"/>
  <c r="T146" i="15"/>
  <c r="T147" i="15"/>
  <c r="T148" i="15"/>
  <c r="T149" i="15"/>
  <c r="T150" i="15"/>
  <c r="T151" i="15"/>
  <c r="T152" i="15"/>
  <c r="T153" i="15"/>
  <c r="T154" i="15"/>
  <c r="T155" i="15"/>
  <c r="T156" i="15"/>
  <c r="T157" i="15"/>
  <c r="T158" i="15"/>
  <c r="T159" i="15"/>
  <c r="T160" i="15"/>
  <c r="T161" i="15"/>
  <c r="T162" i="15"/>
  <c r="T163" i="15"/>
  <c r="T164" i="15"/>
  <c r="T165" i="15"/>
  <c r="T166" i="15"/>
  <c r="T167" i="15"/>
  <c r="T168" i="15"/>
  <c r="T169" i="15"/>
  <c r="T170" i="15"/>
  <c r="T171" i="15"/>
  <c r="T172" i="15"/>
  <c r="T173" i="15"/>
  <c r="T174" i="15"/>
  <c r="T175" i="15"/>
  <c r="T176" i="15"/>
  <c r="T177" i="15"/>
  <c r="T178" i="15"/>
  <c r="T179" i="15"/>
  <c r="T180" i="15"/>
  <c r="T181" i="15"/>
  <c r="T182" i="15"/>
  <c r="T183" i="15"/>
  <c r="T184" i="15"/>
  <c r="T185" i="15"/>
  <c r="T186" i="15"/>
  <c r="T187" i="15"/>
  <c r="T188" i="15"/>
  <c r="T189" i="15"/>
  <c r="T190" i="15"/>
  <c r="T191" i="15"/>
  <c r="T192" i="15"/>
  <c r="T193" i="15"/>
  <c r="T194" i="15"/>
  <c r="T195" i="15"/>
  <c r="T196" i="15"/>
  <c r="T197" i="15"/>
  <c r="T198" i="15"/>
  <c r="T199" i="15"/>
  <c r="T200" i="15"/>
  <c r="T201" i="15"/>
  <c r="T202" i="15"/>
  <c r="T203" i="15"/>
  <c r="T204" i="15"/>
  <c r="T205" i="15"/>
  <c r="T206" i="15"/>
  <c r="T207" i="15"/>
  <c r="T208" i="15"/>
  <c r="T209" i="15"/>
  <c r="T210" i="15"/>
  <c r="T211" i="15"/>
  <c r="T212" i="15"/>
  <c r="T213" i="15"/>
  <c r="T214" i="15"/>
  <c r="T215" i="15"/>
  <c r="T216" i="15"/>
  <c r="T217" i="15"/>
  <c r="T218" i="15"/>
  <c r="T219" i="15"/>
  <c r="T220" i="15"/>
  <c r="T221" i="15"/>
  <c r="T222" i="15"/>
  <c r="T223" i="15"/>
  <c r="T224" i="15"/>
  <c r="T225" i="15"/>
  <c r="T226" i="15"/>
  <c r="T227" i="15"/>
  <c r="T228" i="15"/>
  <c r="T229" i="15"/>
  <c r="T230" i="15"/>
  <c r="T231" i="15"/>
  <c r="T232" i="15"/>
  <c r="T233" i="15"/>
  <c r="T234" i="15"/>
  <c r="T235" i="15"/>
  <c r="T236" i="15"/>
  <c r="T237" i="15"/>
  <c r="T238" i="15"/>
  <c r="T239" i="15"/>
  <c r="T240" i="15"/>
  <c r="T241" i="15"/>
  <c r="T242" i="15"/>
  <c r="T243" i="15"/>
  <c r="T244" i="15"/>
  <c r="T245" i="15"/>
  <c r="T246" i="15"/>
  <c r="T247" i="15"/>
  <c r="T248" i="15"/>
  <c r="T249" i="15"/>
  <c r="T250" i="15"/>
  <c r="T251" i="15"/>
  <c r="T252" i="15"/>
  <c r="T253" i="15"/>
  <c r="T254" i="15"/>
  <c r="T255" i="15"/>
  <c r="T256" i="15"/>
  <c r="T257" i="15"/>
  <c r="T258" i="15"/>
  <c r="L8" i="15"/>
  <c r="L9" i="15"/>
  <c r="L10" i="15"/>
  <c r="L11" i="15"/>
  <c r="L12" i="15"/>
  <c r="L13" i="15"/>
  <c r="L14" i="15"/>
  <c r="L15" i="15"/>
  <c r="L16" i="15"/>
  <c r="L17" i="15"/>
  <c r="L18" i="15"/>
  <c r="L19" i="15"/>
  <c r="L20" i="15"/>
  <c r="L21" i="15"/>
  <c r="L22" i="15"/>
  <c r="L23" i="15"/>
  <c r="L24" i="15"/>
  <c r="L25" i="15"/>
  <c r="L26" i="15"/>
  <c r="L27" i="15"/>
  <c r="L28" i="15"/>
  <c r="L29" i="15"/>
  <c r="L30" i="15"/>
  <c r="L31" i="15"/>
  <c r="L32" i="15"/>
  <c r="L33" i="15"/>
  <c r="L34" i="15"/>
  <c r="L35" i="15"/>
  <c r="L36" i="15"/>
  <c r="L37" i="15"/>
  <c r="L38" i="15"/>
  <c r="L39" i="15"/>
  <c r="L40" i="15"/>
  <c r="L41" i="15"/>
  <c r="L42" i="15"/>
  <c r="L43" i="15"/>
  <c r="L44" i="15"/>
  <c r="L45" i="15"/>
  <c r="L46" i="15"/>
  <c r="L47" i="15"/>
  <c r="L48" i="15"/>
  <c r="L49" i="15"/>
  <c r="L50" i="15"/>
  <c r="L51" i="15"/>
  <c r="L52" i="15"/>
  <c r="L53" i="15"/>
  <c r="L54" i="15"/>
  <c r="L55" i="15"/>
  <c r="L56" i="15"/>
  <c r="L57" i="15"/>
  <c r="L58" i="15"/>
  <c r="L59" i="15"/>
  <c r="L60" i="15"/>
  <c r="L61" i="15"/>
  <c r="L62" i="15"/>
  <c r="L63" i="15"/>
  <c r="L64" i="15"/>
  <c r="L65" i="15"/>
  <c r="L66" i="15"/>
  <c r="L67" i="15"/>
  <c r="L68" i="15"/>
  <c r="L69" i="15"/>
  <c r="L70" i="15"/>
  <c r="L71" i="15"/>
  <c r="L72" i="15"/>
  <c r="L73" i="15"/>
  <c r="L74" i="15"/>
  <c r="L75" i="15"/>
  <c r="L76" i="15"/>
  <c r="L77" i="15"/>
  <c r="L78" i="15"/>
  <c r="L79" i="15"/>
  <c r="L80" i="15"/>
  <c r="L81" i="15"/>
  <c r="L82" i="15"/>
  <c r="L83" i="15"/>
  <c r="L84" i="15"/>
  <c r="L85" i="15"/>
  <c r="L86" i="15"/>
  <c r="L87" i="15"/>
  <c r="L88" i="15"/>
  <c r="L89" i="15"/>
  <c r="L90" i="15"/>
  <c r="L91" i="15"/>
  <c r="L92" i="15"/>
  <c r="L93" i="15"/>
  <c r="L94" i="15"/>
  <c r="L95" i="15"/>
  <c r="L96" i="15"/>
  <c r="L97" i="15"/>
  <c r="L98" i="15"/>
  <c r="L99" i="15"/>
  <c r="L100" i="15"/>
  <c r="L101" i="15"/>
  <c r="L102" i="15"/>
  <c r="L103" i="15"/>
  <c r="L104" i="15"/>
  <c r="L105" i="15"/>
  <c r="L106" i="15"/>
  <c r="L107" i="15"/>
  <c r="L108" i="15"/>
  <c r="L109" i="15"/>
  <c r="L110" i="15"/>
  <c r="L111" i="15"/>
  <c r="L112" i="15"/>
  <c r="L113" i="15"/>
  <c r="L114" i="15"/>
  <c r="L115" i="15"/>
  <c r="L116" i="15"/>
  <c r="L117" i="15"/>
  <c r="L118" i="15"/>
  <c r="L119" i="15"/>
  <c r="L120" i="15"/>
  <c r="L121" i="15"/>
  <c r="L122" i="15"/>
  <c r="L123" i="15"/>
  <c r="L124" i="15"/>
  <c r="L125" i="15"/>
  <c r="L126" i="15"/>
  <c r="L127" i="15"/>
  <c r="L128" i="15"/>
  <c r="L129" i="15"/>
  <c r="L130" i="15"/>
  <c r="L131" i="15"/>
  <c r="L132" i="15"/>
  <c r="L133" i="15"/>
  <c r="L134" i="15"/>
  <c r="L135" i="15"/>
  <c r="L136" i="15"/>
  <c r="L137" i="15"/>
  <c r="L138" i="15"/>
  <c r="L139" i="15"/>
  <c r="L140" i="15"/>
  <c r="L141" i="15"/>
  <c r="L142" i="15"/>
  <c r="L143" i="15"/>
  <c r="L144" i="15"/>
  <c r="L145" i="15"/>
  <c r="L146" i="15"/>
  <c r="L147" i="15"/>
  <c r="L148" i="15"/>
  <c r="L149" i="15"/>
  <c r="L150" i="15"/>
  <c r="L151" i="15"/>
  <c r="L152" i="15"/>
  <c r="L153" i="15"/>
  <c r="L154" i="15"/>
  <c r="L155" i="15"/>
  <c r="L156" i="15"/>
  <c r="L157" i="15"/>
  <c r="L158" i="15"/>
  <c r="L159" i="15"/>
  <c r="L160" i="15"/>
  <c r="L161" i="15"/>
  <c r="L162" i="15"/>
  <c r="L163" i="15"/>
  <c r="L164" i="15"/>
  <c r="L165" i="15"/>
  <c r="L166" i="15"/>
  <c r="L167" i="15"/>
  <c r="L168" i="15"/>
  <c r="L169" i="15"/>
  <c r="L170" i="15"/>
  <c r="L171" i="15"/>
  <c r="L172" i="15"/>
  <c r="L173" i="15"/>
  <c r="L174" i="15"/>
  <c r="L175" i="15"/>
  <c r="L176" i="15"/>
  <c r="L177" i="15"/>
  <c r="L178" i="15"/>
  <c r="L179" i="15"/>
  <c r="L180" i="15"/>
  <c r="L181" i="15"/>
  <c r="L182" i="15"/>
  <c r="L183" i="15"/>
  <c r="L184" i="15"/>
  <c r="L185" i="15"/>
  <c r="L186" i="15"/>
  <c r="L187" i="15"/>
  <c r="L188" i="15"/>
  <c r="L189" i="15"/>
  <c r="L190" i="15"/>
  <c r="L191" i="15"/>
  <c r="L192" i="15"/>
  <c r="L193" i="15"/>
  <c r="L194" i="15"/>
  <c r="L195" i="15"/>
  <c r="L196" i="15"/>
  <c r="L197" i="15"/>
  <c r="L198" i="15"/>
  <c r="L199" i="15"/>
  <c r="L200" i="15"/>
  <c r="L201" i="15"/>
  <c r="L202" i="15"/>
  <c r="L203" i="15"/>
  <c r="L204" i="15"/>
  <c r="L205" i="15"/>
  <c r="L206" i="15"/>
  <c r="L207" i="15"/>
  <c r="L208" i="15"/>
  <c r="L209" i="15"/>
  <c r="L210" i="15"/>
  <c r="L211" i="15"/>
  <c r="L212" i="15"/>
  <c r="L213" i="15"/>
  <c r="L214" i="15"/>
  <c r="L215" i="15"/>
  <c r="L216" i="15"/>
  <c r="L217" i="15"/>
  <c r="L218" i="15"/>
  <c r="L219" i="15"/>
  <c r="L220" i="15"/>
  <c r="L221" i="15"/>
  <c r="L222" i="15"/>
  <c r="L223" i="15"/>
  <c r="L224" i="15"/>
  <c r="L225" i="15"/>
  <c r="L226" i="15"/>
  <c r="L227" i="15"/>
  <c r="L228" i="15"/>
  <c r="L229" i="15"/>
  <c r="L230" i="15"/>
  <c r="L231" i="15"/>
  <c r="L232" i="15"/>
  <c r="L233" i="15"/>
  <c r="L234" i="15"/>
  <c r="L235" i="15"/>
  <c r="L236" i="15"/>
  <c r="L237" i="15"/>
  <c r="L238" i="15"/>
  <c r="L239" i="15"/>
  <c r="L240" i="15"/>
  <c r="L241" i="15"/>
  <c r="L242" i="15"/>
  <c r="L243" i="15"/>
  <c r="L244" i="15"/>
  <c r="L245" i="15"/>
  <c r="L246" i="15"/>
  <c r="L247" i="15"/>
  <c r="L248" i="15"/>
  <c r="L249" i="15"/>
  <c r="L250" i="15"/>
  <c r="L251" i="15"/>
  <c r="L252" i="15"/>
  <c r="L253" i="15"/>
  <c r="L254" i="15"/>
  <c r="L255" i="15"/>
  <c r="L256" i="15"/>
  <c r="L257" i="15"/>
  <c r="L258" i="15"/>
  <c r="L259" i="15"/>
  <c r="L260" i="15"/>
  <c r="L261" i="15"/>
  <c r="L262" i="15"/>
  <c r="L263" i="15"/>
  <c r="L264" i="15"/>
  <c r="L265" i="15"/>
  <c r="L266" i="15"/>
  <c r="L267" i="15"/>
  <c r="L268" i="15"/>
  <c r="L269" i="15"/>
  <c r="L270" i="15"/>
  <c r="L271" i="15"/>
  <c r="L272" i="15"/>
  <c r="L273" i="15"/>
  <c r="L274" i="15"/>
  <c r="L275" i="15"/>
  <c r="L276" i="15"/>
  <c r="L277" i="15"/>
  <c r="L278" i="15"/>
  <c r="L279" i="15"/>
  <c r="L280" i="15"/>
  <c r="L281" i="15"/>
  <c r="L282" i="15"/>
  <c r="L283" i="15"/>
  <c r="L284" i="15"/>
  <c r="L285" i="15"/>
  <c r="L286" i="15"/>
  <c r="L287" i="15"/>
  <c r="L288" i="15"/>
  <c r="L289" i="15"/>
  <c r="L290" i="15"/>
  <c r="L291" i="15"/>
  <c r="L292" i="15"/>
  <c r="L293" i="15"/>
  <c r="L294" i="15"/>
  <c r="L295" i="15"/>
  <c r="L296" i="15"/>
  <c r="L297" i="15"/>
  <c r="L298" i="15"/>
  <c r="L299" i="15"/>
  <c r="L300" i="15"/>
  <c r="L301" i="15"/>
  <c r="L302" i="15"/>
  <c r="L303" i="15"/>
  <c r="L304" i="15"/>
  <c r="L305" i="15"/>
  <c r="L306" i="15"/>
  <c r="L307" i="15"/>
  <c r="L308" i="15"/>
  <c r="L309" i="15"/>
  <c r="L310" i="15"/>
  <c r="L311" i="15"/>
  <c r="L312" i="15"/>
  <c r="L313" i="15"/>
  <c r="L314" i="15"/>
  <c r="L315" i="15"/>
  <c r="L316" i="15"/>
  <c r="L317" i="15"/>
  <c r="L318" i="15"/>
  <c r="L319" i="15"/>
  <c r="L320" i="15"/>
  <c r="L321" i="15"/>
  <c r="L322" i="15"/>
  <c r="L323" i="15"/>
  <c r="L324" i="15"/>
  <c r="L325" i="15"/>
  <c r="L326" i="15"/>
  <c r="L327" i="15"/>
  <c r="L328" i="15"/>
  <c r="L329" i="15"/>
  <c r="L330" i="15"/>
  <c r="L331" i="15"/>
  <c r="L332" i="15"/>
  <c r="L333" i="15"/>
  <c r="L334" i="15"/>
  <c r="L335" i="15"/>
  <c r="L336" i="15"/>
  <c r="L337" i="15"/>
  <c r="L338" i="15"/>
  <c r="L339" i="15"/>
  <c r="L340" i="15"/>
  <c r="L341" i="15"/>
  <c r="L342" i="15"/>
  <c r="L343" i="15"/>
  <c r="L344" i="15"/>
  <c r="L345" i="15"/>
  <c r="L346" i="15"/>
  <c r="L347" i="15"/>
  <c r="L348" i="15"/>
  <c r="L349" i="15"/>
  <c r="L350" i="15"/>
  <c r="L351" i="15"/>
  <c r="L352" i="15"/>
  <c r="L353" i="15"/>
  <c r="L354" i="15"/>
  <c r="L355" i="15"/>
  <c r="L356" i="15"/>
  <c r="L357" i="15"/>
  <c r="L358" i="15"/>
  <c r="L359" i="15"/>
  <c r="L360" i="15"/>
  <c r="L361" i="15"/>
  <c r="L362" i="15"/>
  <c r="L363" i="15"/>
  <c r="L364" i="15"/>
  <c r="L365" i="15"/>
  <c r="L366" i="15"/>
  <c r="L367" i="15"/>
  <c r="L368" i="15"/>
  <c r="L369" i="15"/>
  <c r="L370" i="15"/>
  <c r="L371" i="15"/>
  <c r="L372" i="15"/>
  <c r="L373" i="15"/>
  <c r="L374" i="15"/>
  <c r="L375" i="15"/>
  <c r="L376" i="15"/>
  <c r="L377" i="15"/>
  <c r="L378" i="15"/>
  <c r="L379" i="15"/>
  <c r="L380" i="15"/>
  <c r="L381" i="15"/>
  <c r="L382" i="15"/>
  <c r="L383" i="15"/>
  <c r="L384" i="15"/>
  <c r="L385" i="15"/>
  <c r="L386" i="15"/>
  <c r="L387" i="15"/>
  <c r="L388" i="15"/>
  <c r="L389" i="15"/>
  <c r="L390" i="15"/>
  <c r="L391" i="15"/>
  <c r="L392" i="15"/>
  <c r="L393" i="15"/>
  <c r="L394" i="15"/>
  <c r="L395" i="15"/>
  <c r="L396" i="15"/>
  <c r="L397" i="15"/>
  <c r="L398" i="15"/>
  <c r="L399" i="15"/>
  <c r="L400" i="15"/>
  <c r="L401" i="15"/>
  <c r="L402" i="15"/>
  <c r="L403" i="15"/>
  <c r="L404" i="15"/>
  <c r="L405" i="15"/>
  <c r="L406" i="15"/>
  <c r="L407" i="15"/>
  <c r="L408" i="15"/>
  <c r="L409" i="15"/>
  <c r="L410" i="15"/>
  <c r="L411" i="15"/>
  <c r="L412" i="15"/>
  <c r="L413" i="15"/>
  <c r="L414" i="15"/>
  <c r="L415" i="15"/>
  <c r="L416" i="15"/>
  <c r="L417" i="15"/>
  <c r="L418" i="15"/>
  <c r="L419" i="15"/>
  <c r="L420" i="15"/>
  <c r="L421" i="15"/>
  <c r="L422" i="15"/>
  <c r="L423" i="15"/>
  <c r="L424" i="15"/>
  <c r="L425" i="15"/>
  <c r="L426" i="15"/>
  <c r="L427" i="15"/>
  <c r="L428" i="15"/>
  <c r="L429" i="15"/>
  <c r="L430" i="15"/>
  <c r="L431" i="15"/>
  <c r="L432" i="15"/>
  <c r="L433" i="15"/>
  <c r="L434" i="15"/>
  <c r="L435" i="15"/>
  <c r="L436" i="15"/>
  <c r="L437" i="15"/>
  <c r="L438" i="15"/>
  <c r="L439" i="15"/>
  <c r="L440" i="15"/>
  <c r="L441" i="15"/>
  <c r="L442" i="15"/>
  <c r="L443" i="15"/>
  <c r="L444" i="15"/>
  <c r="L445" i="15"/>
  <c r="L446" i="15"/>
  <c r="L447" i="15"/>
  <c r="L448" i="15"/>
  <c r="L449" i="15"/>
  <c r="L450" i="15"/>
  <c r="L451" i="15"/>
  <c r="L452" i="15"/>
  <c r="L453" i="15"/>
  <c r="L454" i="15"/>
  <c r="L455" i="15"/>
  <c r="L456" i="15"/>
  <c r="L457" i="15"/>
  <c r="L458" i="15"/>
  <c r="L459" i="15"/>
  <c r="L460" i="15"/>
  <c r="L461" i="15"/>
  <c r="L462" i="15"/>
  <c r="L463" i="15"/>
  <c r="L464" i="15"/>
  <c r="L465" i="15"/>
  <c r="L466" i="15"/>
  <c r="L467" i="15"/>
  <c r="L468" i="15"/>
  <c r="L469" i="15"/>
  <c r="L470" i="15"/>
  <c r="L471" i="15"/>
  <c r="L472" i="15"/>
  <c r="L473" i="15"/>
  <c r="L474" i="15"/>
  <c r="L475" i="15"/>
  <c r="L476" i="15"/>
  <c r="L477" i="15"/>
  <c r="L478" i="15"/>
  <c r="L479" i="15"/>
  <c r="L480" i="15"/>
  <c r="L481" i="15"/>
  <c r="L482" i="15"/>
  <c r="L483" i="15"/>
  <c r="L484" i="15"/>
  <c r="L485" i="15"/>
  <c r="L486" i="15"/>
  <c r="L487" i="15"/>
  <c r="L488" i="15"/>
  <c r="L489" i="15"/>
  <c r="L490" i="15"/>
  <c r="L491" i="15"/>
  <c r="L492" i="15"/>
  <c r="L493" i="15"/>
  <c r="L494" i="15"/>
  <c r="L495" i="15"/>
  <c r="L496" i="15"/>
  <c r="L497" i="15"/>
  <c r="L498" i="15"/>
  <c r="L499" i="15"/>
  <c r="L500" i="15"/>
  <c r="L501" i="15"/>
  <c r="L502" i="15"/>
  <c r="L503" i="15"/>
  <c r="L504" i="15"/>
  <c r="L505" i="15"/>
  <c r="L506" i="15"/>
  <c r="L507" i="15"/>
  <c r="L508" i="15"/>
  <c r="L509" i="15"/>
  <c r="L510" i="15"/>
  <c r="L511" i="15"/>
  <c r="L512" i="15"/>
  <c r="L513" i="15"/>
  <c r="L514" i="15"/>
  <c r="L515" i="15"/>
  <c r="L516" i="15"/>
  <c r="L517" i="15"/>
  <c r="L518" i="15"/>
  <c r="L519" i="15"/>
  <c r="L520" i="15"/>
  <c r="L521" i="15"/>
  <c r="L522" i="15"/>
  <c r="L523" i="15"/>
  <c r="L524" i="15"/>
  <c r="L525" i="15"/>
  <c r="L526" i="15"/>
  <c r="L527" i="15"/>
  <c r="L528" i="15"/>
  <c r="L529" i="15"/>
  <c r="L530" i="15"/>
  <c r="L531" i="15"/>
  <c r="L532" i="15"/>
  <c r="L533" i="15"/>
  <c r="L534" i="15"/>
  <c r="L535" i="15"/>
  <c r="L536" i="15"/>
  <c r="L537" i="15"/>
  <c r="L538" i="15"/>
  <c r="L539" i="15"/>
  <c r="L540" i="15"/>
  <c r="L541" i="15"/>
  <c r="L542" i="15"/>
  <c r="L543" i="15"/>
  <c r="L544" i="15"/>
  <c r="L545" i="15"/>
  <c r="L546" i="15"/>
  <c r="L547" i="15"/>
  <c r="L548" i="15"/>
  <c r="L549" i="15"/>
  <c r="L550" i="15"/>
  <c r="L551" i="15"/>
  <c r="L552" i="15"/>
  <c r="L553" i="15"/>
  <c r="L554" i="15"/>
  <c r="L555" i="15"/>
  <c r="L556" i="15"/>
  <c r="L557" i="15"/>
  <c r="L558" i="15"/>
  <c r="L559" i="15"/>
  <c r="L560" i="15"/>
  <c r="L561" i="15"/>
  <c r="L562" i="15"/>
  <c r="L563" i="15"/>
  <c r="L564" i="15"/>
  <c r="L565" i="15"/>
  <c r="L566" i="15"/>
  <c r="L567" i="15"/>
  <c r="L568" i="15"/>
  <c r="L569" i="15"/>
  <c r="L570" i="15"/>
  <c r="L571" i="15"/>
  <c r="L572" i="15"/>
  <c r="L573" i="15"/>
  <c r="L574" i="15"/>
  <c r="L575" i="15"/>
  <c r="L576" i="15"/>
  <c r="L577" i="15"/>
  <c r="L578" i="15"/>
  <c r="L579" i="15"/>
  <c r="L580" i="15"/>
  <c r="L581" i="15"/>
  <c r="L582" i="15"/>
  <c r="L583" i="15"/>
  <c r="L584" i="15"/>
  <c r="L585" i="15"/>
  <c r="L586" i="15"/>
  <c r="L587" i="15"/>
  <c r="L588" i="15"/>
  <c r="L589" i="15"/>
  <c r="L590" i="15"/>
  <c r="L591" i="15"/>
  <c r="L592" i="15"/>
  <c r="L593" i="15"/>
  <c r="L594" i="15"/>
  <c r="L595" i="15"/>
  <c r="L596" i="15"/>
  <c r="L597" i="15"/>
  <c r="L598" i="15"/>
  <c r="L599" i="15"/>
  <c r="L600" i="15"/>
  <c r="L601" i="15"/>
  <c r="L602" i="15"/>
  <c r="L603" i="15"/>
  <c r="L604" i="15"/>
  <c r="L605" i="15"/>
  <c r="L606" i="15"/>
  <c r="L607" i="15"/>
  <c r="L608" i="15"/>
  <c r="L609" i="15"/>
  <c r="L610" i="15"/>
  <c r="L611" i="15"/>
  <c r="L612" i="15"/>
  <c r="L613" i="15"/>
  <c r="L614" i="15"/>
  <c r="L615" i="15"/>
  <c r="L616" i="15"/>
  <c r="L617" i="15"/>
  <c r="L618" i="15"/>
  <c r="L619" i="15"/>
  <c r="L620" i="15"/>
  <c r="L621" i="15"/>
  <c r="L622" i="15"/>
  <c r="L623" i="15"/>
  <c r="L624" i="15"/>
  <c r="L625" i="15"/>
  <c r="L626" i="15"/>
  <c r="L627" i="15"/>
  <c r="L628" i="15"/>
  <c r="L629" i="15"/>
  <c r="L630" i="15"/>
  <c r="L631" i="15"/>
  <c r="L632" i="15"/>
  <c r="L633" i="15"/>
  <c r="L634" i="15"/>
  <c r="L635" i="15"/>
  <c r="L636" i="15"/>
  <c r="L637" i="15"/>
  <c r="L638" i="15"/>
  <c r="L639" i="15"/>
  <c r="L640" i="15"/>
  <c r="L641" i="15"/>
  <c r="L642" i="15"/>
  <c r="L643" i="15"/>
  <c r="L644" i="15"/>
  <c r="L645" i="15"/>
  <c r="L646" i="15"/>
  <c r="L647" i="15"/>
  <c r="L648" i="15"/>
  <c r="L649" i="15"/>
  <c r="L650" i="15"/>
  <c r="L651" i="15"/>
  <c r="L652" i="15"/>
  <c r="L653" i="15"/>
  <c r="L654" i="15"/>
  <c r="L655" i="15"/>
  <c r="L656" i="15"/>
  <c r="L657" i="15"/>
  <c r="L658" i="15"/>
  <c r="L659" i="15"/>
  <c r="L660" i="15"/>
  <c r="L661" i="15"/>
  <c r="L662" i="15"/>
  <c r="L663" i="15"/>
  <c r="L664" i="15"/>
  <c r="L665" i="15"/>
  <c r="L666" i="15"/>
  <c r="L667" i="15"/>
  <c r="L668" i="15"/>
  <c r="L669" i="15"/>
  <c r="L670" i="15"/>
  <c r="L671" i="15"/>
  <c r="L672" i="15"/>
  <c r="L673" i="15"/>
  <c r="L674" i="15"/>
  <c r="L675" i="15"/>
  <c r="L676" i="15"/>
  <c r="L677" i="15"/>
  <c r="L678" i="15"/>
  <c r="L679" i="15"/>
  <c r="L680" i="15"/>
  <c r="L681" i="15"/>
  <c r="L682" i="15"/>
  <c r="L683" i="15"/>
  <c r="L684" i="15"/>
  <c r="L685" i="15"/>
  <c r="L686" i="15"/>
  <c r="L687" i="15"/>
  <c r="L688" i="15"/>
  <c r="L689" i="15"/>
  <c r="L690" i="15"/>
  <c r="L691" i="15"/>
  <c r="L692" i="15"/>
  <c r="L693" i="15"/>
  <c r="L694" i="15"/>
  <c r="L695" i="15"/>
  <c r="L696" i="15"/>
  <c r="L697" i="15"/>
  <c r="L698" i="15"/>
  <c r="L699" i="15"/>
  <c r="L700" i="15"/>
  <c r="L701" i="15"/>
  <c r="L702" i="15"/>
  <c r="L703" i="15"/>
  <c r="L704" i="15"/>
  <c r="L705" i="15"/>
  <c r="L706" i="15"/>
  <c r="L707" i="15"/>
  <c r="L708" i="15"/>
  <c r="L709" i="15"/>
  <c r="L710" i="15"/>
  <c r="L711" i="15"/>
  <c r="L712" i="15"/>
  <c r="L713" i="15"/>
  <c r="L714" i="15"/>
  <c r="L715" i="15"/>
  <c r="L716" i="15"/>
  <c r="L717" i="15"/>
  <c r="L718" i="15"/>
  <c r="L719" i="15"/>
  <c r="L720" i="15"/>
  <c r="L721" i="15"/>
  <c r="L722" i="15"/>
  <c r="L723" i="15"/>
  <c r="L724" i="15"/>
  <c r="L725" i="15"/>
  <c r="L726" i="15"/>
  <c r="L727" i="15"/>
  <c r="L728" i="15"/>
  <c r="L729" i="15"/>
  <c r="L730" i="15"/>
  <c r="L731" i="15"/>
  <c r="L732" i="15"/>
  <c r="L733" i="15"/>
  <c r="L734" i="15"/>
  <c r="L735" i="15"/>
  <c r="L736" i="15"/>
  <c r="L737" i="15"/>
  <c r="L738" i="15"/>
  <c r="L739" i="15"/>
  <c r="L740" i="15"/>
  <c r="L741" i="15"/>
  <c r="L742" i="15"/>
  <c r="L743" i="15"/>
  <c r="L744" i="15"/>
  <c r="L745" i="15"/>
  <c r="L746" i="15"/>
  <c r="L747" i="15"/>
  <c r="L748" i="15"/>
  <c r="L749" i="15"/>
  <c r="L750" i="15"/>
  <c r="L751" i="15"/>
  <c r="L752" i="15"/>
  <c r="L753" i="15"/>
  <c r="L754" i="15"/>
  <c r="L755" i="15"/>
  <c r="L756" i="15"/>
  <c r="L757" i="15"/>
  <c r="L758" i="15"/>
  <c r="L759" i="15"/>
  <c r="L760" i="15"/>
  <c r="L761" i="15"/>
  <c r="L762" i="15"/>
  <c r="L763" i="15"/>
  <c r="L764" i="15"/>
  <c r="L765" i="15"/>
  <c r="L766" i="15"/>
  <c r="L767" i="15"/>
  <c r="L768" i="15"/>
  <c r="L769" i="15"/>
  <c r="L770" i="15"/>
  <c r="L771" i="15"/>
  <c r="L772" i="15"/>
  <c r="L773" i="15"/>
  <c r="L774" i="15"/>
  <c r="L775" i="15"/>
  <c r="L776" i="15"/>
  <c r="L777" i="15"/>
  <c r="L778" i="15"/>
  <c r="L779" i="15"/>
  <c r="L780" i="15"/>
  <c r="L781" i="15"/>
  <c r="L782" i="15"/>
  <c r="L783" i="15"/>
  <c r="L784" i="15"/>
  <c r="L785" i="15"/>
  <c r="L786" i="15"/>
  <c r="L787" i="15"/>
  <c r="L788" i="15"/>
  <c r="L789" i="15"/>
  <c r="L790" i="15"/>
  <c r="L791" i="15"/>
  <c r="L792" i="15"/>
  <c r="L793" i="15"/>
  <c r="L794" i="15"/>
  <c r="L795" i="15"/>
  <c r="L796" i="15"/>
  <c r="L797" i="15"/>
  <c r="L798" i="15"/>
  <c r="L799" i="15"/>
  <c r="L800" i="15"/>
  <c r="L801" i="15"/>
  <c r="L802" i="15"/>
  <c r="L803" i="15"/>
  <c r="L804" i="15"/>
  <c r="L805" i="15"/>
  <c r="L806" i="15"/>
  <c r="L807" i="15"/>
  <c r="L808" i="15"/>
  <c r="L809" i="15"/>
  <c r="L810" i="15"/>
  <c r="L811" i="15"/>
  <c r="L812" i="15"/>
  <c r="L813" i="15"/>
  <c r="L814" i="15"/>
  <c r="L815" i="15"/>
  <c r="L816" i="15"/>
  <c r="L817" i="15"/>
  <c r="L818" i="15"/>
  <c r="L819" i="15"/>
  <c r="L820" i="15"/>
  <c r="L821" i="15"/>
  <c r="L822" i="15"/>
  <c r="L823" i="15"/>
  <c r="L824" i="15"/>
  <c r="L825" i="15"/>
  <c r="L826" i="15"/>
  <c r="L827" i="15"/>
  <c r="L828" i="15"/>
  <c r="L829" i="15"/>
  <c r="L830" i="15"/>
  <c r="L831" i="15"/>
  <c r="L832" i="15"/>
  <c r="L833" i="15"/>
  <c r="L834" i="15"/>
  <c r="L835" i="15"/>
  <c r="L836" i="15"/>
  <c r="L837" i="15"/>
  <c r="L838" i="15"/>
  <c r="L839" i="15"/>
  <c r="L840" i="15"/>
  <c r="L841" i="15"/>
  <c r="L842" i="15"/>
  <c r="L843" i="15"/>
  <c r="L844" i="15"/>
  <c r="L845" i="15"/>
  <c r="L846" i="15"/>
  <c r="L847" i="15"/>
  <c r="L848" i="15"/>
  <c r="L849" i="15"/>
  <c r="L850" i="15"/>
  <c r="L851" i="15"/>
  <c r="L852" i="15"/>
  <c r="L853" i="15"/>
  <c r="L854" i="15"/>
  <c r="L855" i="15"/>
  <c r="L856" i="15"/>
  <c r="L857" i="15"/>
  <c r="L858" i="15"/>
  <c r="L859" i="15"/>
  <c r="L860" i="15"/>
  <c r="L861" i="15"/>
  <c r="L862" i="15"/>
  <c r="L863" i="15"/>
  <c r="L864" i="15"/>
  <c r="L865" i="15"/>
  <c r="L866" i="15"/>
  <c r="L867" i="15"/>
  <c r="L868" i="15"/>
  <c r="L869" i="15"/>
  <c r="L870" i="15"/>
  <c r="L871" i="15"/>
  <c r="L872" i="15"/>
  <c r="L873" i="15"/>
  <c r="L874" i="15"/>
  <c r="L875" i="15"/>
  <c r="L876" i="15"/>
  <c r="L877" i="15"/>
  <c r="L878" i="15"/>
  <c r="L879" i="15"/>
  <c r="L880" i="15"/>
  <c r="L881" i="15"/>
  <c r="L882" i="15"/>
  <c r="L883" i="15"/>
  <c r="L884" i="15"/>
  <c r="L885" i="15"/>
  <c r="L886" i="15"/>
  <c r="L887" i="15"/>
  <c r="L888" i="15"/>
  <c r="L889" i="15"/>
  <c r="L890" i="15"/>
  <c r="L891" i="15"/>
  <c r="L892" i="15"/>
  <c r="L893" i="15"/>
  <c r="L894" i="15"/>
  <c r="L895" i="15"/>
  <c r="L896" i="15"/>
  <c r="L897" i="15"/>
  <c r="L898" i="15"/>
  <c r="L899" i="15"/>
  <c r="L900" i="15"/>
  <c r="L901" i="15"/>
  <c r="L902" i="15"/>
  <c r="L903" i="15"/>
  <c r="L904" i="15"/>
  <c r="L905" i="15"/>
  <c r="L906" i="15"/>
  <c r="L907" i="15"/>
  <c r="L908" i="15"/>
  <c r="L909" i="15"/>
  <c r="L910" i="15"/>
  <c r="L911" i="15"/>
  <c r="L912" i="15"/>
  <c r="L913" i="15"/>
  <c r="L914" i="15"/>
  <c r="L915" i="15"/>
  <c r="L916" i="15"/>
  <c r="L917" i="15"/>
  <c r="L918" i="15"/>
  <c r="L919" i="15"/>
  <c r="L920" i="15"/>
  <c r="L921" i="15"/>
  <c r="L922" i="15"/>
  <c r="L923" i="15"/>
  <c r="L924" i="15"/>
  <c r="L925" i="15"/>
  <c r="L926" i="15"/>
  <c r="L927" i="15"/>
  <c r="L928" i="15"/>
  <c r="L929" i="15"/>
  <c r="L930" i="15"/>
  <c r="L931" i="15"/>
  <c r="L932" i="15"/>
  <c r="L933" i="15"/>
  <c r="L934" i="15"/>
  <c r="L935" i="15"/>
  <c r="L936" i="15"/>
  <c r="L937" i="15"/>
  <c r="L938" i="15"/>
  <c r="L939" i="15"/>
  <c r="L940" i="15"/>
  <c r="L941" i="15"/>
  <c r="L942" i="15"/>
  <c r="L943" i="15"/>
  <c r="L944" i="15"/>
  <c r="L945" i="15"/>
  <c r="L946" i="15"/>
  <c r="L947" i="15"/>
  <c r="L948" i="15"/>
  <c r="L949" i="15"/>
  <c r="L950" i="15"/>
  <c r="L951" i="15"/>
  <c r="L952" i="15"/>
  <c r="L953" i="15"/>
  <c r="L954" i="15"/>
  <c r="L955" i="15"/>
  <c r="L956" i="15"/>
  <c r="L957" i="15"/>
  <c r="L958" i="15"/>
  <c r="L959" i="15"/>
  <c r="L960" i="15"/>
  <c r="L961" i="15"/>
  <c r="L962" i="15"/>
  <c r="L963" i="15"/>
  <c r="L964" i="15"/>
  <c r="L965" i="15"/>
  <c r="L966" i="15"/>
  <c r="L967" i="15"/>
  <c r="L968" i="15"/>
  <c r="L969" i="15"/>
  <c r="L970" i="15"/>
  <c r="L971" i="15"/>
  <c r="L972" i="15"/>
  <c r="L973" i="15"/>
  <c r="L974" i="15"/>
  <c r="L975" i="15"/>
  <c r="L976" i="15"/>
  <c r="L977" i="15"/>
  <c r="L978" i="15"/>
  <c r="L979" i="15"/>
  <c r="L980" i="15"/>
  <c r="L981" i="15"/>
  <c r="L982" i="15"/>
  <c r="L983" i="15"/>
  <c r="L984" i="15"/>
  <c r="L985" i="15"/>
  <c r="L986" i="15"/>
  <c r="L987" i="15"/>
  <c r="L988" i="15"/>
  <c r="L989" i="15"/>
  <c r="L990" i="15"/>
  <c r="L991" i="15"/>
  <c r="L992" i="15"/>
  <c r="L993" i="15"/>
  <c r="L994" i="15"/>
  <c r="L995" i="15"/>
  <c r="L996" i="15"/>
  <c r="L997" i="15"/>
  <c r="L998" i="15"/>
  <c r="L999" i="15"/>
  <c r="L1000" i="15"/>
  <c r="L1001" i="15"/>
  <c r="L1002" i="15"/>
  <c r="L1003" i="15"/>
  <c r="L1004" i="15"/>
  <c r="L1005" i="15"/>
  <c r="L1006" i="15"/>
  <c r="L1007" i="15"/>
  <c r="L1008" i="15"/>
  <c r="L1009" i="15"/>
  <c r="L1010" i="15"/>
  <c r="L1011" i="15"/>
  <c r="L1012" i="15"/>
  <c r="L1013" i="15"/>
  <c r="L1014" i="15"/>
  <c r="L1015" i="15"/>
  <c r="L1016" i="15"/>
  <c r="L1017" i="15"/>
  <c r="L1018" i="15"/>
  <c r="L1019" i="15"/>
  <c r="L1020" i="15"/>
  <c r="L1021" i="15"/>
  <c r="L1022" i="15"/>
  <c r="L1023" i="15"/>
  <c r="L1024" i="15"/>
  <c r="L1025" i="15"/>
  <c r="L1026" i="15"/>
  <c r="L1027" i="15"/>
  <c r="L1028" i="15"/>
  <c r="L1029" i="15"/>
  <c r="L1030" i="15"/>
  <c r="L1031" i="15"/>
  <c r="L1032" i="15"/>
  <c r="L1033" i="15"/>
  <c r="L1034" i="15"/>
  <c r="L1035" i="15"/>
  <c r="L1036" i="15"/>
  <c r="L1037" i="15"/>
  <c r="L1038" i="15"/>
  <c r="L1039" i="15"/>
  <c r="L1040" i="15"/>
  <c r="L1041" i="15"/>
  <c r="L1042" i="15"/>
  <c r="L1043" i="15"/>
  <c r="L1044" i="15"/>
  <c r="L1045" i="15"/>
  <c r="L1046" i="15"/>
  <c r="L1047" i="15"/>
  <c r="L1048" i="15"/>
  <c r="L1049" i="15"/>
  <c r="L1050" i="15"/>
  <c r="L1051" i="15"/>
  <c r="L1052" i="15"/>
  <c r="L1053" i="15"/>
  <c r="L1054" i="15"/>
  <c r="L1055" i="15"/>
  <c r="L1056" i="15"/>
  <c r="L1057" i="15"/>
  <c r="L1058" i="15"/>
  <c r="L1059" i="15"/>
  <c r="L1060" i="15"/>
  <c r="L1061" i="15"/>
  <c r="L1062" i="15"/>
  <c r="L1063" i="15"/>
  <c r="L1064" i="15"/>
  <c r="L1065" i="15"/>
  <c r="L1066" i="15"/>
  <c r="L1067" i="15"/>
  <c r="L1068" i="15"/>
  <c r="L1069" i="15"/>
  <c r="L1070" i="15"/>
  <c r="L1071" i="15"/>
  <c r="L1072" i="15"/>
  <c r="L1073" i="15"/>
  <c r="L1074" i="15"/>
  <c r="L1075" i="15"/>
  <c r="L1076" i="15"/>
  <c r="L1077" i="15"/>
  <c r="L1078" i="15"/>
  <c r="L1079" i="15"/>
  <c r="L1080" i="15"/>
  <c r="L1081" i="15"/>
  <c r="L1082" i="15"/>
  <c r="L1083" i="15"/>
  <c r="L1084" i="15"/>
  <c r="L1085" i="15"/>
  <c r="L1086" i="15"/>
  <c r="L1087" i="15"/>
  <c r="L1088" i="15"/>
  <c r="L1089" i="15"/>
  <c r="L1090" i="15"/>
  <c r="L1091" i="15"/>
  <c r="L1092" i="15"/>
  <c r="L1093" i="15"/>
  <c r="L1094" i="15"/>
  <c r="L1095" i="15"/>
  <c r="L1096" i="15"/>
  <c r="L1097" i="15"/>
  <c r="L1098" i="15"/>
  <c r="L1099" i="15"/>
  <c r="L1100" i="15"/>
  <c r="L1101" i="15"/>
  <c r="L1102" i="15"/>
  <c r="L1103" i="15"/>
  <c r="L1104" i="15"/>
  <c r="L1105" i="15"/>
  <c r="L1106" i="15"/>
  <c r="L1107" i="15"/>
  <c r="L1108" i="15"/>
  <c r="L1109" i="15"/>
  <c r="L1110" i="15"/>
  <c r="L1111" i="15"/>
  <c r="L1112" i="15"/>
  <c r="L1113" i="15"/>
  <c r="L1114" i="15"/>
  <c r="L1115" i="15"/>
  <c r="L1116" i="15"/>
  <c r="L1117" i="15"/>
  <c r="L1118" i="15"/>
  <c r="L1119" i="15"/>
  <c r="L1120" i="15"/>
  <c r="L1121" i="15"/>
  <c r="L1122" i="15"/>
  <c r="L1123" i="15"/>
  <c r="L1124" i="15"/>
  <c r="L1125" i="15"/>
  <c r="L1126" i="15"/>
  <c r="L1127" i="15"/>
  <c r="L1128" i="15"/>
  <c r="L1129" i="15"/>
  <c r="L1130" i="15"/>
  <c r="L1131" i="15"/>
  <c r="L1132" i="15"/>
  <c r="L1133" i="15"/>
  <c r="L1134" i="15"/>
  <c r="L1135" i="15"/>
  <c r="L1136" i="15"/>
  <c r="L1137" i="15"/>
  <c r="L1138" i="15"/>
  <c r="L1139" i="15"/>
  <c r="L1140" i="15"/>
  <c r="L1141" i="15"/>
  <c r="L1142" i="15"/>
  <c r="L1143" i="15"/>
  <c r="L1144" i="15"/>
  <c r="L1145" i="15"/>
  <c r="L1146" i="15"/>
  <c r="L1147" i="15"/>
  <c r="L1148" i="15"/>
  <c r="L1149" i="15"/>
  <c r="L1150" i="15"/>
  <c r="L1151" i="15"/>
  <c r="L1152" i="15"/>
  <c r="L1153" i="15"/>
  <c r="L1154" i="15"/>
  <c r="L1155" i="15"/>
  <c r="L1156" i="15"/>
  <c r="L1157" i="15"/>
  <c r="L1158" i="15"/>
  <c r="L1159" i="15"/>
  <c r="L1160" i="15"/>
  <c r="L1161" i="15"/>
  <c r="L1162" i="15"/>
  <c r="L1163" i="15"/>
  <c r="L1164" i="15"/>
  <c r="L1165" i="15"/>
  <c r="L1166" i="15"/>
  <c r="L1167" i="15"/>
  <c r="L1168" i="15"/>
  <c r="L1169" i="15"/>
  <c r="L1170" i="15"/>
  <c r="L1171" i="15"/>
  <c r="L1172" i="15"/>
  <c r="L1173" i="15"/>
  <c r="L1174" i="15"/>
  <c r="L1175" i="15"/>
  <c r="L1176" i="15"/>
  <c r="L1177" i="15"/>
  <c r="L1178" i="15"/>
  <c r="L1179" i="15"/>
  <c r="L1180" i="15"/>
  <c r="L1181" i="15"/>
  <c r="L1182" i="15"/>
  <c r="L1183" i="15"/>
  <c r="L1184" i="15"/>
  <c r="L1185" i="15"/>
  <c r="L1186" i="15"/>
  <c r="L1187" i="15"/>
  <c r="L1188" i="15"/>
  <c r="L1189" i="15"/>
  <c r="L1190" i="15"/>
  <c r="L1191" i="15"/>
  <c r="L1192" i="15"/>
  <c r="L1193" i="15"/>
  <c r="L1194" i="15"/>
  <c r="L1195" i="15"/>
  <c r="L1196" i="15"/>
  <c r="L1197" i="15"/>
  <c r="L1198" i="15"/>
  <c r="L1199" i="15"/>
  <c r="L1200" i="15"/>
  <c r="L1201" i="15"/>
  <c r="L1202" i="15"/>
  <c r="L1203" i="15"/>
  <c r="L1204" i="15"/>
  <c r="L1205" i="15"/>
  <c r="L1206" i="15"/>
  <c r="L1207" i="15"/>
  <c r="L1208" i="15"/>
  <c r="L1209" i="15"/>
  <c r="L1210" i="15"/>
  <c r="L1211" i="15"/>
  <c r="L1212" i="15"/>
  <c r="L1213" i="15"/>
  <c r="L1214" i="15"/>
  <c r="L1215" i="15"/>
  <c r="N8" i="15"/>
  <c r="N9" i="15"/>
  <c r="N10" i="15"/>
  <c r="N11" i="15"/>
  <c r="N12" i="15"/>
  <c r="N13" i="15"/>
  <c r="N14" i="15"/>
  <c r="N15" i="15"/>
  <c r="N16" i="15"/>
  <c r="N17" i="15"/>
  <c r="N18" i="15"/>
  <c r="N19" i="15"/>
  <c r="N20" i="15"/>
  <c r="N21" i="15"/>
  <c r="N22" i="15"/>
  <c r="N23" i="15"/>
  <c r="N24" i="15"/>
  <c r="N25" i="15"/>
  <c r="N26" i="15"/>
  <c r="N27" i="15"/>
  <c r="N28" i="15"/>
  <c r="N29" i="15"/>
  <c r="N30" i="15"/>
  <c r="N31" i="15"/>
  <c r="N32" i="15"/>
  <c r="N33" i="15"/>
  <c r="N34" i="15"/>
  <c r="N35" i="15"/>
  <c r="N36" i="15"/>
  <c r="N37" i="15"/>
  <c r="N38" i="15"/>
  <c r="N39" i="15"/>
  <c r="N40" i="15"/>
  <c r="N41" i="15"/>
  <c r="N42" i="15"/>
  <c r="N43" i="15"/>
  <c r="N44" i="15"/>
  <c r="N45" i="15"/>
  <c r="N46" i="15"/>
  <c r="N47" i="15"/>
  <c r="N48" i="15"/>
  <c r="N49" i="15"/>
  <c r="N50" i="15"/>
  <c r="N51" i="15"/>
  <c r="N52" i="15"/>
  <c r="N53" i="15"/>
  <c r="N54" i="15"/>
  <c r="N55" i="15"/>
  <c r="N56" i="15"/>
  <c r="N57" i="15"/>
  <c r="N58" i="15"/>
  <c r="N59" i="15"/>
  <c r="N60" i="15"/>
  <c r="N61" i="15"/>
  <c r="N62" i="15"/>
  <c r="N63" i="15"/>
  <c r="N64" i="15"/>
  <c r="N65" i="15"/>
  <c r="N66" i="15"/>
  <c r="N67" i="15"/>
  <c r="N68" i="15"/>
  <c r="N69" i="15"/>
  <c r="N70" i="15"/>
  <c r="N71" i="15"/>
  <c r="N72" i="15"/>
  <c r="N73" i="15"/>
  <c r="N74" i="15"/>
  <c r="N75" i="15"/>
  <c r="N76" i="15"/>
  <c r="N77" i="15"/>
  <c r="N78" i="15"/>
  <c r="N79" i="15"/>
  <c r="N80" i="15"/>
  <c r="N81" i="15"/>
  <c r="N82" i="15"/>
  <c r="N83" i="15"/>
  <c r="N84" i="15"/>
  <c r="N85" i="15"/>
  <c r="N86" i="15"/>
  <c r="N87" i="15"/>
  <c r="N88" i="15"/>
  <c r="N89" i="15"/>
  <c r="N90" i="15"/>
  <c r="N91" i="15"/>
  <c r="N92" i="15"/>
  <c r="N93" i="15"/>
  <c r="N94" i="15"/>
  <c r="N95" i="15"/>
  <c r="N96" i="15"/>
  <c r="N97" i="15"/>
  <c r="N98" i="15"/>
  <c r="N99" i="15"/>
  <c r="N100" i="15"/>
  <c r="N101" i="15"/>
  <c r="N102" i="15"/>
  <c r="N103" i="15"/>
  <c r="N104" i="15"/>
  <c r="N105" i="15"/>
  <c r="N106" i="15"/>
  <c r="N107" i="15"/>
  <c r="N108" i="15"/>
  <c r="N109" i="15"/>
  <c r="N110" i="15"/>
  <c r="N111" i="15"/>
  <c r="N112" i="15"/>
  <c r="N113" i="15"/>
  <c r="N114" i="15"/>
  <c r="N115" i="15"/>
  <c r="N116" i="15"/>
  <c r="N117" i="15"/>
  <c r="N118" i="15"/>
  <c r="N119" i="15"/>
  <c r="N120" i="15"/>
  <c r="N121" i="15"/>
  <c r="N122" i="15"/>
  <c r="N123" i="15"/>
  <c r="N124" i="15"/>
  <c r="N125" i="15"/>
  <c r="N126" i="15"/>
  <c r="N127" i="15"/>
  <c r="N128" i="15"/>
  <c r="N129" i="15"/>
  <c r="N130" i="15"/>
  <c r="N131" i="15"/>
  <c r="N132" i="15"/>
  <c r="N133" i="15"/>
  <c r="N134" i="15"/>
  <c r="N135" i="15"/>
  <c r="N136" i="15"/>
  <c r="N137" i="15"/>
  <c r="N138" i="15"/>
  <c r="N139" i="15"/>
  <c r="N140" i="15"/>
  <c r="N141" i="15"/>
  <c r="N142" i="15"/>
  <c r="N143" i="15"/>
  <c r="N144" i="15"/>
  <c r="N145" i="15"/>
  <c r="N146" i="15"/>
  <c r="N147" i="15"/>
  <c r="N148" i="15"/>
  <c r="N149" i="15"/>
  <c r="N150" i="15"/>
  <c r="N151" i="15"/>
  <c r="N152" i="15"/>
  <c r="N153" i="15"/>
  <c r="N154" i="15"/>
  <c r="N155" i="15"/>
  <c r="N156" i="15"/>
  <c r="N157" i="15"/>
  <c r="N158" i="15"/>
  <c r="N159" i="15"/>
  <c r="N160" i="15"/>
  <c r="N161" i="15"/>
  <c r="N162" i="15"/>
  <c r="N163" i="15"/>
  <c r="N164" i="15"/>
  <c r="N165" i="15"/>
  <c r="N166" i="15"/>
  <c r="N167" i="15"/>
  <c r="N168" i="15"/>
  <c r="N169" i="15"/>
  <c r="N170" i="15"/>
  <c r="N171" i="15"/>
  <c r="N172" i="15"/>
  <c r="N173" i="15"/>
  <c r="N174" i="15"/>
  <c r="N175" i="15"/>
  <c r="N176" i="15"/>
  <c r="N177" i="15"/>
  <c r="N178" i="15"/>
  <c r="N179" i="15"/>
  <c r="N180" i="15"/>
  <c r="N181" i="15"/>
  <c r="N182" i="15"/>
  <c r="N183" i="15"/>
  <c r="N184" i="15"/>
  <c r="N185" i="15"/>
  <c r="N186" i="15"/>
  <c r="N187" i="15"/>
  <c r="N188" i="15"/>
  <c r="N189" i="15"/>
  <c r="N190" i="15"/>
  <c r="N191" i="15"/>
  <c r="N192" i="15"/>
  <c r="N193" i="15"/>
  <c r="N194" i="15"/>
  <c r="N195" i="15"/>
  <c r="N196" i="15"/>
  <c r="N197" i="15"/>
  <c r="N198" i="15"/>
  <c r="N199" i="15"/>
  <c r="N200" i="15"/>
  <c r="N201" i="15"/>
  <c r="N202" i="15"/>
  <c r="N203" i="15"/>
  <c r="N204" i="15"/>
  <c r="N205" i="15"/>
  <c r="N206" i="15"/>
  <c r="N207" i="15"/>
  <c r="N208" i="15"/>
  <c r="N209" i="15"/>
  <c r="N210" i="15"/>
  <c r="N211" i="15"/>
  <c r="N212" i="15"/>
  <c r="N213" i="15"/>
  <c r="N214" i="15"/>
  <c r="N215" i="15"/>
  <c r="N216" i="15"/>
  <c r="N217" i="15"/>
  <c r="N218" i="15"/>
  <c r="N219" i="15"/>
  <c r="N220" i="15"/>
  <c r="N221" i="15"/>
  <c r="N222" i="15"/>
  <c r="N223" i="15"/>
  <c r="N224" i="15"/>
  <c r="N225" i="15"/>
  <c r="N226" i="15"/>
  <c r="N227" i="15"/>
  <c r="N228" i="15"/>
  <c r="N229" i="15"/>
  <c r="N230" i="15"/>
  <c r="N231" i="15"/>
  <c r="N232" i="15"/>
  <c r="N233" i="15"/>
  <c r="N234" i="15"/>
  <c r="N235" i="15"/>
  <c r="N236" i="15"/>
  <c r="N237" i="15"/>
  <c r="N238" i="15"/>
  <c r="N239" i="15"/>
  <c r="N240" i="15"/>
  <c r="N241" i="15"/>
  <c r="N242" i="15"/>
  <c r="N243" i="15"/>
  <c r="N244" i="15"/>
  <c r="N245" i="15"/>
  <c r="N246" i="15"/>
  <c r="N247" i="15"/>
  <c r="N248" i="15"/>
  <c r="N249" i="15"/>
  <c r="N250" i="15"/>
  <c r="N251" i="15"/>
  <c r="N252" i="15"/>
  <c r="N253" i="15"/>
  <c r="N254" i="15"/>
  <c r="N255" i="15"/>
  <c r="N256" i="15"/>
  <c r="N257" i="15"/>
  <c r="N258" i="15"/>
  <c r="N259" i="15"/>
  <c r="N260" i="15"/>
  <c r="N261" i="15"/>
  <c r="N262" i="15"/>
  <c r="N263" i="15"/>
  <c r="N264" i="15"/>
  <c r="N265" i="15"/>
  <c r="N266" i="15"/>
  <c r="N267" i="15"/>
  <c r="N268" i="15"/>
  <c r="N269" i="15"/>
  <c r="N270" i="15"/>
  <c r="N271" i="15"/>
  <c r="N272" i="15"/>
  <c r="N273" i="15"/>
  <c r="N274" i="15"/>
  <c r="N275" i="15"/>
  <c r="N276" i="15"/>
  <c r="N277" i="15"/>
  <c r="N278" i="15"/>
  <c r="N279" i="15"/>
  <c r="N280" i="15"/>
  <c r="N281" i="15"/>
  <c r="N282" i="15"/>
  <c r="N283" i="15"/>
  <c r="N284" i="15"/>
  <c r="N285" i="15"/>
  <c r="N286" i="15"/>
  <c r="N287" i="15"/>
  <c r="N288" i="15"/>
  <c r="N289" i="15"/>
  <c r="N290" i="15"/>
  <c r="N291" i="15"/>
  <c r="N292" i="15"/>
  <c r="N293" i="15"/>
  <c r="N294" i="15"/>
  <c r="N295" i="15"/>
  <c r="N296" i="15"/>
  <c r="N297" i="15"/>
  <c r="N298" i="15"/>
  <c r="N299" i="15"/>
  <c r="N300" i="15"/>
  <c r="N301" i="15"/>
  <c r="N302" i="15"/>
  <c r="N303" i="15"/>
  <c r="N304" i="15"/>
  <c r="N305" i="15"/>
  <c r="N306" i="15"/>
  <c r="N307" i="15"/>
  <c r="N308" i="15"/>
  <c r="N309" i="15"/>
  <c r="N310" i="15"/>
  <c r="N311" i="15"/>
  <c r="N312" i="15"/>
  <c r="N313" i="15"/>
  <c r="N314" i="15"/>
  <c r="N315" i="15"/>
  <c r="N316" i="15"/>
  <c r="N317" i="15"/>
  <c r="N318" i="15"/>
  <c r="N319" i="15"/>
  <c r="N320" i="15"/>
  <c r="N321" i="15"/>
  <c r="N322" i="15"/>
  <c r="N323" i="15"/>
  <c r="N324" i="15"/>
  <c r="N325" i="15"/>
  <c r="N326" i="15"/>
  <c r="N327" i="15"/>
  <c r="N328" i="15"/>
  <c r="N329" i="15"/>
  <c r="N330" i="15"/>
  <c r="N331" i="15"/>
  <c r="N332" i="15"/>
  <c r="N333" i="15"/>
  <c r="N334" i="15"/>
  <c r="N335" i="15"/>
  <c r="N336" i="15"/>
  <c r="N337" i="15"/>
  <c r="N338" i="15"/>
  <c r="N339" i="15"/>
  <c r="N340" i="15"/>
  <c r="N341" i="15"/>
  <c r="N342" i="15"/>
  <c r="N343" i="15"/>
  <c r="N344" i="15"/>
  <c r="N345" i="15"/>
  <c r="N346" i="15"/>
  <c r="N347" i="15"/>
  <c r="N348" i="15"/>
  <c r="N349" i="15"/>
  <c r="N350" i="15"/>
  <c r="N351" i="15"/>
  <c r="N352" i="15"/>
  <c r="N353" i="15"/>
  <c r="N354" i="15"/>
  <c r="N355" i="15"/>
  <c r="N356" i="15"/>
  <c r="N357" i="15"/>
  <c r="N358" i="15"/>
  <c r="N359" i="15"/>
  <c r="N360" i="15"/>
  <c r="N361" i="15"/>
  <c r="N362" i="15"/>
  <c r="N363" i="15"/>
  <c r="N364" i="15"/>
  <c r="N365" i="15"/>
  <c r="N366" i="15"/>
  <c r="N367" i="15"/>
  <c r="N368" i="15"/>
  <c r="N369" i="15"/>
  <c r="N370" i="15"/>
  <c r="N371" i="15"/>
  <c r="N372" i="15"/>
  <c r="N373" i="15"/>
  <c r="N374" i="15"/>
  <c r="N375" i="15"/>
  <c r="N376" i="15"/>
  <c r="N377" i="15"/>
  <c r="N378" i="15"/>
  <c r="N379" i="15"/>
  <c r="N380" i="15"/>
  <c r="N381" i="15"/>
  <c r="N382" i="15"/>
  <c r="N383" i="15"/>
  <c r="N384" i="15"/>
  <c r="N385" i="15"/>
  <c r="N386" i="15"/>
  <c r="N387" i="15"/>
  <c r="N388" i="15"/>
  <c r="N389" i="15"/>
  <c r="N390" i="15"/>
  <c r="N391" i="15"/>
  <c r="N392" i="15"/>
  <c r="N393" i="15"/>
  <c r="N394" i="15"/>
  <c r="N395" i="15"/>
  <c r="N396" i="15"/>
  <c r="N397" i="15"/>
  <c r="N398" i="15"/>
  <c r="N399" i="15"/>
  <c r="N400" i="15"/>
  <c r="N401" i="15"/>
  <c r="N402" i="15"/>
  <c r="N403" i="15"/>
  <c r="N404" i="15"/>
  <c r="N405" i="15"/>
  <c r="N406" i="15"/>
  <c r="N407" i="15"/>
  <c r="N408" i="15"/>
  <c r="N409" i="15"/>
  <c r="N410" i="15"/>
  <c r="N411" i="15"/>
  <c r="N412" i="15"/>
  <c r="N413" i="15"/>
  <c r="N414" i="15"/>
  <c r="N415" i="15"/>
  <c r="N416" i="15"/>
  <c r="N417" i="15"/>
  <c r="N418" i="15"/>
  <c r="N419" i="15"/>
  <c r="N420" i="15"/>
  <c r="N421" i="15"/>
  <c r="N422" i="15"/>
  <c r="N423" i="15"/>
  <c r="N424" i="15"/>
  <c r="N425" i="15"/>
  <c r="N426" i="15"/>
  <c r="N427" i="15"/>
  <c r="N428" i="15"/>
  <c r="N429" i="15"/>
  <c r="N430" i="15"/>
  <c r="N431" i="15"/>
  <c r="N432" i="15"/>
  <c r="N433" i="15"/>
  <c r="N434" i="15"/>
  <c r="N435" i="15"/>
  <c r="N436" i="15"/>
  <c r="N437" i="15"/>
  <c r="N438" i="15"/>
  <c r="N439" i="15"/>
  <c r="N440" i="15"/>
  <c r="N441" i="15"/>
  <c r="N442" i="15"/>
  <c r="N443" i="15"/>
  <c r="N444" i="15"/>
  <c r="N445" i="15"/>
  <c r="N446" i="15"/>
  <c r="N447" i="15"/>
  <c r="N448" i="15"/>
  <c r="N449" i="15"/>
  <c r="N450" i="15"/>
  <c r="N451" i="15"/>
  <c r="N452" i="15"/>
  <c r="N453" i="15"/>
  <c r="N454" i="15"/>
  <c r="N455" i="15"/>
  <c r="N456" i="15"/>
  <c r="N457" i="15"/>
  <c r="N458" i="15"/>
  <c r="N459" i="15"/>
  <c r="N460" i="15"/>
  <c r="N461" i="15"/>
  <c r="N462" i="15"/>
  <c r="N463" i="15"/>
  <c r="N464" i="15"/>
  <c r="N465" i="15"/>
  <c r="N466" i="15"/>
  <c r="N467" i="15"/>
  <c r="N468" i="15"/>
  <c r="N469" i="15"/>
  <c r="N470" i="15"/>
  <c r="N471" i="15"/>
  <c r="N472" i="15"/>
  <c r="N473" i="15"/>
  <c r="N474" i="15"/>
  <c r="N475" i="15"/>
  <c r="N476" i="15"/>
  <c r="N477" i="15"/>
  <c r="N478" i="15"/>
  <c r="N479" i="15"/>
  <c r="N480" i="15"/>
  <c r="N481" i="15"/>
  <c r="N482" i="15"/>
  <c r="N483" i="15"/>
  <c r="N484" i="15"/>
  <c r="N485" i="15"/>
  <c r="N486" i="15"/>
  <c r="N487" i="15"/>
  <c r="N488" i="15"/>
  <c r="N489" i="15"/>
  <c r="N490" i="15"/>
  <c r="N491" i="15"/>
  <c r="N492" i="15"/>
  <c r="N493" i="15"/>
  <c r="N494" i="15"/>
  <c r="N495" i="15"/>
  <c r="N496" i="15"/>
  <c r="N497" i="15"/>
  <c r="N498" i="15"/>
  <c r="N499" i="15"/>
  <c r="N500" i="15"/>
  <c r="N501" i="15"/>
  <c r="N502" i="15"/>
  <c r="N503" i="15"/>
  <c r="N504" i="15"/>
  <c r="N505" i="15"/>
  <c r="N506" i="15"/>
  <c r="N507" i="15"/>
  <c r="N508" i="15"/>
  <c r="N509" i="15"/>
  <c r="N510" i="15"/>
  <c r="N511" i="15"/>
  <c r="N512" i="15"/>
  <c r="N513" i="15"/>
  <c r="N514" i="15"/>
  <c r="N515" i="15"/>
  <c r="N516" i="15"/>
  <c r="N517" i="15"/>
  <c r="N518" i="15"/>
  <c r="N519" i="15"/>
  <c r="N520" i="15"/>
  <c r="N521" i="15"/>
  <c r="N522" i="15"/>
  <c r="N523" i="15"/>
  <c r="N524" i="15"/>
  <c r="N525" i="15"/>
  <c r="N526" i="15"/>
  <c r="N527" i="15"/>
  <c r="N528" i="15"/>
  <c r="N529" i="15"/>
  <c r="N530" i="15"/>
  <c r="N531" i="15"/>
  <c r="N532" i="15"/>
  <c r="N533" i="15"/>
  <c r="N534" i="15"/>
  <c r="N535" i="15"/>
  <c r="N536" i="15"/>
  <c r="N537" i="15"/>
  <c r="N538" i="15"/>
  <c r="N539" i="15"/>
  <c r="N540" i="15"/>
  <c r="N541" i="15"/>
  <c r="N542" i="15"/>
  <c r="N543" i="15"/>
  <c r="N544" i="15"/>
  <c r="N545" i="15"/>
  <c r="N546" i="15"/>
  <c r="N547" i="15"/>
  <c r="N548" i="15"/>
  <c r="N549" i="15"/>
  <c r="N550" i="15"/>
  <c r="N551" i="15"/>
  <c r="N552" i="15"/>
  <c r="N553" i="15"/>
  <c r="N554" i="15"/>
  <c r="N555" i="15"/>
  <c r="N556" i="15"/>
  <c r="N557" i="15"/>
  <c r="N558" i="15"/>
  <c r="N559" i="15"/>
  <c r="N560" i="15"/>
  <c r="N561" i="15"/>
  <c r="N562" i="15"/>
  <c r="N563" i="15"/>
  <c r="N564" i="15"/>
  <c r="N565" i="15"/>
  <c r="N566" i="15"/>
  <c r="N567" i="15"/>
  <c r="N568" i="15"/>
  <c r="N569" i="15"/>
  <c r="N570" i="15"/>
  <c r="N571" i="15"/>
  <c r="N572" i="15"/>
  <c r="N573" i="15"/>
  <c r="N574" i="15"/>
  <c r="N575" i="15"/>
  <c r="N576" i="15"/>
  <c r="N577" i="15"/>
  <c r="N578" i="15"/>
  <c r="N579" i="15"/>
  <c r="N580" i="15"/>
  <c r="N581" i="15"/>
  <c r="N582" i="15"/>
  <c r="N583" i="15"/>
  <c r="N584" i="15"/>
  <c r="N585" i="15"/>
  <c r="N586" i="15"/>
  <c r="N587" i="15"/>
  <c r="N588" i="15"/>
  <c r="N589" i="15"/>
  <c r="N590" i="15"/>
  <c r="N591" i="15"/>
  <c r="N592" i="15"/>
  <c r="N593" i="15"/>
  <c r="N594" i="15"/>
  <c r="N595" i="15"/>
  <c r="N596" i="15"/>
  <c r="N597" i="15"/>
  <c r="N598" i="15"/>
  <c r="N599" i="15"/>
  <c r="N600" i="15"/>
  <c r="N601" i="15"/>
  <c r="N602" i="15"/>
  <c r="N603" i="15"/>
  <c r="N604" i="15"/>
  <c r="N605" i="15"/>
  <c r="N606" i="15"/>
  <c r="N607" i="15"/>
  <c r="N608" i="15"/>
  <c r="N609" i="15"/>
  <c r="N610" i="15"/>
  <c r="N611" i="15"/>
  <c r="N612" i="15"/>
  <c r="N613" i="15"/>
  <c r="N614" i="15"/>
  <c r="N615" i="15"/>
  <c r="N616" i="15"/>
  <c r="N617" i="15"/>
  <c r="N618" i="15"/>
  <c r="N619" i="15"/>
  <c r="N620" i="15"/>
  <c r="N621" i="15"/>
  <c r="N622" i="15"/>
  <c r="N623" i="15"/>
  <c r="N624" i="15"/>
  <c r="N625" i="15"/>
  <c r="N626" i="15"/>
  <c r="N627" i="15"/>
  <c r="N628" i="15"/>
  <c r="N629" i="15"/>
  <c r="N630" i="15"/>
  <c r="N631" i="15"/>
  <c r="N632" i="15"/>
  <c r="N633" i="15"/>
  <c r="N634" i="15"/>
  <c r="N635" i="15"/>
  <c r="N636" i="15"/>
  <c r="N637" i="15"/>
  <c r="N638" i="15"/>
  <c r="N639" i="15"/>
  <c r="N640" i="15"/>
  <c r="N641" i="15"/>
  <c r="N642" i="15"/>
  <c r="N643" i="15"/>
  <c r="N644" i="15"/>
  <c r="N645" i="15"/>
  <c r="N646" i="15"/>
  <c r="N647" i="15"/>
  <c r="N648" i="15"/>
  <c r="N649" i="15"/>
  <c r="N650" i="15"/>
  <c r="N651" i="15"/>
  <c r="N652" i="15"/>
  <c r="N653" i="15"/>
  <c r="N654" i="15"/>
  <c r="N655" i="15"/>
  <c r="N656" i="15"/>
  <c r="N657" i="15"/>
  <c r="N658" i="15"/>
  <c r="N659" i="15"/>
  <c r="N660" i="15"/>
  <c r="N661" i="15"/>
  <c r="N662" i="15"/>
  <c r="N663" i="15"/>
  <c r="N664" i="15"/>
  <c r="N665" i="15"/>
  <c r="N666" i="15"/>
  <c r="N667" i="15"/>
  <c r="N668" i="15"/>
  <c r="N669" i="15"/>
  <c r="N670" i="15"/>
  <c r="N671" i="15"/>
  <c r="N672" i="15"/>
  <c r="N673" i="15"/>
  <c r="N674" i="15"/>
  <c r="N675" i="15"/>
  <c r="N676" i="15"/>
  <c r="N677" i="15"/>
  <c r="N678" i="15"/>
  <c r="N679" i="15"/>
  <c r="N680" i="15"/>
  <c r="N681" i="15"/>
  <c r="N682" i="15"/>
  <c r="N683" i="15"/>
  <c r="N684" i="15"/>
  <c r="N685" i="15"/>
  <c r="N686" i="15"/>
  <c r="N687" i="15"/>
  <c r="N688" i="15"/>
  <c r="N689" i="15"/>
  <c r="N690" i="15"/>
  <c r="N691" i="15"/>
  <c r="N692" i="15"/>
  <c r="N693" i="15"/>
  <c r="N694" i="15"/>
  <c r="N695" i="15"/>
  <c r="N696" i="15"/>
  <c r="N697" i="15"/>
  <c r="N698" i="15"/>
  <c r="N699" i="15"/>
  <c r="N700" i="15"/>
  <c r="N701" i="15"/>
  <c r="N702" i="15"/>
  <c r="N703" i="15"/>
  <c r="N704" i="15"/>
  <c r="N705" i="15"/>
  <c r="N706" i="15"/>
  <c r="N707" i="15"/>
  <c r="N708" i="15"/>
  <c r="N709" i="15"/>
  <c r="N710" i="15"/>
  <c r="N711" i="15"/>
  <c r="N712" i="15"/>
  <c r="N713" i="15"/>
  <c r="N714" i="15"/>
  <c r="N715" i="15"/>
  <c r="N716" i="15"/>
  <c r="N717" i="15"/>
  <c r="N718" i="15"/>
  <c r="N719" i="15"/>
  <c r="N720" i="15"/>
  <c r="N721" i="15"/>
  <c r="N722" i="15"/>
  <c r="N723" i="15"/>
  <c r="N724" i="15"/>
  <c r="N725" i="15"/>
  <c r="N726" i="15"/>
  <c r="N727" i="15"/>
  <c r="N728" i="15"/>
  <c r="N729" i="15"/>
  <c r="N730" i="15"/>
  <c r="N731" i="15"/>
  <c r="N732" i="15"/>
  <c r="N733" i="15"/>
  <c r="N734" i="15"/>
  <c r="N735" i="15"/>
  <c r="N736" i="15"/>
  <c r="N737" i="15"/>
  <c r="N738" i="15"/>
  <c r="N739" i="15"/>
  <c r="N740" i="15"/>
  <c r="N741" i="15"/>
  <c r="N742" i="15"/>
  <c r="N743" i="15"/>
  <c r="N744" i="15"/>
  <c r="N745" i="15"/>
  <c r="N746" i="15"/>
  <c r="N747" i="15"/>
  <c r="N748" i="15"/>
  <c r="N749" i="15"/>
  <c r="N750" i="15"/>
  <c r="N751" i="15"/>
  <c r="N752" i="15"/>
  <c r="N753" i="15"/>
  <c r="N754" i="15"/>
  <c r="N755" i="15"/>
  <c r="N756" i="15"/>
  <c r="N757" i="15"/>
  <c r="N758" i="15"/>
  <c r="N759" i="15"/>
  <c r="N760" i="15"/>
  <c r="N761" i="15"/>
  <c r="N762" i="15"/>
  <c r="N763" i="15"/>
  <c r="N764" i="15"/>
  <c r="N765" i="15"/>
  <c r="N766" i="15"/>
  <c r="N767" i="15"/>
  <c r="N768" i="15"/>
  <c r="N769" i="15"/>
  <c r="N770" i="15"/>
  <c r="N771" i="15"/>
  <c r="N772" i="15"/>
  <c r="N773" i="15"/>
  <c r="N774" i="15"/>
  <c r="N775" i="15"/>
  <c r="N776" i="15"/>
  <c r="N777" i="15"/>
  <c r="N778" i="15"/>
  <c r="N779" i="15"/>
  <c r="N780" i="15"/>
  <c r="N781" i="15"/>
  <c r="N782" i="15"/>
  <c r="N783" i="15"/>
  <c r="N784" i="15"/>
  <c r="N785" i="15"/>
  <c r="N786" i="15"/>
  <c r="N787" i="15"/>
  <c r="N788" i="15"/>
  <c r="N789" i="15"/>
  <c r="N790" i="15"/>
  <c r="N791" i="15"/>
  <c r="N792" i="15"/>
  <c r="N793" i="15"/>
  <c r="N794" i="15"/>
  <c r="N795" i="15"/>
  <c r="N796" i="15"/>
  <c r="N797" i="15"/>
  <c r="N798" i="15"/>
  <c r="N799" i="15"/>
  <c r="N800" i="15"/>
  <c r="N801" i="15"/>
  <c r="N802" i="15"/>
  <c r="N803" i="15"/>
  <c r="N804" i="15"/>
  <c r="N805" i="15"/>
  <c r="N806" i="15"/>
  <c r="N807" i="15"/>
  <c r="N808" i="15"/>
  <c r="N809" i="15"/>
  <c r="N810" i="15"/>
  <c r="N811" i="15"/>
  <c r="N812" i="15"/>
  <c r="N813" i="15"/>
  <c r="N814" i="15"/>
  <c r="N815" i="15"/>
  <c r="N816" i="15"/>
  <c r="N817" i="15"/>
  <c r="N818" i="15"/>
  <c r="N819" i="15"/>
  <c r="N820" i="15"/>
  <c r="N821" i="15"/>
  <c r="N822" i="15"/>
  <c r="N823" i="15"/>
  <c r="N824" i="15"/>
  <c r="N825" i="15"/>
  <c r="N826" i="15"/>
  <c r="N827" i="15"/>
  <c r="N828" i="15"/>
  <c r="N829" i="15"/>
  <c r="N830" i="15"/>
  <c r="N831" i="15"/>
  <c r="N832" i="15"/>
  <c r="N833" i="15"/>
  <c r="N834" i="15"/>
  <c r="N835" i="15"/>
  <c r="N836" i="15"/>
  <c r="N837" i="15"/>
  <c r="N838" i="15"/>
  <c r="N839" i="15"/>
  <c r="N840" i="15"/>
  <c r="N841" i="15"/>
  <c r="N842" i="15"/>
  <c r="N843" i="15"/>
  <c r="N844" i="15"/>
  <c r="N845" i="15"/>
  <c r="N846" i="15"/>
  <c r="N847" i="15"/>
  <c r="N848" i="15"/>
  <c r="N849" i="15"/>
  <c r="N850" i="15"/>
  <c r="N851" i="15"/>
  <c r="N852" i="15"/>
  <c r="N853" i="15"/>
  <c r="N854" i="15"/>
  <c r="N855" i="15"/>
  <c r="N856" i="15"/>
  <c r="N857" i="15"/>
  <c r="N858" i="15"/>
  <c r="N859" i="15"/>
  <c r="N860" i="15"/>
  <c r="N861" i="15"/>
  <c r="N862" i="15"/>
  <c r="N863" i="15"/>
  <c r="N864" i="15"/>
  <c r="N865" i="15"/>
  <c r="N866" i="15"/>
  <c r="N867" i="15"/>
  <c r="N868" i="15"/>
  <c r="N869" i="15"/>
  <c r="N870" i="15"/>
  <c r="N871" i="15"/>
  <c r="N872" i="15"/>
  <c r="N873" i="15"/>
  <c r="N874" i="15"/>
  <c r="N875" i="15"/>
  <c r="N876" i="15"/>
  <c r="N877" i="15"/>
  <c r="N878" i="15"/>
  <c r="N879" i="15"/>
  <c r="N880" i="15"/>
  <c r="N881" i="15"/>
  <c r="N882" i="15"/>
  <c r="N883" i="15"/>
  <c r="N884" i="15"/>
  <c r="N885" i="15"/>
  <c r="N886" i="15"/>
  <c r="N887" i="15"/>
  <c r="N888" i="15"/>
  <c r="N889" i="15"/>
  <c r="N890" i="15"/>
  <c r="N891" i="15"/>
  <c r="N892" i="15"/>
  <c r="N893" i="15"/>
  <c r="N894" i="15"/>
  <c r="N895" i="15"/>
  <c r="N896" i="15"/>
  <c r="N897" i="15"/>
  <c r="N898" i="15"/>
  <c r="N899" i="15"/>
  <c r="N900" i="15"/>
  <c r="N901" i="15"/>
  <c r="N902" i="15"/>
  <c r="N903" i="15"/>
  <c r="N904" i="15"/>
  <c r="N905" i="15"/>
  <c r="N906" i="15"/>
  <c r="N907" i="15"/>
  <c r="N908" i="15"/>
  <c r="N909" i="15"/>
  <c r="N910" i="15"/>
  <c r="N911" i="15"/>
  <c r="N912" i="15"/>
  <c r="N913" i="15"/>
  <c r="N914" i="15"/>
  <c r="N915" i="15"/>
  <c r="N916" i="15"/>
  <c r="N917" i="15"/>
  <c r="N918" i="15"/>
  <c r="N919" i="15"/>
  <c r="N920" i="15"/>
  <c r="N921" i="15"/>
  <c r="N922" i="15"/>
  <c r="N923" i="15"/>
  <c r="N924" i="15"/>
  <c r="N925" i="15"/>
  <c r="N926" i="15"/>
  <c r="N927" i="15"/>
  <c r="N928" i="15"/>
  <c r="N929" i="15"/>
  <c r="N930" i="15"/>
  <c r="N931" i="15"/>
  <c r="N932" i="15"/>
  <c r="N933" i="15"/>
  <c r="N934" i="15"/>
  <c r="N935" i="15"/>
  <c r="N936" i="15"/>
  <c r="N937" i="15"/>
  <c r="N938" i="15"/>
  <c r="N939" i="15"/>
  <c r="N940" i="15"/>
  <c r="N941" i="15"/>
  <c r="N942" i="15"/>
  <c r="N943" i="15"/>
  <c r="N944" i="15"/>
  <c r="N945" i="15"/>
  <c r="N946" i="15"/>
  <c r="N947" i="15"/>
  <c r="N948" i="15"/>
  <c r="N949" i="15"/>
  <c r="N950" i="15"/>
  <c r="N951" i="15"/>
  <c r="N952" i="15"/>
  <c r="N953" i="15"/>
  <c r="N954" i="15"/>
  <c r="N955" i="15"/>
  <c r="N956" i="15"/>
  <c r="N957" i="15"/>
  <c r="N958" i="15"/>
  <c r="N959" i="15"/>
  <c r="N960" i="15"/>
  <c r="N961" i="15"/>
  <c r="N962" i="15"/>
  <c r="N963" i="15"/>
  <c r="N964" i="15"/>
  <c r="N965" i="15"/>
  <c r="N966" i="15"/>
  <c r="N967" i="15"/>
  <c r="N968" i="15"/>
  <c r="N969" i="15"/>
  <c r="N970" i="15"/>
  <c r="N971" i="15"/>
  <c r="N972" i="15"/>
  <c r="N973" i="15"/>
  <c r="N974" i="15"/>
  <c r="N975" i="15"/>
  <c r="N976" i="15"/>
  <c r="N977" i="15"/>
  <c r="N978" i="15"/>
  <c r="N979" i="15"/>
  <c r="N980" i="15"/>
  <c r="N981" i="15"/>
  <c r="N982" i="15"/>
  <c r="N983" i="15"/>
  <c r="N984" i="15"/>
  <c r="N985" i="15"/>
  <c r="N986" i="15"/>
  <c r="N987" i="15"/>
  <c r="N988" i="15"/>
  <c r="N989" i="15"/>
  <c r="N990" i="15"/>
  <c r="N991" i="15"/>
  <c r="N992" i="15"/>
  <c r="N993" i="15"/>
  <c r="N994" i="15"/>
  <c r="N995" i="15"/>
  <c r="N996" i="15"/>
  <c r="N997" i="15"/>
  <c r="N998" i="15"/>
  <c r="N999" i="15"/>
  <c r="N1000" i="15"/>
  <c r="N1001" i="15"/>
  <c r="N1002" i="15"/>
  <c r="N1003" i="15"/>
  <c r="N1004" i="15"/>
  <c r="N1005" i="15"/>
  <c r="N1006" i="15"/>
  <c r="N1007" i="15"/>
  <c r="N1008" i="15"/>
  <c r="N1009" i="15"/>
  <c r="N1010" i="15"/>
  <c r="N1011" i="15"/>
  <c r="N1012" i="15"/>
  <c r="N1013" i="15"/>
  <c r="N1014" i="15"/>
  <c r="N1015" i="15"/>
  <c r="N1016" i="15"/>
  <c r="N1017" i="15"/>
  <c r="N1018" i="15"/>
  <c r="N1019" i="15"/>
  <c r="N1020" i="15"/>
  <c r="N1021" i="15"/>
  <c r="N1022" i="15"/>
  <c r="N1023" i="15"/>
  <c r="N1024" i="15"/>
  <c r="N1025" i="15"/>
  <c r="N1026" i="15"/>
  <c r="N1027" i="15"/>
  <c r="N1028" i="15"/>
  <c r="N1029" i="15"/>
  <c r="N1030" i="15"/>
  <c r="N1031" i="15"/>
  <c r="N1032" i="15"/>
  <c r="N1033" i="15"/>
  <c r="N1034" i="15"/>
  <c r="N1035" i="15"/>
  <c r="N1036" i="15"/>
  <c r="N1037" i="15"/>
  <c r="N1038" i="15"/>
  <c r="N1039" i="15"/>
  <c r="N1040" i="15"/>
  <c r="N1041" i="15"/>
  <c r="N1042" i="15"/>
  <c r="N1043" i="15"/>
  <c r="N1044" i="15"/>
  <c r="N1045" i="15"/>
  <c r="N1046" i="15"/>
  <c r="N1047" i="15"/>
  <c r="N1048" i="15"/>
  <c r="N1049" i="15"/>
  <c r="N1050" i="15"/>
  <c r="N1051" i="15"/>
  <c r="N1052" i="15"/>
  <c r="N1053" i="15"/>
  <c r="N1054" i="15"/>
  <c r="N1055" i="15"/>
  <c r="N1056" i="15"/>
  <c r="N1057" i="15"/>
  <c r="N1058" i="15"/>
  <c r="N1059" i="15"/>
  <c r="N1060" i="15"/>
  <c r="N1061" i="15"/>
  <c r="N1062" i="15"/>
  <c r="N1063" i="15"/>
  <c r="N1064" i="15"/>
  <c r="N1065" i="15"/>
  <c r="N1066" i="15"/>
  <c r="N1067" i="15"/>
  <c r="N1068" i="15"/>
  <c r="N1069" i="15"/>
  <c r="N1070" i="15"/>
  <c r="N1071" i="15"/>
  <c r="N1072" i="15"/>
  <c r="N1073" i="15"/>
  <c r="N1074" i="15"/>
  <c r="N1075" i="15"/>
  <c r="N1076" i="15"/>
  <c r="N1077" i="15"/>
  <c r="N1078" i="15"/>
  <c r="N1079" i="15"/>
  <c r="N1080" i="15"/>
  <c r="N1081" i="15"/>
  <c r="N1082" i="15"/>
  <c r="N1083" i="15"/>
  <c r="N1084" i="15"/>
  <c r="N1085" i="15"/>
  <c r="N1086" i="15"/>
  <c r="N1087" i="15"/>
  <c r="N1088" i="15"/>
  <c r="N1089" i="15"/>
  <c r="N1090" i="15"/>
  <c r="N1091" i="15"/>
  <c r="N1092" i="15"/>
  <c r="N1093" i="15"/>
  <c r="N1094" i="15"/>
  <c r="N1095" i="15"/>
  <c r="N1096" i="15"/>
  <c r="N1097" i="15"/>
  <c r="N1098" i="15"/>
  <c r="N1099" i="15"/>
  <c r="N1100" i="15"/>
  <c r="N1101" i="15"/>
  <c r="N1102" i="15"/>
  <c r="N1103" i="15"/>
  <c r="N1104" i="15"/>
  <c r="N1105" i="15"/>
  <c r="N1106" i="15"/>
  <c r="N1107" i="15"/>
  <c r="N1108" i="15"/>
  <c r="N1109" i="15"/>
  <c r="N1110" i="15"/>
  <c r="N1111" i="15"/>
  <c r="N1112" i="15"/>
  <c r="N1113" i="15"/>
  <c r="N1114" i="15"/>
  <c r="N1115" i="15"/>
  <c r="N1116" i="15"/>
  <c r="N1117" i="15"/>
  <c r="N1118" i="15"/>
  <c r="N1119" i="15"/>
  <c r="N1120" i="15"/>
  <c r="N1121" i="15"/>
  <c r="N1122" i="15"/>
  <c r="N1123" i="15"/>
  <c r="N1124" i="15"/>
  <c r="N1125" i="15"/>
  <c r="N1126" i="15"/>
  <c r="N1127" i="15"/>
  <c r="N1128" i="15"/>
  <c r="N1129" i="15"/>
  <c r="N1130" i="15"/>
  <c r="N1131" i="15"/>
  <c r="N1132" i="15"/>
  <c r="N1133" i="15"/>
  <c r="N1134" i="15"/>
  <c r="N1135" i="15"/>
  <c r="N1136" i="15"/>
  <c r="N1137" i="15"/>
  <c r="N1138" i="15"/>
  <c r="N1139" i="15"/>
  <c r="N1140" i="15"/>
  <c r="N1141" i="15"/>
  <c r="N1142" i="15"/>
  <c r="N1143" i="15"/>
  <c r="N1144" i="15"/>
  <c r="N1145" i="15"/>
  <c r="N1146" i="15"/>
  <c r="N1147" i="15"/>
  <c r="N1148" i="15"/>
  <c r="N1149" i="15"/>
  <c r="N1150" i="15"/>
  <c r="N1151" i="15"/>
  <c r="N1152" i="15"/>
  <c r="N1153" i="15"/>
  <c r="N1154" i="15"/>
  <c r="N1155" i="15"/>
  <c r="N1156" i="15"/>
  <c r="N1157" i="15"/>
  <c r="N1158" i="15"/>
  <c r="N1159" i="15"/>
  <c r="N1160" i="15"/>
  <c r="N1161" i="15"/>
  <c r="N1162" i="15"/>
  <c r="N1163" i="15"/>
  <c r="N1164" i="15"/>
  <c r="N1165" i="15"/>
  <c r="N1166" i="15"/>
  <c r="N1167" i="15"/>
  <c r="N1168" i="15"/>
  <c r="N1169" i="15"/>
  <c r="N1170" i="15"/>
  <c r="N1171" i="15"/>
  <c r="N1172" i="15"/>
  <c r="N1173" i="15"/>
  <c r="N1174" i="15"/>
  <c r="N1175" i="15"/>
  <c r="N1176" i="15"/>
  <c r="N1177" i="15"/>
  <c r="N1178" i="15"/>
  <c r="N1179" i="15"/>
  <c r="N1180" i="15"/>
  <c r="N1181" i="15"/>
  <c r="N1182" i="15"/>
  <c r="N1183" i="15"/>
  <c r="N1184" i="15"/>
  <c r="N1185" i="15"/>
  <c r="N1186" i="15"/>
  <c r="N1187" i="15"/>
  <c r="N1188" i="15"/>
  <c r="N1189" i="15"/>
  <c r="N1190" i="15"/>
  <c r="N1191" i="15"/>
  <c r="N1192" i="15"/>
  <c r="N1193" i="15"/>
  <c r="N1194" i="15"/>
  <c r="N1195" i="15"/>
  <c r="N1196" i="15"/>
  <c r="N1197" i="15"/>
  <c r="N1198" i="15"/>
  <c r="N1199" i="15"/>
  <c r="N1200" i="15"/>
  <c r="N1201" i="15"/>
  <c r="N1202" i="15"/>
  <c r="N1203" i="15"/>
  <c r="N1204" i="15"/>
  <c r="N1205" i="15"/>
  <c r="N1206" i="15"/>
  <c r="N1207" i="15"/>
  <c r="N1208" i="15"/>
  <c r="N1209" i="15"/>
  <c r="N1210" i="15"/>
  <c r="N1211" i="15"/>
  <c r="N1212" i="15"/>
  <c r="N1213" i="15"/>
  <c r="N1214" i="15"/>
  <c r="N1215" i="15"/>
  <c r="N1216" i="15"/>
  <c r="N1217" i="15"/>
  <c r="N1218" i="15"/>
  <c r="N1219" i="15"/>
  <c r="N1221" i="15"/>
  <c r="N1222" i="15"/>
  <c r="N1223" i="15"/>
  <c r="N1224" i="15"/>
  <c r="J9" i="13"/>
  <c r="R18" i="5"/>
  <c r="J10" i="13"/>
  <c r="H9" i="13"/>
  <c r="E9" i="13"/>
  <c r="G9" i="13"/>
  <c r="F9" i="13"/>
  <c r="F10" i="13"/>
  <c r="E10" i="13"/>
  <c r="I30" i="13"/>
  <c r="I32" i="13"/>
  <c r="I34" i="13"/>
  <c r="E32" i="13"/>
  <c r="E34" i="13"/>
  <c r="F24" i="13"/>
  <c r="G30" i="13"/>
  <c r="G10" i="13"/>
  <c r="H10" i="13"/>
  <c r="H30" i="13"/>
  <c r="G32" i="13"/>
  <c r="G34" i="13"/>
  <c r="H32" i="13"/>
  <c r="H34" i="13"/>
  <c r="AA8" i="5"/>
  <c r="F6" i="8"/>
  <c r="F8" i="8"/>
  <c r="V29" i="5" l="1"/>
  <c r="E7" i="8" s="1"/>
  <c r="V30" i="5" l="1"/>
  <c r="F7" i="8"/>
  <c r="F11" i="8"/>
  <c r="F12" i="8" s="1"/>
</calcChain>
</file>

<file path=xl/comments1.xml><?xml version="1.0" encoding="utf-8"?>
<comments xmlns="http://schemas.openxmlformats.org/spreadsheetml/2006/main">
  <authors>
    <author>AHastings756@gmail.com</author>
  </authors>
  <commentList>
    <comment ref="U15" authorId="0">
      <text>
        <r>
          <rPr>
            <b/>
            <sz val="9"/>
            <color indexed="81"/>
            <rFont val="Tahoma"/>
            <family val="2"/>
          </rPr>
          <t>Total operating expenses will decrease in the future as the start to create non physical products e.g. AI, gaming software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<sst xmlns="http://schemas.openxmlformats.org/spreadsheetml/2006/main" count="419" uniqueCount="267">
  <si>
    <t>Relative Valuation</t>
  </si>
  <si>
    <t>Weighted Average</t>
  </si>
  <si>
    <t>Valutation</t>
  </si>
  <si>
    <t>Discounted Value</t>
  </si>
  <si>
    <t>Weights</t>
  </si>
  <si>
    <t>Price to Earnings</t>
  </si>
  <si>
    <t>EPS</t>
  </si>
  <si>
    <t>P/E (ttm)</t>
  </si>
  <si>
    <t>Shares Outstanding</t>
  </si>
  <si>
    <t>Equity</t>
  </si>
  <si>
    <t>EPS Growth (5 yr)</t>
  </si>
  <si>
    <t>Price to Sales</t>
  </si>
  <si>
    <t>Rev/Share</t>
  </si>
  <si>
    <t>P/S (ttm)</t>
  </si>
  <si>
    <t>Cost of Capital</t>
  </si>
  <si>
    <t>Cash and Cash Equivalents</t>
  </si>
  <si>
    <t>Long-Term Debt</t>
  </si>
  <si>
    <t>Price to Book</t>
  </si>
  <si>
    <t>BV/Share</t>
  </si>
  <si>
    <t>Minority Interest</t>
  </si>
  <si>
    <t>P/BV (mrq)</t>
  </si>
  <si>
    <t>Preferred Shares</t>
  </si>
  <si>
    <t>Company weights</t>
  </si>
  <si>
    <t>Metric weights</t>
  </si>
  <si>
    <t>Price to Earnings Growth</t>
  </si>
  <si>
    <t>Earnings Growth</t>
  </si>
  <si>
    <t>PEG (5 yr expected)</t>
  </si>
  <si>
    <t>Enterprise Value to EBITDA</t>
  </si>
  <si>
    <t>EBITDA/Share</t>
  </si>
  <si>
    <t>EV/EBITDA (ttm)</t>
  </si>
  <si>
    <t>Valuation</t>
  </si>
  <si>
    <t>Undervalued</t>
  </si>
  <si>
    <t>Historical Valuation</t>
  </si>
  <si>
    <t>Diluted EPS</t>
  </si>
  <si>
    <t>High Price</t>
  </si>
  <si>
    <t>Low Price</t>
  </si>
  <si>
    <t>High P/E</t>
  </si>
  <si>
    <t>Low P/E</t>
  </si>
  <si>
    <t>Average</t>
  </si>
  <si>
    <t>Median</t>
  </si>
  <si>
    <t>High</t>
  </si>
  <si>
    <t>Low</t>
  </si>
  <si>
    <t>Discounted</t>
  </si>
  <si>
    <t>Overvalued</t>
  </si>
  <si>
    <t>Growth Rates</t>
  </si>
  <si>
    <t>Period Ending</t>
  </si>
  <si>
    <t>Mean</t>
  </si>
  <si>
    <t># of Years Discounted</t>
  </si>
  <si>
    <t>YOY</t>
  </si>
  <si>
    <t>CAGR</t>
  </si>
  <si>
    <t>% Revenue</t>
  </si>
  <si>
    <t>EBT</t>
  </si>
  <si>
    <t>Depreciation and Amoratization</t>
  </si>
  <si>
    <t>Capital Expenditure</t>
  </si>
  <si>
    <t>Cash and Cash Equivelant</t>
  </si>
  <si>
    <t>% Current Assets</t>
  </si>
  <si>
    <t>Short-Term Debt</t>
  </si>
  <si>
    <t>Valuation Divided by Current Price</t>
  </si>
  <si>
    <t>DCF</t>
  </si>
  <si>
    <t>Relatives</t>
  </si>
  <si>
    <t>Historical</t>
  </si>
  <si>
    <t>Current Price</t>
  </si>
  <si>
    <t>Intrinsic Value</t>
  </si>
  <si>
    <t>Margin of Safety</t>
  </si>
  <si>
    <t>Daily</t>
  </si>
  <si>
    <t>Weekly</t>
  </si>
  <si>
    <t>Monthly</t>
  </si>
  <si>
    <t>Beta Regression (Daily)</t>
  </si>
  <si>
    <t>Beta</t>
  </si>
  <si>
    <t>Correlation</t>
  </si>
  <si>
    <t>S&amp;P 500</t>
  </si>
  <si>
    <t>R Square</t>
  </si>
  <si>
    <t>Date</t>
  </si>
  <si>
    <t>Adj Close</t>
  </si>
  <si>
    <t>Change</t>
  </si>
  <si>
    <t>Observations</t>
  </si>
  <si>
    <t>Average Beta</t>
  </si>
  <si>
    <t>Operating expenses:</t>
  </si>
  <si>
    <t>Research and development</t>
  </si>
  <si>
    <t>Stage 1</t>
  </si>
  <si>
    <t>Stage 2</t>
  </si>
  <si>
    <t>Stage 3</t>
  </si>
  <si>
    <t>2017E</t>
  </si>
  <si>
    <t>2018E</t>
  </si>
  <si>
    <t>2019E</t>
  </si>
  <si>
    <t>% of</t>
  </si>
  <si>
    <t>Revenue</t>
  </si>
  <si>
    <t>Gross Margin</t>
  </si>
  <si>
    <t>Gross Margin %</t>
  </si>
  <si>
    <t>Sales, General, and Administrative</t>
  </si>
  <si>
    <t>Operating income (EBIT)</t>
  </si>
  <si>
    <t>Interest income</t>
  </si>
  <si>
    <t>Interest (expense) and other income (expense), net</t>
  </si>
  <si>
    <t>Income before income taxes (EBT)</t>
  </si>
  <si>
    <t>Provision for income taxes</t>
  </si>
  <si>
    <t>Net Income</t>
  </si>
  <si>
    <t>Shares outstanding</t>
  </si>
  <si>
    <t>Current Assets</t>
  </si>
  <si>
    <t>Current Liabilities</t>
  </si>
  <si>
    <t>Net Working Capital</t>
  </si>
  <si>
    <t>∆ Net Working Capital</t>
  </si>
  <si>
    <t>Cash from Operations</t>
  </si>
  <si>
    <t>Capital Expenditures</t>
  </si>
  <si>
    <t>Free Cash Flow</t>
  </si>
  <si>
    <t>Discount Period</t>
  </si>
  <si>
    <t>PV of Future Cash Flow</t>
  </si>
  <si>
    <t>DCF Calculations</t>
  </si>
  <si>
    <t>CAPM Assumptions</t>
  </si>
  <si>
    <t>Capital Structure</t>
  </si>
  <si>
    <t>∑ of PV of Future Cash Flows</t>
  </si>
  <si>
    <t>PV of Terminal Value</t>
  </si>
  <si>
    <t>Risk Free</t>
  </si>
  <si>
    <t>Debt</t>
  </si>
  <si>
    <t>Enterprise Value</t>
  </si>
  <si>
    <t>Risk Premium</t>
  </si>
  <si>
    <t>Cash</t>
  </si>
  <si>
    <t>Terminal Growth Rate</t>
  </si>
  <si>
    <t>Other Assumptions</t>
  </si>
  <si>
    <t>Tax Rate</t>
  </si>
  <si>
    <t>Equity Value</t>
  </si>
  <si>
    <t>WACC Assumptions</t>
  </si>
  <si>
    <t>Cost of Equity</t>
  </si>
  <si>
    <t>Cost of Debt</t>
  </si>
  <si>
    <t>Under (Over) Valued</t>
  </si>
  <si>
    <t>Off-Balance Sheet Obligations ($MM)</t>
  </si>
  <si>
    <t>Payments due by Period</t>
  </si>
  <si>
    <t>Total</t>
  </si>
  <si>
    <t>Less than 1 Year</t>
  </si>
  <si>
    <t>2 - 3 Years</t>
  </si>
  <si>
    <t>4 - 5 Years</t>
  </si>
  <si>
    <t>More than 5 Years</t>
  </si>
  <si>
    <t>Total (PV)</t>
  </si>
  <si>
    <t>-</t>
  </si>
  <si>
    <t>Fiscal year is January-December. All values USD Thousands.</t>
  </si>
  <si>
    <t>Beta Regression (Weekly)</t>
  </si>
  <si>
    <t>Beta Regression (Monthly)</t>
  </si>
  <si>
    <t>Total cost of revenue (COGS)</t>
  </si>
  <si>
    <t>Discounted Cash Flows Model ($M)</t>
  </si>
  <si>
    <t>Cash and cash equivalents</t>
  </si>
  <si>
    <t>Total current assets</t>
  </si>
  <si>
    <t>Property and equipment, net</t>
  </si>
  <si>
    <t>Total assets</t>
  </si>
  <si>
    <t>Current liabilities:</t>
  </si>
  <si>
    <t>Accounts payable</t>
  </si>
  <si>
    <t>Total current liabilities</t>
  </si>
  <si>
    <t>Additional paid-in capital</t>
  </si>
  <si>
    <t>Retained earnings</t>
  </si>
  <si>
    <t>Net income</t>
  </si>
  <si>
    <t>Other assets</t>
  </si>
  <si>
    <t>EPS:</t>
  </si>
  <si>
    <t>`</t>
  </si>
  <si>
    <t>Long-term Debt</t>
  </si>
  <si>
    <t>Interest expense</t>
  </si>
  <si>
    <t>Interest and other income (expense)</t>
  </si>
  <si>
    <t>Discount</t>
  </si>
  <si>
    <t>Basic EPS</t>
  </si>
  <si>
    <t>DAILY</t>
  </si>
  <si>
    <t>EPS 2016E</t>
  </si>
  <si>
    <t>All amounts in USD Thousands</t>
  </si>
  <si>
    <t>EBITDA 2016E</t>
  </si>
  <si>
    <t>Total Current Liabilities</t>
  </si>
  <si>
    <t>Total Current Assets</t>
  </si>
  <si>
    <t>Total operating expenses/income</t>
  </si>
  <si>
    <t>Revenue/Net Sales</t>
  </si>
  <si>
    <t>Shares</t>
  </si>
  <si>
    <t>Net Income 2016E</t>
  </si>
  <si>
    <t>Revenue/Sales 2016E</t>
  </si>
  <si>
    <t>5 Year</t>
  </si>
  <si>
    <t>3 Year</t>
  </si>
  <si>
    <t>2020E</t>
  </si>
  <si>
    <t>Value Per Share</t>
  </si>
  <si>
    <t>Marketable securities</t>
  </si>
  <si>
    <t>Accounts receivable, net</t>
  </si>
  <si>
    <t>Inventories</t>
  </si>
  <si>
    <t>Prepaid expenses and other current assets</t>
  </si>
  <si>
    <t>Deferred income taxes</t>
  </si>
  <si>
    <t>Goodwill</t>
  </si>
  <si>
    <t>Intangible assets, net</t>
  </si>
  <si>
    <t>Accrued and other current liabilities</t>
  </si>
  <si>
    <t>Convertible short-term debt</t>
  </si>
  <si>
    <t>Other long-term liabilities</t>
  </si>
  <si>
    <t>Capital lease obligations, long term</t>
  </si>
  <si>
    <t>Total Liabilities</t>
  </si>
  <si>
    <t>Commitments and Contingencies - see Note 12</t>
  </si>
  <si>
    <t>Convertible debt conversion obligation</t>
  </si>
  <si>
    <t>Shareholders' equity</t>
  </si>
  <si>
    <t>Preferred stock</t>
  </si>
  <si>
    <t>Common stock</t>
  </si>
  <si>
    <t>Treasury stock, at cost</t>
  </si>
  <si>
    <t>Accumulated other comprehensive income (loss)</t>
  </si>
  <si>
    <t>Total shareholders' equity</t>
  </si>
  <si>
    <t>Total liabilities, convertible debt conversion obligation and shareholders' equity</t>
  </si>
  <si>
    <t>Cost of revenue</t>
  </si>
  <si>
    <t>Gross profit</t>
  </si>
  <si>
    <t>Sales, general and administrative</t>
  </si>
  <si>
    <t>Restructuring and other charges</t>
  </si>
  <si>
    <t>Legal Settlement</t>
  </si>
  <si>
    <t>Total operating expenses</t>
  </si>
  <si>
    <t>Income from operations</t>
  </si>
  <si>
    <t>Other income, net</t>
  </si>
  <si>
    <t>Income before income tax expense</t>
  </si>
  <si>
    <t>Income tax expense</t>
  </si>
  <si>
    <t>Basic net income per share</t>
  </si>
  <si>
    <t>Diluted net income per share</t>
  </si>
  <si>
    <t>Cash dividends declared and paid per common share</t>
  </si>
  <si>
    <t>Net Income before Extraordinaries</t>
  </si>
  <si>
    <t>Depreciation, Depletion &amp; Amortization</t>
  </si>
  <si>
    <t>Depreciation and Depletion</t>
  </si>
  <si>
    <t>Amortization of Intangible Assets</t>
  </si>
  <si>
    <t>Deferred Taxes &amp; Investment Tax Credit</t>
  </si>
  <si>
    <t>Deferred Taxes</t>
  </si>
  <si>
    <t>Other Funds</t>
  </si>
  <si>
    <t>Funds from Operations</t>
  </si>
  <si>
    <t>Changes in Working Capital</t>
  </si>
  <si>
    <t>Receivables</t>
  </si>
  <si>
    <t>Accounts Payable</t>
  </si>
  <si>
    <t>Other Accruals</t>
  </si>
  <si>
    <t>Other Assets/Liabilities</t>
  </si>
  <si>
    <t>Net Operating Cash Flow</t>
  </si>
  <si>
    <t>Capital Expenditures (Fixed Assets)</t>
  </si>
  <si>
    <t>Net Assets from Acquisitions</t>
  </si>
  <si>
    <t>Sale of Fixed Assets &amp; Businesses</t>
  </si>
  <si>
    <t>Purchase/Sale of Investments</t>
  </si>
  <si>
    <t>Purchase of Investments</t>
  </si>
  <si>
    <t>Sale/Maturity of Investments</t>
  </si>
  <si>
    <t>Other Uses</t>
  </si>
  <si>
    <t>Other Sources</t>
  </si>
  <si>
    <t>Net Investing Cash Flow</t>
  </si>
  <si>
    <t>Cash Dividends Paid - Total</t>
  </si>
  <si>
    <t>Common Dividends</t>
  </si>
  <si>
    <t>Change in Capital Stock</t>
  </si>
  <si>
    <t>Repurchase of Common &amp; Preferred Stk.</t>
  </si>
  <si>
    <t>Sale of Common &amp; Preferred Stock</t>
  </si>
  <si>
    <t>Other Proceeds from Sale of Stock</t>
  </si>
  <si>
    <t>Issuance/Reduction of Debt, Net</t>
  </si>
  <si>
    <t>Change in Long-Term Debt</t>
  </si>
  <si>
    <t>Issuance of Long-Term Debt</t>
  </si>
  <si>
    <t>Reduction in Long-Term Debt</t>
  </si>
  <si>
    <t>Net Financing Cash Flow</t>
  </si>
  <si>
    <t>Net Change in Cash</t>
  </si>
  <si>
    <t>NVDA</t>
  </si>
  <si>
    <t>Balance sheets ($M)</t>
  </si>
  <si>
    <t>Income Statement ($M)</t>
  </si>
  <si>
    <t xml:space="preserve">Cash Flow ($M) </t>
  </si>
  <si>
    <t xml:space="preserve">  Research and Development</t>
  </si>
  <si>
    <t>Inventory purchase obligations</t>
  </si>
  <si>
    <t>Operating leases</t>
  </si>
  <si>
    <t>Uncertain tax positions, interest and penalties</t>
  </si>
  <si>
    <t>Capital purchase obligations</t>
  </si>
  <si>
    <t>Capital lease</t>
  </si>
  <si>
    <t>Restructuring related obligation</t>
  </si>
  <si>
    <t>Total contractual obligations</t>
  </si>
  <si>
    <t xml:space="preserve">1.00% Convertible Senior Notes due 2018 </t>
  </si>
  <si>
    <t xml:space="preserve">Total Current Liabilities </t>
  </si>
  <si>
    <t>Basic per share computation (in shares)</t>
  </si>
  <si>
    <t>Diluted per share computation (in shares)</t>
  </si>
  <si>
    <t>Nvida</t>
  </si>
  <si>
    <t>AMD</t>
  </si>
  <si>
    <t>INTC</t>
  </si>
  <si>
    <t>Intel</t>
  </si>
  <si>
    <t>NVDA Multiple</t>
  </si>
  <si>
    <t>2017 E</t>
  </si>
  <si>
    <t>2021E</t>
  </si>
  <si>
    <t>Total Operating Expenses</t>
  </si>
  <si>
    <t>Short Term Debt</t>
  </si>
  <si>
    <t xml:space="preserve">% Current Liabilites </t>
  </si>
  <si>
    <t>QCOM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</si>
</sst>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5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* #,##0.00_);\(#,##0.00\)"/>
    <numFmt numFmtId="165" formatCode="&quot;$&quot;#,##0;\-&quot;$&quot;#,##0"/>
    <numFmt numFmtId="166" formatCode="#,##0;\-#,##0;&quot;-&quot;"/>
    <numFmt numFmtId="167" formatCode="_(* #,##0,,_);_(* \(#,##0,,\);_(* &quot;-&quot;_)"/>
    <numFmt numFmtId="168" formatCode="_(* #,##0_);[Red]_(* \(#,##0\);_(* &quot;&quot;&quot;&quot;&quot;&quot;&quot;&quot;\ \-\ &quot;&quot;&quot;&quot;&quot;&quot;&quot;&quot;_);_(@_)"/>
    <numFmt numFmtId="169" formatCode="_(* #,##0,_);[Red]_(* \(#,##0,\);_(* &quot;&quot;&quot;&quot;&quot;&quot;&quot;&quot;\ \-\ &quot;&quot;&quot;&quot;&quot;&quot;&quot;&quot;_);_(@_)"/>
    <numFmt numFmtId="170" formatCode="0%;\(0%\);;"/>
    <numFmt numFmtId="171" formatCode="0%;\(0%\);&quot;-&quot;"/>
    <numFmt numFmtId="172" formatCode="#,##0\ ;\(#,##0.0\)"/>
    <numFmt numFmtId="173" formatCode="_(* #,##0.00_);_(* \(#,##0.00\);_(* \-??_);_(@_)"/>
    <numFmt numFmtId="174" formatCode="#,##0.00;\-#,##0.00;&quot;-&quot;"/>
    <numFmt numFmtId="175" formatCode="_._.* \(#,##0\)_%;_._.* #,##0_)_%;_._.* 0_)_%;_._.@_)_%"/>
    <numFmt numFmtId="176" formatCode="_._.&quot;$&quot;* \(#,##0\)_%;_._.&quot;$&quot;* #,##0_)_%;_._.&quot;$&quot;* 0_)_%;_._.@_)_%"/>
    <numFmt numFmtId="177" formatCode="&quot;$&quot;0.00_)"/>
    <numFmt numFmtId="178" formatCode="_(\$* #,##0.00_);_(\$* \(#,##0.00\);_(\$* \-??_);_(@_)"/>
    <numFmt numFmtId="179" formatCode="&quot;SFr.&quot;\ #,##0.00;&quot;SFr.&quot;\ \-#,##0.00"/>
    <numFmt numFmtId="180" formatCode="#,##0;\(#,##0\)"/>
    <numFmt numFmtId="181" formatCode="_([$€-2]* #,##0.00_);_([$€-2]* \(#,##0.00\);_([$€-2]* &quot;-&quot;??_)"/>
    <numFmt numFmtId="182" formatCode="&quot;$&quot;#,##0;[Red]\-&quot;$&quot;#,##0"/>
    <numFmt numFmtId="183" formatCode="&quot;$&quot;#,##0.00;[Red]\-&quot;$&quot;#,##0.00"/>
    <numFmt numFmtId="184" formatCode="#,##0.0_);\(#,##0.0\)"/>
    <numFmt numFmtId="185" formatCode="#,##0.0\ ;\(#,##0.0\)"/>
    <numFmt numFmtId="186" formatCode="0%;\(0%\)"/>
    <numFmt numFmtId="187" formatCode="#,##0;[Red]\(#,##0\)"/>
    <numFmt numFmtId="188" formatCode="#,##0___);\(#,##0.00\)"/>
    <numFmt numFmtId="189" formatCode="#,##0&quot;%&quot;"/>
    <numFmt numFmtId="190" formatCode="#,##0_);[Red]\(#,##0\);&quot;-&quot;"/>
    <numFmt numFmtId="191" formatCode="*-"/>
    <numFmt numFmtId="192" formatCode="_-&quot;$&quot;* #,##0_-;\-&quot;$&quot;* #,##0_-;_-&quot;$&quot;* &quot;-&quot;_-;_-@_-"/>
    <numFmt numFmtId="193" formatCode="_-&quot;$&quot;* #,##0.00_-;\-&quot;$&quot;* #,##0.00_-;_-&quot;$&quot;* &quot;-&quot;??_-;_-@_-"/>
    <numFmt numFmtId="194" formatCode="_(&quot;$&quot;* #,##0_);_(&quot;$&quot;* \(#,##0\);_(&quot;$&quot;* &quot;-&quot;??_);_(@_)"/>
    <numFmt numFmtId="195" formatCode="_(* #,##0_);_(* \(#,##0\);_(* &quot;-&quot;??_);_(@_)"/>
    <numFmt numFmtId="196" formatCode="#,###,,"/>
    <numFmt numFmtId="197" formatCode="0.0%"/>
    <numFmt numFmtId="198" formatCode="&quot;$&quot;#,###,,"/>
    <numFmt numFmtId="199" formatCode="[$$-409]#,##0.00;[Red]\-[$$-409]#,##0.00"/>
    <numFmt numFmtId="200" formatCode="_(* #,##0.0_);_(* \(#,##0.0\);_(* &quot;-&quot;??_);_(@_)"/>
    <numFmt numFmtId="201" formatCode="&quot;$&quot;#,##0.00"/>
    <numFmt numFmtId="202" formatCode="_(&quot;$ &quot;#,##0_);_(&quot;$ &quot;\(#,##0\)"/>
    <numFmt numFmtId="203" formatCode="_-* #,##0.00_-;\-* #,##0.00_-;_-* &quot;-&quot;??_-;_-@_-"/>
    <numFmt numFmtId="204" formatCode="yyyy\-mm\-dd\ hh:mm:ss"/>
  </numFmts>
  <fonts count="7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  <charset val="1"/>
    </font>
    <font>
      <sz val="8"/>
      <name val="Helv"/>
    </font>
    <font>
      <b/>
      <sz val="12"/>
      <name val="Tms Rmn"/>
    </font>
    <font>
      <b/>
      <i/>
      <sz val="12"/>
      <name val="Tms Rmn"/>
    </font>
    <font>
      <b/>
      <sz val="10"/>
      <name val="MS Sans Serif"/>
      <family val="2"/>
    </font>
    <font>
      <sz val="10"/>
      <color indexed="8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sz val="10"/>
      <name val="Helv"/>
    </font>
    <font>
      <sz val="11"/>
      <color rgb="FF000000"/>
      <name val="Calibri"/>
      <family val="2"/>
      <charset val="1"/>
    </font>
    <font>
      <sz val="11"/>
      <color indexed="8"/>
      <name val="Calibri"/>
      <family val="2"/>
    </font>
    <font>
      <sz val="10"/>
      <color indexed="0"/>
      <name val="MS Sans Serif"/>
      <family val="2"/>
    </font>
    <font>
      <b/>
      <sz val="14"/>
      <name val="Arial"/>
      <family val="2"/>
    </font>
    <font>
      <sz val="11"/>
      <color indexed="12"/>
      <name val="Times New Roman"/>
      <family val="1"/>
    </font>
    <font>
      <sz val="11"/>
      <name val="Times New Roman"/>
      <family val="1"/>
    </font>
    <font>
      <sz val="10"/>
      <color indexed="12"/>
      <name val="Helv"/>
    </font>
    <font>
      <sz val="8"/>
      <color indexed="18"/>
      <name val="Helv"/>
    </font>
    <font>
      <b/>
      <u/>
      <sz val="10"/>
      <color indexed="8"/>
      <name val="Times New Roman"/>
      <family val="1"/>
    </font>
    <font>
      <sz val="10"/>
      <color indexed="12"/>
      <name val="Arial"/>
      <family val="2"/>
    </font>
    <font>
      <u/>
      <sz val="11"/>
      <color theme="11"/>
      <name val="Calibri"/>
      <family val="2"/>
      <scheme val="minor"/>
    </font>
    <font>
      <sz val="8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13"/>
      <color theme="3"/>
      <name val="Calibri"/>
      <family val="2"/>
    </font>
    <font>
      <u/>
      <sz val="11"/>
      <color theme="10"/>
      <name val="Calibri"/>
      <family val="2"/>
      <scheme val="minor"/>
    </font>
    <font>
      <sz val="10"/>
      <color indexed="14"/>
      <name val="Arial"/>
      <family val="2"/>
    </font>
    <font>
      <sz val="10"/>
      <name val="Verdana"/>
      <family val="2"/>
    </font>
    <font>
      <b/>
      <sz val="10"/>
      <color indexed="8"/>
      <name val="Arial"/>
      <family val="2"/>
    </font>
    <font>
      <sz val="10"/>
      <name val="MS Sans Serif"/>
      <family val="2"/>
    </font>
    <font>
      <sz val="10"/>
      <color indexed="10"/>
      <name val="Arial"/>
      <family val="2"/>
    </font>
    <font>
      <sz val="10"/>
      <name val="Tms Rmn"/>
    </font>
    <font>
      <b/>
      <sz val="10"/>
      <color indexed="10"/>
      <name val="Arial"/>
      <family val="2"/>
    </font>
    <font>
      <sz val="8"/>
      <name val="Tms Rmn"/>
    </font>
    <font>
      <sz val="9"/>
      <color theme="1"/>
      <name val="Calibri"/>
      <family val="2"/>
      <scheme val="minor"/>
    </font>
    <font>
      <sz val="11"/>
      <color rgb="FF000000"/>
      <name val="Arial"/>
      <family val="2"/>
      <charset val="1"/>
    </font>
    <font>
      <b/>
      <sz val="11"/>
      <color indexed="8"/>
      <name val="Calibri"/>
      <family val="2"/>
      <charset val="1"/>
    </font>
    <font>
      <sz val="11"/>
      <name val="Calibri"/>
      <family val="2"/>
      <charset val="1"/>
    </font>
    <font>
      <sz val="11"/>
      <color theme="1"/>
      <name val="Calibri"/>
      <family val="2"/>
      <charset val="1"/>
    </font>
    <font>
      <sz val="10"/>
      <color indexed="8"/>
      <name val="Calibri"/>
      <family val="2"/>
      <charset val="1"/>
    </font>
    <font>
      <sz val="11"/>
      <name val="Calibri"/>
      <family val="2"/>
      <scheme val="minor"/>
    </font>
    <font>
      <sz val="11"/>
      <color rgb="FF333333"/>
      <name val="Arial"/>
      <family val="2"/>
    </font>
    <font>
      <sz val="11"/>
      <color rgb="FF000000"/>
      <name val="Arial"/>
      <family val="2"/>
    </font>
    <font>
      <sz val="11"/>
      <name val="Arial"/>
      <family val="2"/>
    </font>
    <font>
      <sz val="11"/>
      <color theme="4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u/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Inherit"/>
    </font>
    <font>
      <sz val="10"/>
      <color rgb="FF000000"/>
      <name val="Inherit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Times New Roman"/>
      <family val="1"/>
    </font>
    <font>
      <sz val="11"/>
      <color rgb="FF6DB426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charset val="1"/>
      <scheme val="minor"/>
    </font>
  </fonts>
  <fills count="5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2FCE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6DB426"/>
        <bgColor indexed="64"/>
      </patternFill>
    </fill>
    <fill>
      <patternFill patternType="solid">
        <fgColor rgb="FFE5FFE5"/>
        <bgColor indexed="64"/>
      </patternFill>
    </fill>
    <fill>
      <patternFill patternType="solid">
        <fgColor rgb="FF6DB426"/>
        <bgColor rgb="FF993300"/>
      </patternFill>
    </fill>
  </fills>
  <borders count="58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double">
        <color auto="1"/>
      </bottom>
      <diagonal/>
    </border>
    <border>
      <left/>
      <right/>
      <top style="medium">
        <color auto="1"/>
      </top>
      <bottom style="double">
        <color auto="1"/>
      </bottom>
      <diagonal/>
    </border>
    <border>
      <left/>
      <right style="medium">
        <color auto="1"/>
      </right>
      <top style="medium">
        <color auto="1"/>
      </top>
      <bottom style="double">
        <color auto="1"/>
      </bottom>
      <diagonal/>
    </border>
    <border>
      <left style="dashed">
        <color rgb="FF0070C0"/>
      </left>
      <right/>
      <top style="dashed">
        <color rgb="FF0070C0"/>
      </top>
      <bottom style="dashed">
        <color rgb="FF0070C0"/>
      </bottom>
      <diagonal/>
    </border>
    <border>
      <left/>
      <right/>
      <top style="dashed">
        <color rgb="FF0070C0"/>
      </top>
      <bottom style="dashed">
        <color rgb="FF0070C0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double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9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6" fillId="0" borderId="0">
      <alignment horizontal="center"/>
    </xf>
    <xf numFmtId="37" fontId="7" fillId="0" borderId="0"/>
    <xf numFmtId="37" fontId="8" fillId="0" borderId="0"/>
    <xf numFmtId="165" fontId="9" fillId="0" borderId="7" applyAlignment="0" applyProtection="0"/>
    <xf numFmtId="165" fontId="9" fillId="0" borderId="7" applyAlignment="0" applyProtection="0"/>
    <xf numFmtId="166" fontId="10" fillId="0" borderId="0" applyFill="0" applyBorder="0" applyAlignment="0"/>
    <xf numFmtId="167" fontId="11" fillId="0" borderId="0" applyFill="0" applyBorder="0" applyAlignment="0"/>
    <xf numFmtId="168" fontId="11" fillId="0" borderId="0" applyFill="0" applyBorder="0" applyAlignment="0"/>
    <xf numFmtId="169" fontId="11" fillId="0" borderId="0" applyFill="0" applyBorder="0" applyAlignment="0"/>
    <xf numFmtId="170" fontId="11" fillId="0" borderId="0" applyFill="0" applyBorder="0" applyAlignment="0"/>
    <xf numFmtId="166" fontId="10" fillId="0" borderId="0" applyFill="0" applyBorder="0" applyAlignment="0"/>
    <xf numFmtId="171" fontId="11" fillId="0" borderId="0" applyFill="0" applyBorder="0" applyAlignment="0"/>
    <xf numFmtId="167" fontId="11" fillId="0" borderId="0" applyFill="0" applyBorder="0" applyAlignment="0"/>
    <xf numFmtId="0" fontId="12" fillId="0" borderId="0" applyFill="0" applyBorder="0" applyProtection="0">
      <alignment horizontal="center"/>
      <protection locked="0"/>
    </xf>
    <xf numFmtId="0" fontId="13" fillId="0" borderId="0"/>
    <xf numFmtId="172" fontId="13" fillId="0" borderId="4"/>
    <xf numFmtId="166" fontId="11" fillId="0" borderId="0" applyFont="0" applyFill="0" applyBorder="0" applyAlignment="0" applyProtection="0"/>
    <xf numFmtId="173" fontId="14" fillId="0" borderId="0" applyBorder="0" applyProtection="0"/>
    <xf numFmtId="43" fontId="1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1" fillId="0" borderId="0" applyFont="0" applyFill="0" applyBorder="0" applyAlignment="0" applyProtection="0"/>
    <xf numFmtId="173" fontId="14" fillId="0" borderId="0" applyBorder="0" applyProtection="0"/>
    <xf numFmtId="173" fontId="14" fillId="0" borderId="0" applyBorder="0" applyProtection="0"/>
    <xf numFmtId="173" fontId="14" fillId="0" borderId="0" applyBorder="0" applyProtection="0"/>
    <xf numFmtId="43" fontId="1" fillId="0" borderId="0" applyFont="0" applyFill="0" applyBorder="0" applyAlignment="0" applyProtection="0"/>
    <xf numFmtId="173" fontId="14" fillId="0" borderId="0" applyBorder="0" applyProtection="0"/>
    <xf numFmtId="43" fontId="11" fillId="0" borderId="0" applyFon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Fill="0" applyBorder="0" applyAlignment="0" applyProtection="0">
      <protection locked="0"/>
    </xf>
    <xf numFmtId="174" fontId="11" fillId="0" borderId="0">
      <alignment horizontal="center"/>
    </xf>
    <xf numFmtId="175" fontId="18" fillId="0" borderId="0" applyFill="0" applyBorder="0" applyProtection="0"/>
    <xf numFmtId="176" fontId="19" fillId="0" borderId="0" applyFont="0" applyFill="0" applyBorder="0" applyAlignment="0" applyProtection="0"/>
    <xf numFmtId="177" fontId="20" fillId="0" borderId="13">
      <protection hidden="1"/>
    </xf>
    <xf numFmtId="177" fontId="20" fillId="0" borderId="13">
      <protection hidden="1"/>
    </xf>
    <xf numFmtId="167" fontId="11" fillId="0" borderId="0" applyFont="0" applyFill="0" applyBorder="0" applyAlignment="0" applyProtection="0"/>
    <xf numFmtId="178" fontId="14" fillId="0" borderId="0" applyBorder="0" applyProtection="0"/>
    <xf numFmtId="44" fontId="11" fillId="0" borderId="0" applyFont="0" applyFill="0" applyBorder="0" applyAlignment="0" applyProtection="0"/>
    <xf numFmtId="44" fontId="1" fillId="0" borderId="0" applyFont="0" applyFill="0" applyBorder="0" applyAlignment="0" applyProtection="0"/>
    <xf numFmtId="178" fontId="14" fillId="0" borderId="0" applyBorder="0" applyProtection="0"/>
    <xf numFmtId="178" fontId="14" fillId="0" borderId="0" applyBorder="0" applyProtection="0"/>
    <xf numFmtId="178" fontId="14" fillId="0" borderId="0" applyBorder="0" applyProtection="0"/>
    <xf numFmtId="44" fontId="1" fillId="0" borderId="0" applyFont="0" applyFill="0" applyBorder="0" applyAlignment="0" applyProtection="0"/>
    <xf numFmtId="178" fontId="14" fillId="0" borderId="0" applyBorder="0" applyProtection="0"/>
    <xf numFmtId="44" fontId="11" fillId="0" borderId="0" applyFont="0" applyFill="0" applyBorder="0" applyAlignment="0" applyProtection="0"/>
    <xf numFmtId="0" fontId="16" fillId="0" borderId="0" applyNumberFormat="0" applyFill="0" applyBorder="0" applyAlignment="0" applyProtection="0"/>
    <xf numFmtId="1" fontId="6" fillId="0" borderId="0"/>
    <xf numFmtId="14" fontId="21" fillId="0" borderId="0">
      <alignment horizontal="center"/>
    </xf>
    <xf numFmtId="14" fontId="10" fillId="0" borderId="0" applyFill="0" applyBorder="0" applyAlignment="0"/>
    <xf numFmtId="15" fontId="22" fillId="4" borderId="0" applyNumberFormat="0" applyFont="0" applyFill="0" applyBorder="0" applyAlignment="0">
      <alignment horizontal="center" wrapText="1"/>
    </xf>
    <xf numFmtId="0" fontId="10" fillId="0" borderId="14" applyNumberFormat="0" applyFill="0" applyBorder="0" applyAlignment="0" applyProtection="0"/>
    <xf numFmtId="0" fontId="10" fillId="0" borderId="14" applyNumberFormat="0" applyFill="0" applyBorder="0" applyAlignment="0" applyProtection="0"/>
    <xf numFmtId="179" fontId="13" fillId="0" borderId="0" applyFont="0" applyFill="0" applyBorder="0" applyAlignment="0" applyProtection="0"/>
    <xf numFmtId="180" fontId="19" fillId="0" borderId="0" applyFont="0" applyFill="0" applyBorder="0" applyAlignment="0" applyProtection="0"/>
    <xf numFmtId="166" fontId="23" fillId="0" borderId="0" applyFill="0" applyBorder="0" applyAlignment="0"/>
    <xf numFmtId="167" fontId="11" fillId="0" borderId="0" applyFill="0" applyBorder="0" applyAlignment="0"/>
    <xf numFmtId="166" fontId="23" fillId="0" borderId="0" applyFill="0" applyBorder="0" applyAlignment="0"/>
    <xf numFmtId="171" fontId="11" fillId="0" borderId="0" applyFill="0" applyBorder="0" applyAlignment="0"/>
    <xf numFmtId="167" fontId="11" fillId="0" borderId="0" applyFill="0" applyBorder="0" applyAlignment="0"/>
    <xf numFmtId="177" fontId="20" fillId="0" borderId="13">
      <protection hidden="1"/>
    </xf>
    <xf numFmtId="177" fontId="20" fillId="0" borderId="13">
      <protection hidden="1"/>
    </xf>
    <xf numFmtId="181" fontId="11" fillId="0" borderId="0" applyFon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38" fontId="25" fillId="4" borderId="0" applyNumberFormat="0" applyBorder="0" applyAlignment="0" applyProtection="0"/>
    <xf numFmtId="0" fontId="26" fillId="0" borderId="15" applyNumberFormat="0" applyAlignment="0" applyProtection="0">
      <alignment horizontal="left" vertical="center"/>
    </xf>
    <xf numFmtId="0" fontId="26" fillId="0" borderId="15" applyNumberFormat="0" applyAlignment="0" applyProtection="0">
      <alignment horizontal="left" vertical="center"/>
    </xf>
    <xf numFmtId="0" fontId="26" fillId="0" borderId="5">
      <alignment horizontal="left" vertical="center"/>
    </xf>
    <xf numFmtId="0" fontId="26" fillId="0" borderId="5">
      <alignment horizontal="left" vertical="center"/>
    </xf>
    <xf numFmtId="14" fontId="27" fillId="5" borderId="13">
      <alignment horizontal="center" vertical="center" wrapText="1"/>
    </xf>
    <xf numFmtId="0" fontId="28" fillId="0" borderId="1" applyNumberFormat="0" applyFill="0" applyAlignment="0" applyProtection="0"/>
    <xf numFmtId="14" fontId="27" fillId="5" borderId="13">
      <alignment horizontal="center" vertical="center" wrapText="1"/>
    </xf>
    <xf numFmtId="0" fontId="12" fillId="0" borderId="0" applyFill="0" applyAlignment="0" applyProtection="0">
      <protection locked="0"/>
    </xf>
    <xf numFmtId="0" fontId="12" fillId="0" borderId="4" applyFill="0" applyAlignment="0" applyProtection="0">
      <protection locked="0"/>
    </xf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0" fontId="25" fillId="6" borderId="14" applyNumberFormat="0" applyBorder="0" applyAlignment="0" applyProtection="0"/>
    <xf numFmtId="10" fontId="25" fillId="6" borderId="14" applyNumberFormat="0" applyBorder="0" applyAlignment="0" applyProtection="0"/>
    <xf numFmtId="166" fontId="30" fillId="0" borderId="0" applyFill="0" applyBorder="0" applyAlignment="0"/>
    <xf numFmtId="167" fontId="11" fillId="0" borderId="0" applyFill="0" applyBorder="0" applyAlignment="0"/>
    <xf numFmtId="166" fontId="30" fillId="0" borderId="0" applyFill="0" applyBorder="0" applyAlignment="0"/>
    <xf numFmtId="171" fontId="11" fillId="0" borderId="0" applyFill="0" applyBorder="0" applyAlignment="0"/>
    <xf numFmtId="167" fontId="11" fillId="0" borderId="0" applyFill="0" applyBorder="0" applyAlignment="0"/>
    <xf numFmtId="182" fontId="19" fillId="0" borderId="0" applyFont="0" applyFill="0" applyBorder="0" applyAlignment="0" applyProtection="0"/>
    <xf numFmtId="183" fontId="19" fillId="0" borderId="0" applyFont="0" applyFill="0" applyBorder="0" applyAlignment="0" applyProtection="0"/>
    <xf numFmtId="184" fontId="6" fillId="0" borderId="4"/>
    <xf numFmtId="185" fontId="13" fillId="0" borderId="0"/>
    <xf numFmtId="186" fontId="11" fillId="0" borderId="0"/>
    <xf numFmtId="0" fontId="31" fillId="0" borderId="0"/>
    <xf numFmtId="0" fontId="31" fillId="0" borderId="0"/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31" fillId="0" borderId="0"/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4" fillId="0" borderId="0"/>
    <xf numFmtId="0" fontId="11" fillId="0" borderId="0"/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0" fillId="0" borderId="0"/>
    <xf numFmtId="0" fontId="11" fillId="0" borderId="0"/>
    <xf numFmtId="0" fontId="14" fillId="0" borderId="0"/>
    <xf numFmtId="0" fontId="14" fillId="0" borderId="0"/>
    <xf numFmtId="0" fontId="14" fillId="0" borderId="0"/>
    <xf numFmtId="0" fontId="1" fillId="0" borderId="0"/>
    <xf numFmtId="0" fontId="14" fillId="0" borderId="0"/>
    <xf numFmtId="0" fontId="1" fillId="0" borderId="0"/>
    <xf numFmtId="0" fontId="31" fillId="0" borderId="0"/>
    <xf numFmtId="0" fontId="15" fillId="0" borderId="0"/>
    <xf numFmtId="0" fontId="31" fillId="0" borderId="0"/>
    <xf numFmtId="0" fontId="15" fillId="0" borderId="0"/>
    <xf numFmtId="0" fontId="31" fillId="0" borderId="0"/>
    <xf numFmtId="0" fontId="31" fillId="0" borderId="0"/>
    <xf numFmtId="0" fontId="11" fillId="0" borderId="0">
      <alignment vertical="top"/>
    </xf>
    <xf numFmtId="0" fontId="31" fillId="0" borderId="0"/>
    <xf numFmtId="0" fontId="31" fillId="0" borderId="0"/>
    <xf numFmtId="0" fontId="1" fillId="2" borderId="2" applyNumberFormat="0" applyFont="0" applyAlignment="0" applyProtection="0"/>
    <xf numFmtId="0" fontId="1" fillId="2" borderId="2" applyNumberFormat="0" applyFont="0" applyAlignment="0" applyProtection="0"/>
    <xf numFmtId="187" fontId="10" fillId="7" borderId="0">
      <alignment horizontal="right"/>
    </xf>
    <xf numFmtId="0" fontId="32" fillId="7" borderId="16"/>
    <xf numFmtId="0" fontId="32" fillId="7" borderId="16"/>
    <xf numFmtId="188" fontId="33" fillId="0" borderId="0"/>
    <xf numFmtId="189" fontId="20" fillId="0" borderId="0">
      <protection hidden="1"/>
    </xf>
    <xf numFmtId="170" fontId="11" fillId="0" borderId="0" applyFont="0" applyFill="0" applyBorder="0" applyAlignment="0" applyProtection="0"/>
    <xf numFmtId="186" fontId="11" fillId="0" borderId="0" applyFont="0" applyFill="0" applyBorder="0" applyAlignment="0" applyProtection="0"/>
    <xf numFmtId="10" fontId="11" fillId="0" borderId="0" applyFont="0" applyFill="0" applyBorder="0" applyAlignment="0" applyProtection="0"/>
    <xf numFmtId="9" fontId="14" fillId="0" borderId="0" applyBorder="0" applyProtection="0"/>
    <xf numFmtId="9" fontId="1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4" fillId="0" borderId="0" applyBorder="0" applyProtection="0"/>
    <xf numFmtId="9" fontId="14" fillId="0" borderId="0" applyBorder="0" applyProtection="0"/>
    <xf numFmtId="9" fontId="14" fillId="0" borderId="0" applyBorder="0" applyProtection="0"/>
    <xf numFmtId="9" fontId="1" fillId="0" borderId="0" applyFont="0" applyFill="0" applyBorder="0" applyAlignment="0" applyProtection="0"/>
    <xf numFmtId="9" fontId="14" fillId="0" borderId="0" applyBorder="0" applyProtection="0"/>
    <xf numFmtId="184" fontId="6" fillId="0" borderId="0"/>
    <xf numFmtId="166" fontId="34" fillId="0" borderId="0" applyFill="0" applyBorder="0" applyAlignment="0"/>
    <xf numFmtId="167" fontId="11" fillId="0" borderId="0" applyFill="0" applyBorder="0" applyAlignment="0"/>
    <xf numFmtId="166" fontId="34" fillId="0" borderId="0" applyFill="0" applyBorder="0" applyAlignment="0"/>
    <xf numFmtId="171" fontId="11" fillId="0" borderId="0" applyFill="0" applyBorder="0" applyAlignment="0"/>
    <xf numFmtId="167" fontId="11" fillId="0" borderId="0" applyFill="0" applyBorder="0" applyAlignment="0"/>
    <xf numFmtId="37" fontId="35" fillId="0" borderId="17"/>
    <xf numFmtId="49" fontId="10" fillId="0" borderId="0" applyFill="0" applyBorder="0" applyAlignment="0"/>
    <xf numFmtId="190" fontId="11" fillId="0" borderId="0" applyFill="0" applyBorder="0" applyAlignment="0"/>
    <xf numFmtId="191" fontId="11" fillId="0" borderId="0" applyFill="0" applyBorder="0" applyAlignment="0"/>
    <xf numFmtId="0" fontId="36" fillId="0" borderId="0" applyFill="0" applyBorder="0" applyProtection="0">
      <alignment horizontal="left" vertical="top"/>
    </xf>
    <xf numFmtId="40" fontId="37" fillId="0" borderId="0"/>
    <xf numFmtId="0" fontId="2" fillId="0" borderId="0" applyNumberFormat="0" applyFill="0" applyBorder="0" applyAlignment="0" applyProtection="0"/>
    <xf numFmtId="37" fontId="35" fillId="0" borderId="4"/>
    <xf numFmtId="37" fontId="35" fillId="0" borderId="18"/>
    <xf numFmtId="192" fontId="11" fillId="0" borderId="0" applyFont="0" applyFill="0" applyBorder="0" applyAlignment="0" applyProtection="0"/>
    <xf numFmtId="193" fontId="11" fillId="0" borderId="0" applyFont="0" applyFill="0" applyBorder="0" applyAlignment="0" applyProtection="0"/>
    <xf numFmtId="0" fontId="11" fillId="0" borderId="0"/>
    <xf numFmtId="0" fontId="2" fillId="0" borderId="0" applyNumberFormat="0" applyFill="0" applyBorder="0" applyAlignment="0" applyProtection="0"/>
    <xf numFmtId="0" fontId="52" fillId="0" borderId="42" applyNumberFormat="0" applyFill="0" applyAlignment="0" applyProtection="0"/>
    <xf numFmtId="0" fontId="53" fillId="0" borderId="1" applyNumberFormat="0" applyFill="0" applyAlignment="0" applyProtection="0"/>
    <xf numFmtId="0" fontId="54" fillId="0" borderId="43" applyNumberFormat="0" applyFill="0" applyAlignment="0" applyProtection="0"/>
    <xf numFmtId="0" fontId="54" fillId="0" borderId="0" applyNumberFormat="0" applyFill="0" applyBorder="0" applyAlignment="0" applyProtection="0"/>
    <xf numFmtId="0" fontId="55" fillId="15" borderId="0" applyNumberFormat="0" applyBorder="0" applyAlignment="0" applyProtection="0"/>
    <xf numFmtId="0" fontId="56" fillId="16" borderId="0" applyNumberFormat="0" applyBorder="0" applyAlignment="0" applyProtection="0"/>
    <xf numFmtId="0" fontId="57" fillId="17" borderId="0" applyNumberFormat="0" applyBorder="0" applyAlignment="0" applyProtection="0"/>
    <xf numFmtId="0" fontId="58" fillId="18" borderId="44" applyNumberFormat="0" applyAlignment="0" applyProtection="0"/>
    <xf numFmtId="0" fontId="59" fillId="19" borderId="45" applyNumberFormat="0" applyAlignment="0" applyProtection="0"/>
    <xf numFmtId="0" fontId="60" fillId="19" borderId="44" applyNumberFormat="0" applyAlignment="0" applyProtection="0"/>
    <xf numFmtId="0" fontId="61" fillId="0" borderId="46" applyNumberFormat="0" applyFill="0" applyAlignment="0" applyProtection="0"/>
    <xf numFmtId="0" fontId="62" fillId="20" borderId="47" applyNumberFormat="0" applyAlignment="0" applyProtection="0"/>
    <xf numFmtId="0" fontId="3" fillId="0" borderId="0" applyNumberFormat="0" applyFill="0" applyBorder="0" applyAlignment="0" applyProtection="0"/>
    <xf numFmtId="0" fontId="1" fillId="2" borderId="2" applyNumberFormat="0" applyFont="0" applyAlignment="0" applyProtection="0"/>
    <xf numFmtId="0" fontId="63" fillId="0" borderId="0" applyNumberFormat="0" applyFill="0" applyBorder="0" applyAlignment="0" applyProtection="0"/>
    <xf numFmtId="0" fontId="4" fillId="0" borderId="48" applyNumberFormat="0" applyFill="0" applyAlignment="0" applyProtection="0"/>
    <xf numFmtId="0" fontId="64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64" fillId="24" borderId="0" applyNumberFormat="0" applyBorder="0" applyAlignment="0" applyProtection="0"/>
    <xf numFmtId="0" fontId="64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64" fillId="28" borderId="0" applyNumberFormat="0" applyBorder="0" applyAlignment="0" applyProtection="0"/>
    <xf numFmtId="0" fontId="64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64" fillId="32" borderId="0" applyNumberFormat="0" applyBorder="0" applyAlignment="0" applyProtection="0"/>
    <xf numFmtId="0" fontId="64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64" fillId="36" borderId="0" applyNumberFormat="0" applyBorder="0" applyAlignment="0" applyProtection="0"/>
    <xf numFmtId="0" fontId="64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64" fillId="40" borderId="0" applyNumberFormat="0" applyBorder="0" applyAlignment="0" applyProtection="0"/>
    <xf numFmtId="0" fontId="64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3" borderId="0" applyNumberFormat="0" applyBorder="0" applyAlignment="0" applyProtection="0"/>
    <xf numFmtId="0" fontId="64" fillId="44" borderId="0" applyNumberFormat="0" applyBorder="0" applyAlignment="0" applyProtection="0"/>
    <xf numFmtId="203" fontId="67" fillId="0" borderId="0" applyFont="0" applyFill="0" applyBorder="0" applyAlignment="0" applyProtection="0"/>
    <xf numFmtId="193" fontId="67" fillId="0" borderId="0" applyFont="0" applyFill="0" applyBorder="0" applyAlignment="0" applyProtection="0"/>
    <xf numFmtId="0" fontId="67" fillId="0" borderId="0"/>
    <xf numFmtId="0" fontId="68" fillId="0" borderId="0" applyNumberFormat="0" applyFill="0" applyBorder="0" applyAlignment="0" applyProtection="0"/>
    <xf numFmtId="9" fontId="67" fillId="0" borderId="0" applyFont="0" applyFill="0" applyBorder="0" applyAlignment="0" applyProtection="0"/>
    <xf numFmtId="0" fontId="69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7" fillId="0" borderId="0"/>
    <xf numFmtId="203" fontId="67" fillId="0" borderId="0" applyFont="0" applyFill="0" applyBorder="0" applyAlignment="0" applyProtection="0"/>
    <xf numFmtId="193" fontId="67" fillId="0" borderId="0" applyFont="0" applyFill="0" applyBorder="0" applyAlignment="0" applyProtection="0"/>
    <xf numFmtId="9" fontId="67" fillId="0" borderId="0" applyFont="0" applyFill="0" applyBorder="0" applyAlignment="0" applyProtection="0"/>
    <xf numFmtId="0" fontId="68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9" fillId="0" borderId="0" applyNumberFormat="0" applyFill="0" applyBorder="0" applyAlignment="0" applyProtection="0"/>
  </cellStyleXfs>
  <cellXfs count="533">
    <xf numFmtId="0" fontId="0" fillId="0" borderId="0" xfId="0"/>
    <xf numFmtId="0" fontId="0" fillId="0" borderId="4" xfId="0" applyBorder="1"/>
    <xf numFmtId="0" fontId="0" fillId="0" borderId="0" xfId="0" applyBorder="1"/>
    <xf numFmtId="0" fontId="0" fillId="0" borderId="11" xfId="0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wrapText="1"/>
    </xf>
    <xf numFmtId="0" fontId="4" fillId="0" borderId="0" xfId="0" applyFont="1" applyBorder="1" applyAlignment="1">
      <alignment horizontal="center"/>
    </xf>
    <xf numFmtId="0" fontId="4" fillId="0" borderId="0" xfId="0" applyFont="1" applyBorder="1" applyAlignment="1"/>
    <xf numFmtId="0" fontId="0" fillId="0" borderId="0" xfId="0" applyFill="1" applyBorder="1"/>
    <xf numFmtId="2" fontId="0" fillId="0" borderId="0" xfId="0" applyNumberFormat="1" applyBorder="1"/>
    <xf numFmtId="2" fontId="0" fillId="0" borderId="0" xfId="0" applyNumberFormat="1" applyFill="1" applyBorder="1"/>
    <xf numFmtId="9" fontId="0" fillId="0" borderId="8" xfId="0" applyNumberFormat="1" applyFill="1" applyBorder="1"/>
    <xf numFmtId="0" fontId="4" fillId="0" borderId="12" xfId="0" applyFont="1" applyBorder="1"/>
    <xf numFmtId="10" fontId="0" fillId="0" borderId="24" xfId="3" applyNumberFormat="1" applyFont="1" applyFill="1" applyBorder="1"/>
    <xf numFmtId="9" fontId="0" fillId="0" borderId="0" xfId="3" applyFont="1"/>
    <xf numFmtId="0" fontId="0" fillId="0" borderId="0" xfId="0" applyFill="1"/>
    <xf numFmtId="0" fontId="0" fillId="0" borderId="0" xfId="0" applyFill="1" applyBorder="1" applyAlignment="1">
      <alignment horizontal="right"/>
    </xf>
    <xf numFmtId="9" fontId="0" fillId="0" borderId="0" xfId="3" applyFont="1" applyBorder="1"/>
    <xf numFmtId="9" fontId="0" fillId="0" borderId="0" xfId="0" applyNumberFormat="1" applyBorder="1"/>
    <xf numFmtId="0" fontId="0" fillId="0" borderId="8" xfId="0" applyFill="1" applyBorder="1"/>
    <xf numFmtId="0" fontId="0" fillId="0" borderId="0" xfId="0" applyBorder="1" applyAlignment="1">
      <alignment horizontal="right"/>
    </xf>
    <xf numFmtId="0" fontId="4" fillId="0" borderId="0" xfId="0" applyFont="1" applyFill="1" applyBorder="1" applyAlignment="1">
      <alignment vertical="top" wrapText="1"/>
    </xf>
    <xf numFmtId="0" fontId="0" fillId="0" borderId="0" xfId="0" applyFont="1" applyFill="1" applyBorder="1" applyAlignment="1">
      <alignment vertical="top" wrapText="1"/>
    </xf>
    <xf numFmtId="197" fontId="14" fillId="0" borderId="0" xfId="145" applyNumberFormat="1" applyFont="1" applyBorder="1" applyAlignment="1" applyProtection="1"/>
    <xf numFmtId="0" fontId="0" fillId="0" borderId="0" xfId="0" applyFill="1" applyBorder="1" applyAlignment="1">
      <alignment horizontal="left" vertical="top" wrapText="1" indent="1"/>
    </xf>
    <xf numFmtId="0" fontId="14" fillId="0" borderId="0" xfId="113" applyFont="1" applyBorder="1"/>
    <xf numFmtId="0" fontId="14" fillId="0" borderId="8" xfId="113" applyFont="1" applyBorder="1"/>
    <xf numFmtId="0" fontId="14" fillId="0" borderId="30" xfId="113" applyFont="1" applyBorder="1"/>
    <xf numFmtId="0" fontId="14" fillId="0" borderId="29" xfId="113" applyFont="1" applyBorder="1"/>
    <xf numFmtId="0" fontId="0" fillId="0" borderId="0" xfId="0" applyFill="1" applyBorder="1" applyAlignment="1">
      <alignment vertical="top" wrapText="1"/>
    </xf>
    <xf numFmtId="197" fontId="14" fillId="0" borderId="16" xfId="145" applyNumberFormat="1" applyFont="1" applyBorder="1" applyAlignment="1" applyProtection="1"/>
    <xf numFmtId="197" fontId="14" fillId="0" borderId="8" xfId="145" applyNumberFormat="1" applyFont="1" applyBorder="1" applyAlignment="1" applyProtection="1"/>
    <xf numFmtId="0" fontId="14" fillId="0" borderId="0" xfId="145" applyNumberFormat="1" applyFont="1" applyBorder="1" applyAlignment="1" applyProtection="1"/>
    <xf numFmtId="0" fontId="39" fillId="0" borderId="0" xfId="113" applyFont="1" applyBorder="1" applyAlignment="1">
      <alignment horizontal="right" vertical="center" wrapText="1"/>
    </xf>
    <xf numFmtId="0" fontId="14" fillId="0" borderId="0" xfId="113" applyBorder="1"/>
    <xf numFmtId="3" fontId="0" fillId="0" borderId="0" xfId="0" applyNumberFormat="1" applyFill="1" applyBorder="1"/>
    <xf numFmtId="0" fontId="0" fillId="0" borderId="0" xfId="0" applyAlignment="1">
      <alignment horizontal="right"/>
    </xf>
    <xf numFmtId="0" fontId="5" fillId="0" borderId="0" xfId="0" applyNumberFormat="1" applyFont="1" applyFill="1" applyBorder="1" applyAlignment="1" applyProtection="1"/>
    <xf numFmtId="10" fontId="5" fillId="0" borderId="0" xfId="3" applyNumberFormat="1" applyFont="1" applyFill="1" applyBorder="1" applyAlignment="1" applyProtection="1"/>
    <xf numFmtId="0" fontId="5" fillId="0" borderId="9" xfId="0" applyNumberFormat="1" applyFont="1" applyFill="1" applyBorder="1" applyAlignment="1" applyProtection="1"/>
    <xf numFmtId="0" fontId="5" fillId="0" borderId="8" xfId="0" applyNumberFormat="1" applyFont="1" applyFill="1" applyBorder="1" applyAlignment="1" applyProtection="1"/>
    <xf numFmtId="0" fontId="5" fillId="0" borderId="6" xfId="0" applyNumberFormat="1" applyFont="1" applyFill="1" applyBorder="1" applyAlignment="1" applyProtection="1"/>
    <xf numFmtId="0" fontId="5" fillId="0" borderId="14" xfId="0" applyNumberFormat="1" applyFont="1" applyFill="1" applyBorder="1" applyAlignment="1" applyProtection="1"/>
    <xf numFmtId="0" fontId="5" fillId="0" borderId="19" xfId="0" applyNumberFormat="1" applyFont="1" applyFill="1" applyBorder="1" applyAlignment="1" applyProtection="1"/>
    <xf numFmtId="0" fontId="5" fillId="0" borderId="36" xfId="0" applyNumberFormat="1" applyFont="1" applyFill="1" applyBorder="1" applyAlignment="1" applyProtection="1">
      <alignment horizontal="center"/>
    </xf>
    <xf numFmtId="9" fontId="5" fillId="0" borderId="8" xfId="3" applyFont="1" applyFill="1" applyBorder="1" applyAlignment="1" applyProtection="1"/>
    <xf numFmtId="9" fontId="5" fillId="0" borderId="0" xfId="0" applyNumberFormat="1" applyFont="1" applyFill="1" applyBorder="1" applyAlignment="1" applyProtection="1"/>
    <xf numFmtId="196" fontId="42" fillId="0" borderId="0" xfId="0" applyNumberFormat="1" applyFont="1" applyFill="1" applyBorder="1" applyAlignment="1" applyProtection="1"/>
    <xf numFmtId="195" fontId="5" fillId="0" borderId="9" xfId="1" applyNumberFormat="1" applyFont="1" applyFill="1" applyBorder="1" applyAlignment="1" applyProtection="1"/>
    <xf numFmtId="195" fontId="5" fillId="0" borderId="8" xfId="1" applyNumberFormat="1" applyFont="1" applyFill="1" applyBorder="1" applyAlignment="1" applyProtection="1"/>
    <xf numFmtId="0" fontId="5" fillId="0" borderId="23" xfId="0" applyNumberFormat="1" applyFont="1" applyFill="1" applyBorder="1" applyAlignment="1" applyProtection="1"/>
    <xf numFmtId="195" fontId="5" fillId="0" borderId="23" xfId="1" applyNumberFormat="1" applyFont="1" applyFill="1" applyBorder="1" applyAlignment="1" applyProtection="1"/>
    <xf numFmtId="195" fontId="5" fillId="0" borderId="24" xfId="1" applyNumberFormat="1" applyFont="1" applyFill="1" applyBorder="1" applyAlignment="1" applyProtection="1"/>
    <xf numFmtId="195" fontId="5" fillId="0" borderId="37" xfId="1" applyNumberFormat="1" applyFont="1" applyFill="1" applyBorder="1" applyAlignment="1" applyProtection="1"/>
    <xf numFmtId="195" fontId="5" fillId="0" borderId="39" xfId="1" applyNumberFormat="1" applyFont="1" applyFill="1" applyBorder="1" applyAlignment="1" applyProtection="1"/>
    <xf numFmtId="0" fontId="5" fillId="0" borderId="13" xfId="0" applyNumberFormat="1" applyFont="1" applyFill="1" applyBorder="1" applyAlignment="1" applyProtection="1"/>
    <xf numFmtId="2" fontId="43" fillId="0" borderId="8" xfId="0" applyNumberFormat="1" applyFont="1" applyFill="1" applyBorder="1" applyAlignment="1" applyProtection="1"/>
    <xf numFmtId="10" fontId="5" fillId="11" borderId="8" xfId="0" applyNumberFormat="1" applyFont="1" applyFill="1" applyBorder="1" applyAlignment="1" applyProtection="1"/>
    <xf numFmtId="195" fontId="41" fillId="0" borderId="24" xfId="1" applyNumberFormat="1" applyFont="1" applyFill="1" applyBorder="1" applyAlignment="1" applyProtection="1"/>
    <xf numFmtId="10" fontId="5" fillId="0" borderId="8" xfId="0" applyNumberFormat="1" applyFont="1" applyFill="1" applyBorder="1" applyAlignment="1" applyProtection="1"/>
    <xf numFmtId="10" fontId="5" fillId="0" borderId="24" xfId="0" applyNumberFormat="1" applyFont="1" applyFill="1" applyBorder="1" applyAlignment="1" applyProtection="1"/>
    <xf numFmtId="9" fontId="5" fillId="0" borderId="24" xfId="0" applyNumberFormat="1" applyFont="1" applyFill="1" applyBorder="1" applyAlignment="1" applyProtection="1"/>
    <xf numFmtId="0" fontId="40" fillId="0" borderId="31" xfId="0" applyNumberFormat="1" applyFont="1" applyFill="1" applyBorder="1" applyAlignment="1" applyProtection="1"/>
    <xf numFmtId="195" fontId="5" fillId="8" borderId="10" xfId="0" applyNumberFormat="1" applyFont="1" applyFill="1" applyBorder="1" applyAlignment="1" applyProtection="1"/>
    <xf numFmtId="0" fontId="40" fillId="0" borderId="3" xfId="0" applyNumberFormat="1" applyFont="1" applyFill="1" applyBorder="1" applyAlignment="1" applyProtection="1"/>
    <xf numFmtId="199" fontId="5" fillId="0" borderId="8" xfId="0" applyNumberFormat="1" applyFont="1" applyFill="1" applyBorder="1" applyAlignment="1" applyProtection="1"/>
    <xf numFmtId="10" fontId="5" fillId="8" borderId="24" xfId="0" applyNumberFormat="1" applyFont="1" applyFill="1" applyBorder="1" applyAlignment="1" applyProtection="1"/>
    <xf numFmtId="0" fontId="5" fillId="0" borderId="0" xfId="0" applyNumberFormat="1" applyFont="1" applyFill="1" applyBorder="1" applyAlignment="1" applyProtection="1">
      <alignment horizontal="left"/>
    </xf>
    <xf numFmtId="10" fontId="5" fillId="8" borderId="0" xfId="0" applyNumberFormat="1" applyFont="1" applyFill="1" applyBorder="1" applyAlignment="1" applyProtection="1"/>
    <xf numFmtId="0" fontId="40" fillId="0" borderId="32" xfId="0" applyNumberFormat="1" applyFont="1" applyFill="1" applyBorder="1" applyAlignment="1" applyProtection="1"/>
    <xf numFmtId="10" fontId="5" fillId="0" borderId="24" xfId="3" applyNumberFormat="1" applyFont="1" applyFill="1" applyBorder="1" applyAlignment="1" applyProtection="1"/>
    <xf numFmtId="4" fontId="0" fillId="0" borderId="0" xfId="0" applyNumberFormat="1"/>
    <xf numFmtId="10" fontId="0" fillId="0" borderId="0" xfId="0" applyNumberFormat="1"/>
    <xf numFmtId="4" fontId="0" fillId="0" borderId="0" xfId="0" applyNumberFormat="1" applyAlignment="1">
      <alignment horizontal="right"/>
    </xf>
    <xf numFmtId="10" fontId="0" fillId="0" borderId="0" xfId="0" applyNumberFormat="1" applyAlignment="1">
      <alignment horizontal="right"/>
    </xf>
    <xf numFmtId="4" fontId="0" fillId="0" borderId="0" xfId="0" applyNumberFormat="1" applyFill="1" applyBorder="1" applyAlignment="1">
      <alignment horizontal="right"/>
    </xf>
    <xf numFmtId="0" fontId="0" fillId="0" borderId="0" xfId="0"/>
    <xf numFmtId="0" fontId="46" fillId="0" borderId="0" xfId="0" applyFont="1" applyBorder="1" applyAlignment="1">
      <alignment horizontal="left" vertical="center" wrapText="1"/>
    </xf>
    <xf numFmtId="2" fontId="0" fillId="0" borderId="8" xfId="0" applyNumberFormat="1" applyFill="1" applyBorder="1"/>
    <xf numFmtId="0" fontId="0" fillId="0" borderId="0" xfId="0" applyFill="1" applyBorder="1" applyAlignment="1">
      <alignment horizontal="center"/>
    </xf>
    <xf numFmtId="0" fontId="4" fillId="0" borderId="0" xfId="0" applyFont="1" applyBorder="1"/>
    <xf numFmtId="0" fontId="0" fillId="0" borderId="10" xfId="0" applyFill="1" applyBorder="1"/>
    <xf numFmtId="44" fontId="0" fillId="0" borderId="0" xfId="2" applyFont="1" applyBorder="1"/>
    <xf numFmtId="4" fontId="0" fillId="0" borderId="0" xfId="0" applyNumberFormat="1" applyBorder="1"/>
    <xf numFmtId="10" fontId="0" fillId="0" borderId="0" xfId="0" applyNumberFormat="1" applyBorder="1"/>
    <xf numFmtId="10" fontId="0" fillId="0" borderId="0" xfId="3" applyNumberFormat="1" applyFont="1" applyBorder="1"/>
    <xf numFmtId="0" fontId="38" fillId="0" borderId="0" xfId="0" applyFont="1" applyBorder="1"/>
    <xf numFmtId="10" fontId="0" fillId="0" borderId="0" xfId="3" applyNumberFormat="1" applyFont="1" applyBorder="1" applyAlignment="1">
      <alignment horizontal="center"/>
    </xf>
    <xf numFmtId="10" fontId="0" fillId="0" borderId="0" xfId="3" applyNumberFormat="1" applyFont="1" applyBorder="1" applyAlignment="1">
      <alignment horizontal="center" vertical="center"/>
    </xf>
    <xf numFmtId="201" fontId="0" fillId="0" borderId="0" xfId="2" applyNumberFormat="1" applyFont="1" applyBorder="1" applyAlignment="1">
      <alignment horizontal="center" vertical="center"/>
    </xf>
    <xf numFmtId="9" fontId="5" fillId="0" borderId="20" xfId="3" applyFont="1" applyFill="1" applyBorder="1" applyAlignment="1" applyProtection="1"/>
    <xf numFmtId="2" fontId="0" fillId="0" borderId="0" xfId="0" applyNumberFormat="1" applyFill="1" applyBorder="1" applyAlignment="1">
      <alignment vertical="top" wrapText="1"/>
    </xf>
    <xf numFmtId="197" fontId="14" fillId="0" borderId="0" xfId="145" applyNumberFormat="1" applyFont="1" applyBorder="1" applyAlignment="1" applyProtection="1">
      <alignment horizontal="center"/>
    </xf>
    <xf numFmtId="0" fontId="4" fillId="0" borderId="0" xfId="0" applyFont="1" applyFill="1" applyBorder="1" applyAlignment="1">
      <alignment horizontal="right" vertical="top" wrapText="1"/>
    </xf>
    <xf numFmtId="197" fontId="14" fillId="0" borderId="0" xfId="145" applyNumberFormat="1" applyFont="1" applyBorder="1" applyAlignment="1" applyProtection="1">
      <alignment horizontal="right"/>
    </xf>
    <xf numFmtId="0" fontId="14" fillId="0" borderId="0" xfId="113" applyFont="1" applyBorder="1" applyAlignment="1">
      <alignment horizontal="right"/>
    </xf>
    <xf numFmtId="0" fontId="14" fillId="0" borderId="0" xfId="113" applyFont="1" applyBorder="1" applyAlignment="1">
      <alignment horizontal="center"/>
    </xf>
    <xf numFmtId="0" fontId="0" fillId="0" borderId="24" xfId="0" applyFill="1" applyBorder="1"/>
    <xf numFmtId="1" fontId="0" fillId="0" borderId="10" xfId="0" applyNumberFormat="1" applyFill="1" applyBorder="1"/>
    <xf numFmtId="1" fontId="0" fillId="0" borderId="8" xfId="0" applyNumberFormat="1" applyFill="1" applyBorder="1"/>
    <xf numFmtId="0" fontId="0" fillId="0" borderId="8" xfId="0" applyNumberFormat="1" applyFill="1" applyBorder="1"/>
    <xf numFmtId="10" fontId="0" fillId="0" borderId="8" xfId="0" applyNumberFormat="1" applyFill="1" applyBorder="1"/>
    <xf numFmtId="6" fontId="0" fillId="0" borderId="8" xfId="0" applyNumberFormat="1" applyFill="1" applyBorder="1"/>
    <xf numFmtId="9" fontId="0" fillId="0" borderId="22" xfId="3" applyFont="1" applyFill="1" applyBorder="1"/>
    <xf numFmtId="9" fontId="0" fillId="0" borderId="24" xfId="3" applyFont="1" applyFill="1" applyBorder="1"/>
    <xf numFmtId="0" fontId="44" fillId="0" borderId="31" xfId="0" applyFont="1" applyFill="1" applyBorder="1"/>
    <xf numFmtId="0" fontId="44" fillId="0" borderId="6" xfId="0" applyFont="1" applyFill="1" applyBorder="1"/>
    <xf numFmtId="0" fontId="44" fillId="0" borderId="32" xfId="0" applyFont="1" applyFill="1" applyBorder="1"/>
    <xf numFmtId="0" fontId="46" fillId="0" borderId="0" xfId="0" applyFont="1" applyBorder="1" applyAlignment="1">
      <alignment horizontal="center" vertical="center" wrapText="1"/>
    </xf>
    <xf numFmtId="44" fontId="0" fillId="0" borderId="10" xfId="2" applyFont="1" applyFill="1" applyBorder="1"/>
    <xf numFmtId="43" fontId="0" fillId="0" borderId="0" xfId="0" applyNumberFormat="1" applyFill="1" applyBorder="1"/>
    <xf numFmtId="0" fontId="4" fillId="0" borderId="0" xfId="0" applyFont="1" applyFill="1" applyBorder="1"/>
    <xf numFmtId="2" fontId="0" fillId="0" borderId="4" xfId="0" applyNumberFormat="1" applyBorder="1"/>
    <xf numFmtId="0" fontId="0" fillId="0" borderId="0" xfId="0" applyBorder="1" applyAlignment="1">
      <alignment horizontal="left" indent="1"/>
    </xf>
    <xf numFmtId="196" fontId="0" fillId="0" borderId="0" xfId="0" applyNumberFormat="1" applyBorder="1" applyAlignment="1">
      <alignment horizontal="center"/>
    </xf>
    <xf numFmtId="196" fontId="0" fillId="0" borderId="0" xfId="0" applyNumberFormat="1" applyBorder="1"/>
    <xf numFmtId="9" fontId="0" fillId="0" borderId="0" xfId="3" applyFont="1" applyFill="1" applyBorder="1" applyAlignment="1">
      <alignment horizontal="center"/>
    </xf>
    <xf numFmtId="196" fontId="0" fillId="0" borderId="0" xfId="0" applyNumberFormat="1" applyFill="1" applyBorder="1" applyAlignment="1">
      <alignment horizontal="center"/>
    </xf>
    <xf numFmtId="196" fontId="0" fillId="0" borderId="0" xfId="0" applyNumberFormat="1" applyFill="1" applyBorder="1"/>
    <xf numFmtId="0" fontId="4" fillId="0" borderId="0" xfId="0" applyFont="1" applyBorder="1" applyAlignment="1">
      <alignment horizontal="right"/>
    </xf>
    <xf numFmtId="0" fontId="0" fillId="8" borderId="0" xfId="0" applyFill="1" applyBorder="1"/>
    <xf numFmtId="0" fontId="44" fillId="0" borderId="0" xfId="0" applyFont="1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2" fontId="44" fillId="0" borderId="0" xfId="0" applyNumberFormat="1" applyFont="1" applyFill="1" applyBorder="1" applyAlignment="1">
      <alignment horizontal="center"/>
    </xf>
    <xf numFmtId="178" fontId="5" fillId="0" borderId="0" xfId="0" applyNumberFormat="1" applyFont="1" applyFill="1" applyBorder="1" applyAlignment="1" applyProtection="1">
      <alignment horizontal="center"/>
    </xf>
    <xf numFmtId="10" fontId="5" fillId="0" borderId="0" xfId="0" applyNumberFormat="1" applyFont="1" applyFill="1" applyBorder="1" applyAlignment="1" applyProtection="1">
      <alignment horizontal="center"/>
    </xf>
    <xf numFmtId="2" fontId="0" fillId="0" borderId="0" xfId="0" applyNumberFormat="1" applyFont="1" applyFill="1" applyBorder="1" applyAlignment="1">
      <alignment horizontal="center" vertical="center" wrapText="1"/>
    </xf>
    <xf numFmtId="3" fontId="46" fillId="0" borderId="0" xfId="0" applyNumberFormat="1" applyFont="1" applyBorder="1" applyAlignment="1">
      <alignment horizontal="right" vertical="center" wrapText="1"/>
    </xf>
    <xf numFmtId="3" fontId="47" fillId="0" borderId="0" xfId="0" applyNumberFormat="1" applyFont="1" applyBorder="1" applyAlignment="1">
      <alignment horizontal="right" vertical="center" wrapText="1"/>
    </xf>
    <xf numFmtId="0" fontId="0" fillId="0" borderId="0" xfId="0" applyAlignment="1"/>
    <xf numFmtId="0" fontId="0" fillId="0" borderId="0" xfId="0" applyAlignment="1">
      <alignment vertical="top"/>
    </xf>
    <xf numFmtId="6" fontId="0" fillId="0" borderId="0" xfId="0" applyNumberFormat="1" applyAlignment="1"/>
    <xf numFmtId="202" fontId="0" fillId="0" borderId="0" xfId="0" applyNumberFormat="1" applyAlignment="1">
      <alignment horizontal="right" vertical="top"/>
    </xf>
    <xf numFmtId="3" fontId="0" fillId="0" borderId="0" xfId="0" applyNumberFormat="1" applyAlignment="1"/>
    <xf numFmtId="37" fontId="0" fillId="0" borderId="0" xfId="0" applyNumberFormat="1" applyAlignment="1">
      <alignment horizontal="right" vertical="top"/>
    </xf>
    <xf numFmtId="0" fontId="50" fillId="0" borderId="0" xfId="0" applyFont="1" applyAlignment="1">
      <alignment vertical="top"/>
    </xf>
    <xf numFmtId="0" fontId="4" fillId="12" borderId="0" xfId="0" applyFont="1" applyFill="1" applyBorder="1"/>
    <xf numFmtId="0" fontId="0" fillId="12" borderId="0" xfId="0" applyFill="1"/>
    <xf numFmtId="0" fontId="0" fillId="13" borderId="0" xfId="0" applyFill="1"/>
    <xf numFmtId="0" fontId="4" fillId="14" borderId="0" xfId="0" applyFont="1" applyFill="1" applyBorder="1" applyAlignment="1">
      <alignment horizontal="left"/>
    </xf>
    <xf numFmtId="0" fontId="0" fillId="14" borderId="0" xfId="0" applyFill="1"/>
    <xf numFmtId="0" fontId="5" fillId="10" borderId="0" xfId="0" applyNumberFormat="1" applyFont="1" applyFill="1" applyBorder="1" applyAlignment="1" applyProtection="1">
      <alignment horizontal="center"/>
    </xf>
    <xf numFmtId="0" fontId="5" fillId="9" borderId="0" xfId="0" applyNumberFormat="1" applyFont="1" applyFill="1" applyBorder="1" applyAlignment="1" applyProtection="1">
      <alignment horizontal="center"/>
    </xf>
    <xf numFmtId="0" fontId="0" fillId="0" borderId="0" xfId="0" applyFill="1" applyBorder="1" applyAlignment="1">
      <alignment horizontal="center"/>
    </xf>
    <xf numFmtId="0" fontId="3" fillId="0" borderId="0" xfId="0" applyFont="1" applyFill="1"/>
    <xf numFmtId="37" fontId="0" fillId="0" borderId="0" xfId="0" applyNumberFormat="1" applyFill="1" applyAlignment="1">
      <alignment horizontal="right" vertical="top"/>
    </xf>
    <xf numFmtId="0" fontId="0" fillId="0" borderId="0" xfId="0" applyFill="1" applyAlignment="1">
      <alignment vertical="top"/>
    </xf>
    <xf numFmtId="6" fontId="46" fillId="0" borderId="0" xfId="0" applyNumberFormat="1" applyFont="1" applyBorder="1" applyAlignment="1">
      <alignment horizontal="center" vertical="center" wrapText="1"/>
    </xf>
    <xf numFmtId="8" fontId="46" fillId="0" borderId="0" xfId="0" applyNumberFormat="1" applyFont="1" applyBorder="1" applyAlignment="1">
      <alignment horizontal="center" vertical="center" wrapText="1"/>
    </xf>
    <xf numFmtId="3" fontId="0" fillId="0" borderId="0" xfId="0" applyNumberFormat="1" applyFill="1" applyAlignment="1"/>
    <xf numFmtId="195" fontId="44" fillId="0" borderId="13" xfId="1" applyNumberFormat="1" applyFont="1" applyFill="1" applyBorder="1"/>
    <xf numFmtId="194" fontId="44" fillId="0" borderId="0" xfId="2" applyNumberFormat="1" applyFont="1" applyFill="1" applyBorder="1" applyAlignment="1">
      <alignment wrapText="1"/>
    </xf>
    <xf numFmtId="9" fontId="0" fillId="0" borderId="0" xfId="3" applyFont="1" applyBorder="1"/>
    <xf numFmtId="3" fontId="46" fillId="0" borderId="0" xfId="0" applyNumberFormat="1" applyFont="1" applyBorder="1" applyAlignment="1">
      <alignment horizontal="right" vertical="center" wrapText="1"/>
    </xf>
    <xf numFmtId="0" fontId="0" fillId="0" borderId="0" xfId="0"/>
    <xf numFmtId="0" fontId="0" fillId="0" borderId="0" xfId="0" applyBorder="1"/>
    <xf numFmtId="0" fontId="0" fillId="0" borderId="0" xfId="0" applyBorder="1" applyAlignment="1">
      <alignment horizontal="left" indent="1"/>
    </xf>
    <xf numFmtId="0" fontId="66" fillId="0" borderId="0" xfId="0" applyFont="1" applyFill="1" applyBorder="1" applyAlignment="1">
      <alignment vertical="center" wrapText="1"/>
    </xf>
    <xf numFmtId="202" fontId="0" fillId="0" borderId="0" xfId="0" applyNumberFormat="1" applyFill="1" applyAlignment="1">
      <alignment horizontal="right" vertical="top"/>
    </xf>
    <xf numFmtId="195" fontId="44" fillId="0" borderId="5" xfId="1" applyNumberFormat="1" applyFont="1" applyFill="1" applyBorder="1"/>
    <xf numFmtId="0" fontId="0" fillId="0" borderId="0" xfId="0" applyAlignment="1"/>
    <xf numFmtId="9" fontId="0" fillId="0" borderId="0" xfId="3" applyFont="1" applyBorder="1"/>
    <xf numFmtId="3" fontId="0" fillId="0" borderId="0" xfId="0" applyNumberFormat="1" applyFill="1"/>
    <xf numFmtId="202" fontId="0" fillId="0" borderId="0" xfId="0" applyNumberFormat="1" applyAlignment="1">
      <alignment horizontal="right" vertical="top"/>
    </xf>
    <xf numFmtId="6" fontId="0" fillId="0" borderId="0" xfId="0" applyNumberFormat="1" applyFill="1"/>
    <xf numFmtId="0" fontId="0" fillId="0" borderId="0" xfId="0"/>
    <xf numFmtId="0" fontId="0" fillId="0" borderId="0" xfId="0" applyBorder="1"/>
    <xf numFmtId="9" fontId="0" fillId="0" borderId="0" xfId="3" applyFont="1" applyBorder="1"/>
    <xf numFmtId="0" fontId="0" fillId="0" borderId="0" xfId="0" applyBorder="1" applyAlignment="1">
      <alignment horizontal="left" indent="1"/>
    </xf>
    <xf numFmtId="0" fontId="0" fillId="0" borderId="0" xfId="0"/>
    <xf numFmtId="0" fontId="0" fillId="0" borderId="0" xfId="0" applyBorder="1"/>
    <xf numFmtId="0" fontId="0" fillId="0" borderId="0" xfId="0" applyBorder="1" applyAlignment="1">
      <alignment horizontal="center" wrapText="1"/>
    </xf>
    <xf numFmtId="0" fontId="0" fillId="0" borderId="0" xfId="0" applyFill="1" applyBorder="1"/>
    <xf numFmtId="2" fontId="0" fillId="0" borderId="0" xfId="0" applyNumberFormat="1" applyBorder="1"/>
    <xf numFmtId="2" fontId="0" fillId="0" borderId="0" xfId="0" applyNumberFormat="1" applyFill="1" applyBorder="1"/>
    <xf numFmtId="0" fontId="0" fillId="0" borderId="0" xfId="0" applyFill="1"/>
    <xf numFmtId="0" fontId="0" fillId="0" borderId="0" xfId="0" applyFill="1" applyBorder="1" applyAlignment="1">
      <alignment horizontal="right"/>
    </xf>
    <xf numFmtId="9" fontId="0" fillId="0" borderId="0" xfId="3" applyFont="1" applyBorder="1"/>
    <xf numFmtId="9" fontId="0" fillId="0" borderId="0" xfId="0" applyNumberFormat="1" applyBorder="1"/>
    <xf numFmtId="0" fontId="0" fillId="0" borderId="0" xfId="0" applyNumberFormat="1" applyFill="1" applyBorder="1"/>
    <xf numFmtId="9" fontId="0" fillId="0" borderId="0" xfId="3" applyFont="1" applyFill="1" applyBorder="1"/>
    <xf numFmtId="9" fontId="0" fillId="0" borderId="0" xfId="0" applyNumberFormat="1" applyFill="1" applyBorder="1"/>
    <xf numFmtId="0" fontId="0" fillId="0" borderId="0" xfId="0" applyBorder="1" applyAlignment="1">
      <alignment horizontal="right"/>
    </xf>
    <xf numFmtId="197" fontId="14" fillId="0" borderId="0" xfId="145" applyNumberFormat="1" applyFont="1" applyBorder="1" applyAlignment="1" applyProtection="1"/>
    <xf numFmtId="0" fontId="14" fillId="0" borderId="0" xfId="113" applyBorder="1"/>
    <xf numFmtId="0" fontId="5" fillId="0" borderId="0" xfId="0" applyNumberFormat="1" applyFont="1" applyFill="1" applyBorder="1" applyAlignment="1" applyProtection="1"/>
    <xf numFmtId="0" fontId="5" fillId="8" borderId="0" xfId="0" applyNumberFormat="1" applyFont="1" applyFill="1" applyBorder="1" applyAlignment="1" applyProtection="1"/>
    <xf numFmtId="194" fontId="5" fillId="0" borderId="0" xfId="0" applyNumberFormat="1" applyFont="1" applyFill="1" applyBorder="1" applyAlignment="1" applyProtection="1"/>
    <xf numFmtId="0" fontId="5" fillId="0" borderId="0" xfId="0" applyNumberFormat="1" applyFont="1" applyFill="1" applyBorder="1" applyAlignment="1" applyProtection="1">
      <alignment horizontal="right"/>
    </xf>
    <xf numFmtId="195" fontId="5" fillId="0" borderId="0" xfId="1" applyNumberFormat="1" applyFont="1" applyFill="1" applyBorder="1" applyAlignment="1" applyProtection="1"/>
    <xf numFmtId="195" fontId="40" fillId="0" borderId="0" xfId="1" applyNumberFormat="1" applyFont="1" applyFill="1" applyBorder="1" applyAlignment="1" applyProtection="1"/>
    <xf numFmtId="9" fontId="5" fillId="0" borderId="0" xfId="0" applyNumberFormat="1" applyFont="1" applyFill="1" applyBorder="1" applyAlignment="1" applyProtection="1"/>
    <xf numFmtId="0" fontId="42" fillId="0" borderId="0" xfId="0" applyNumberFormat="1" applyFont="1" applyFill="1" applyBorder="1" applyAlignment="1" applyProtection="1"/>
    <xf numFmtId="195" fontId="5" fillId="0" borderId="13" xfId="1" applyNumberFormat="1" applyFont="1" applyFill="1" applyBorder="1" applyAlignment="1" applyProtection="1"/>
    <xf numFmtId="44" fontId="5" fillId="0" borderId="0" xfId="2" applyFont="1" applyFill="1" applyBorder="1" applyAlignment="1" applyProtection="1"/>
    <xf numFmtId="195" fontId="5" fillId="0" borderId="11" xfId="1" applyNumberFormat="1" applyFont="1" applyFill="1" applyBorder="1" applyAlignment="1" applyProtection="1"/>
    <xf numFmtId="195" fontId="5" fillId="0" borderId="38" xfId="1" applyNumberFormat="1" applyFont="1" applyFill="1" applyBorder="1" applyAlignment="1" applyProtection="1"/>
    <xf numFmtId="0" fontId="5" fillId="0" borderId="13" xfId="0" applyNumberFormat="1" applyFont="1" applyFill="1" applyBorder="1" applyAlignment="1" applyProtection="1"/>
    <xf numFmtId="44" fontId="0" fillId="0" borderId="0" xfId="2" applyFont="1" applyBorder="1"/>
    <xf numFmtId="0" fontId="44" fillId="0" borderId="0" xfId="0" applyFont="1" applyFill="1" applyBorder="1"/>
    <xf numFmtId="0" fontId="44" fillId="0" borderId="11" xfId="0" applyFont="1" applyFill="1" applyBorder="1"/>
    <xf numFmtId="0" fontId="44" fillId="0" borderId="10" xfId="0" applyFont="1" applyFill="1" applyBorder="1"/>
    <xf numFmtId="194" fontId="44" fillId="0" borderId="0" xfId="2" applyNumberFormat="1" applyFont="1" applyFill="1" applyBorder="1"/>
    <xf numFmtId="194" fontId="44" fillId="0" borderId="0" xfId="2" applyNumberFormat="1" applyFont="1" applyFill="1" applyBorder="1" applyAlignment="1">
      <alignment horizontal="right"/>
    </xf>
    <xf numFmtId="195" fontId="44" fillId="0" borderId="0" xfId="1" applyNumberFormat="1" applyFont="1" applyFill="1" applyBorder="1"/>
    <xf numFmtId="195" fontId="44" fillId="0" borderId="0" xfId="1" applyNumberFormat="1" applyFont="1" applyFill="1" applyBorder="1" applyAlignment="1">
      <alignment horizontal="right"/>
    </xf>
    <xf numFmtId="0" fontId="44" fillId="0" borderId="0" xfId="0" applyFont="1" applyFill="1"/>
    <xf numFmtId="10" fontId="44" fillId="0" borderId="5" xfId="3" applyNumberFormat="1" applyFont="1" applyFill="1" applyBorder="1"/>
    <xf numFmtId="0" fontId="44" fillId="0" borderId="5" xfId="0" applyFont="1" applyFill="1" applyBorder="1"/>
    <xf numFmtId="1" fontId="44" fillId="0" borderId="19" xfId="0" applyNumberFormat="1" applyFont="1" applyFill="1" applyBorder="1"/>
    <xf numFmtId="0" fontId="44" fillId="0" borderId="13" xfId="0" applyFont="1" applyFill="1" applyBorder="1"/>
    <xf numFmtId="0" fontId="44" fillId="0" borderId="24" xfId="0" applyFont="1" applyFill="1" applyBorder="1"/>
    <xf numFmtId="0" fontId="4" fillId="0" borderId="0" xfId="0" applyFont="1" applyFill="1" applyBorder="1"/>
    <xf numFmtId="0" fontId="0" fillId="9" borderId="4" xfId="0" applyFill="1" applyBorder="1" applyAlignment="1">
      <alignment horizontal="right"/>
    </xf>
    <xf numFmtId="2" fontId="0" fillId="0" borderId="4" xfId="0" applyNumberFormat="1" applyBorder="1"/>
    <xf numFmtId="0" fontId="0" fillId="0" borderId="0" xfId="0" applyBorder="1" applyAlignment="1">
      <alignment horizontal="left" indent="1"/>
    </xf>
    <xf numFmtId="0" fontId="0" fillId="0" borderId="0" xfId="0" applyFill="1" applyBorder="1" applyAlignment="1">
      <alignment horizontal="left" indent="1"/>
    </xf>
    <xf numFmtId="14" fontId="4" fillId="0" borderId="14" xfId="0" applyNumberFormat="1" applyFont="1" applyBorder="1" applyAlignment="1">
      <alignment horizontal="center" vertical="top"/>
    </xf>
    <xf numFmtId="3" fontId="0" fillId="0" borderId="0" xfId="0" applyNumberFormat="1" applyAlignment="1"/>
    <xf numFmtId="0" fontId="0" fillId="12" borderId="0" xfId="0" applyFill="1" applyBorder="1"/>
    <xf numFmtId="0" fontId="0" fillId="12" borderId="0" xfId="0" applyFill="1"/>
    <xf numFmtId="0" fontId="0" fillId="13" borderId="0" xfId="0" applyFill="1" applyBorder="1"/>
    <xf numFmtId="0" fontId="0" fillId="13" borderId="0" xfId="0" applyFill="1"/>
    <xf numFmtId="0" fontId="0" fillId="14" borderId="0" xfId="0" applyFill="1" applyBorder="1"/>
    <xf numFmtId="0" fontId="0" fillId="14" borderId="0" xfId="0" applyFill="1"/>
    <xf numFmtId="0" fontId="4" fillId="14" borderId="0" xfId="0" applyFont="1" applyFill="1" applyBorder="1"/>
    <xf numFmtId="3" fontId="0" fillId="0" borderId="0" xfId="0" applyNumberFormat="1" applyFill="1"/>
    <xf numFmtId="6" fontId="0" fillId="0" borderId="0" xfId="0" applyNumberFormat="1" applyFill="1" applyAlignment="1"/>
    <xf numFmtId="8" fontId="0" fillId="0" borderId="0" xfId="0" applyNumberFormat="1" applyFill="1" applyBorder="1" applyAlignment="1">
      <alignment horizontal="right"/>
    </xf>
    <xf numFmtId="8" fontId="0" fillId="0" borderId="0" xfId="0" applyNumberFormat="1" applyFill="1" applyBorder="1"/>
    <xf numFmtId="0" fontId="4" fillId="0" borderId="0" xfId="0" applyFont="1" applyFill="1" applyBorder="1" applyAlignment="1">
      <alignment horizontal="right"/>
    </xf>
    <xf numFmtId="0" fontId="4" fillId="0" borderId="4" xfId="0" applyFont="1" applyFill="1" applyBorder="1"/>
    <xf numFmtId="0" fontId="0" fillId="0" borderId="4" xfId="0" applyFill="1" applyBorder="1"/>
    <xf numFmtId="0" fontId="0" fillId="0" borderId="4" xfId="0" applyFill="1" applyBorder="1" applyAlignment="1">
      <alignment horizontal="left" indent="1"/>
    </xf>
    <xf numFmtId="0" fontId="0" fillId="0" borderId="0" xfId="2" applyNumberFormat="1" applyFont="1" applyFill="1" applyBorder="1" applyAlignment="1">
      <alignment horizontal="right"/>
    </xf>
    <xf numFmtId="0" fontId="0" fillId="0" borderId="0" xfId="0" applyNumberFormat="1" applyFill="1" applyBorder="1" applyAlignment="1">
      <alignment horizontal="right"/>
    </xf>
    <xf numFmtId="8" fontId="0" fillId="0" borderId="0" xfId="0" applyNumberFormat="1" applyFill="1" applyBorder="1" applyAlignment="1">
      <alignment horizontal="right" indent="1"/>
    </xf>
    <xf numFmtId="44" fontId="14" fillId="0" borderId="0" xfId="2" applyFont="1" applyBorder="1"/>
    <xf numFmtId="44" fontId="0" fillId="0" borderId="0" xfId="2" applyFont="1"/>
    <xf numFmtId="0" fontId="14" fillId="0" borderId="0" xfId="113" applyFill="1" applyBorder="1"/>
    <xf numFmtId="44" fontId="0" fillId="0" borderId="0" xfId="2" applyFont="1" applyFill="1" applyBorder="1"/>
    <xf numFmtId="197" fontId="14" fillId="0" borderId="0" xfId="145" applyNumberFormat="1" applyFont="1" applyFill="1" applyBorder="1" applyAlignment="1" applyProtection="1"/>
    <xf numFmtId="14" fontId="0" fillId="0" borderId="0" xfId="0" applyNumberFormat="1"/>
    <xf numFmtId="0" fontId="4" fillId="0" borderId="0" xfId="0" applyFont="1" applyBorder="1" applyAlignment="1">
      <alignment horizontal="center" vertical="top"/>
    </xf>
    <xf numFmtId="204" fontId="4" fillId="0" borderId="0" xfId="0" applyNumberFormat="1" applyFont="1" applyBorder="1" applyAlignment="1">
      <alignment horizontal="center" vertical="top"/>
    </xf>
    <xf numFmtId="14" fontId="14" fillId="0" borderId="9" xfId="113" applyNumberFormat="1" applyFont="1" applyBorder="1"/>
    <xf numFmtId="2" fontId="44" fillId="0" borderId="4" xfId="0" applyNumberFormat="1" applyFont="1" applyFill="1" applyBorder="1"/>
    <xf numFmtId="10" fontId="0" fillId="0" borderId="0" xfId="3" applyNumberFormat="1" applyFont="1" applyFill="1" applyBorder="1"/>
    <xf numFmtId="0" fontId="4" fillId="0" borderId="0" xfId="0" applyFont="1" applyFill="1" applyBorder="1" applyAlignment="1">
      <alignment horizontal="center"/>
    </xf>
    <xf numFmtId="37" fontId="0" fillId="0" borderId="8" xfId="0" applyNumberFormat="1" applyFill="1" applyBorder="1"/>
    <xf numFmtId="0" fontId="0" fillId="45" borderId="0" xfId="0" applyFill="1"/>
    <xf numFmtId="0" fontId="51" fillId="12" borderId="0" xfId="0" applyFont="1" applyFill="1" applyBorder="1"/>
    <xf numFmtId="0" fontId="51" fillId="12" borderId="0" xfId="0" applyFont="1" applyFill="1"/>
    <xf numFmtId="0" fontId="4" fillId="13" borderId="0" xfId="0" applyFont="1" applyFill="1" applyBorder="1"/>
    <xf numFmtId="202" fontId="0" fillId="13" borderId="0" xfId="0" applyNumberFormat="1" applyFill="1" applyAlignment="1">
      <alignment horizontal="right" vertical="top"/>
    </xf>
    <xf numFmtId="3" fontId="46" fillId="13" borderId="0" xfId="0" applyNumberFormat="1" applyFont="1" applyFill="1" applyBorder="1" applyAlignment="1">
      <alignment horizontal="right" vertical="center" wrapText="1"/>
    </xf>
    <xf numFmtId="9" fontId="0" fillId="13" borderId="0" xfId="0" applyNumberFormat="1" applyFill="1" applyBorder="1"/>
    <xf numFmtId="9" fontId="0" fillId="12" borderId="0" xfId="0" applyNumberFormat="1" applyFill="1" applyBorder="1"/>
    <xf numFmtId="9" fontId="0" fillId="14" borderId="0" xfId="0" applyNumberFormat="1" applyFill="1" applyBorder="1"/>
    <xf numFmtId="195" fontId="5" fillId="0" borderId="0" xfId="1" applyNumberFormat="1" applyFont="1" applyFill="1" applyBorder="1" applyAlignment="1" applyProtection="1">
      <alignment horizontal="center"/>
    </xf>
    <xf numFmtId="0" fontId="0" fillId="0" borderId="0" xfId="0" applyFont="1" applyAlignment="1">
      <alignment vertical="top"/>
    </xf>
    <xf numFmtId="3" fontId="0" fillId="0" borderId="0" xfId="0" applyNumberFormat="1" applyFont="1" applyFill="1"/>
    <xf numFmtId="3" fontId="0" fillId="0" borderId="0" xfId="0" applyNumberFormat="1" applyFont="1" applyAlignment="1"/>
    <xf numFmtId="37" fontId="0" fillId="0" borderId="0" xfId="0" applyNumberFormat="1" applyFont="1" applyAlignment="1">
      <alignment horizontal="right" vertical="top"/>
    </xf>
    <xf numFmtId="0" fontId="0" fillId="0" borderId="0" xfId="0" applyFont="1" applyFill="1"/>
    <xf numFmtId="0" fontId="0" fillId="0" borderId="0" xfId="0" applyFont="1"/>
    <xf numFmtId="202" fontId="0" fillId="0" borderId="0" xfId="0" applyNumberFormat="1" applyFont="1" applyAlignment="1">
      <alignment horizontal="right" vertical="top"/>
    </xf>
    <xf numFmtId="0" fontId="49" fillId="0" borderId="0" xfId="0" applyFont="1" applyBorder="1" applyAlignment="1">
      <alignment horizontal="left" vertical="center"/>
    </xf>
    <xf numFmtId="0" fontId="0" fillId="0" borderId="7" xfId="0" applyFill="1" applyBorder="1"/>
    <xf numFmtId="3" fontId="46" fillId="0" borderId="7" xfId="0" applyNumberFormat="1" applyFont="1" applyBorder="1" applyAlignment="1">
      <alignment horizontal="right" vertical="center" wrapText="1"/>
    </xf>
    <xf numFmtId="9" fontId="0" fillId="0" borderId="4" xfId="3" applyFont="1" applyFill="1" applyBorder="1" applyAlignment="1">
      <alignment horizontal="center"/>
    </xf>
    <xf numFmtId="9" fontId="0" fillId="0" borderId="4" xfId="3" applyFont="1" applyFill="1" applyBorder="1" applyAlignment="1">
      <alignment horizontal="right" indent="1"/>
    </xf>
    <xf numFmtId="9" fontId="0" fillId="0" borderId="0" xfId="0" applyNumberFormat="1" applyFill="1" applyBorder="1" applyAlignment="1">
      <alignment horizontal="right"/>
    </xf>
    <xf numFmtId="9" fontId="0" fillId="0" borderId="0" xfId="3" applyFont="1" applyFill="1" applyBorder="1" applyAlignment="1">
      <alignment horizontal="right"/>
    </xf>
    <xf numFmtId="9" fontId="0" fillId="0" borderId="0" xfId="3" applyFont="1" applyFill="1" applyBorder="1" applyAlignment="1">
      <alignment horizontal="right" indent="1"/>
    </xf>
    <xf numFmtId="9" fontId="5" fillId="0" borderId="3" xfId="3" applyFont="1" applyFill="1" applyBorder="1" applyAlignment="1" applyProtection="1"/>
    <xf numFmtId="9" fontId="5" fillId="0" borderId="26" xfId="3" applyFont="1" applyFill="1" applyBorder="1" applyAlignment="1" applyProtection="1"/>
    <xf numFmtId="9" fontId="5" fillId="0" borderId="24" xfId="3" applyFont="1" applyFill="1" applyBorder="1" applyAlignment="1" applyProtection="1"/>
    <xf numFmtId="9" fontId="5" fillId="0" borderId="13" xfId="3" applyFont="1" applyFill="1" applyBorder="1" applyAlignment="1" applyProtection="1"/>
    <xf numFmtId="195" fontId="5" fillId="0" borderId="0" xfId="0" applyNumberFormat="1" applyFont="1" applyFill="1" applyBorder="1" applyAlignment="1" applyProtection="1"/>
    <xf numFmtId="9" fontId="0" fillId="0" borderId="53" xfId="0" applyNumberFormat="1" applyFill="1" applyBorder="1"/>
    <xf numFmtId="9" fontId="0" fillId="3" borderId="52" xfId="3" applyFont="1" applyFill="1" applyBorder="1" applyAlignment="1">
      <alignment horizontal="center"/>
    </xf>
    <xf numFmtId="2" fontId="14" fillId="0" borderId="13" xfId="145" applyNumberFormat="1" applyFont="1" applyBorder="1" applyAlignment="1" applyProtection="1">
      <alignment horizontal="center"/>
    </xf>
    <xf numFmtId="197" fontId="14" fillId="0" borderId="4" xfId="145" applyNumberFormat="1" applyFont="1" applyBorder="1" applyAlignment="1" applyProtection="1"/>
    <xf numFmtId="197" fontId="14" fillId="0" borderId="50" xfId="145" applyNumberFormat="1" applyFont="1" applyBorder="1" applyAlignment="1" applyProtection="1"/>
    <xf numFmtId="197" fontId="14" fillId="0" borderId="49" xfId="145" applyNumberFormat="1" applyFont="1" applyBorder="1" applyAlignment="1" applyProtection="1"/>
    <xf numFmtId="197" fontId="14" fillId="0" borderId="51" xfId="145" applyNumberFormat="1" applyFont="1" applyBorder="1" applyAlignment="1" applyProtection="1"/>
    <xf numFmtId="2" fontId="14" fillId="0" borderId="34" xfId="145" applyNumberFormat="1" applyFont="1" applyBorder="1" applyAlignment="1" applyProtection="1">
      <alignment horizontal="center"/>
    </xf>
    <xf numFmtId="2" fontId="14" fillId="0" borderId="5" xfId="145" applyNumberFormat="1" applyFont="1" applyBorder="1" applyAlignment="1" applyProtection="1">
      <alignment horizontal="center"/>
    </xf>
    <xf numFmtId="0" fontId="14" fillId="0" borderId="5" xfId="145" applyNumberFormat="1" applyFont="1" applyBorder="1" applyAlignment="1" applyProtection="1">
      <alignment horizontal="center"/>
    </xf>
    <xf numFmtId="0" fontId="0" fillId="0" borderId="13" xfId="0" applyBorder="1" applyAlignment="1">
      <alignment horizontal="left" indent="1"/>
    </xf>
    <xf numFmtId="9" fontId="0" fillId="0" borderId="13" xfId="3" applyFont="1" applyBorder="1"/>
    <xf numFmtId="3" fontId="0" fillId="0" borderId="0" xfId="0" applyNumberFormat="1" applyBorder="1" applyAlignment="1"/>
    <xf numFmtId="0" fontId="0" fillId="0" borderId="13" xfId="0" applyFill="1" applyBorder="1" applyAlignment="1">
      <alignment horizontal="left" indent="1"/>
    </xf>
    <xf numFmtId="9" fontId="0" fillId="0" borderId="13" xfId="0" applyNumberFormat="1" applyBorder="1"/>
    <xf numFmtId="9" fontId="0" fillId="0" borderId="54" xfId="0" applyNumberFormat="1" applyBorder="1"/>
    <xf numFmtId="9" fontId="0" fillId="0" borderId="54" xfId="0" applyNumberFormat="1" applyFill="1" applyBorder="1"/>
    <xf numFmtId="9" fontId="0" fillId="0" borderId="13" xfId="0" applyNumberFormat="1" applyFill="1" applyBorder="1"/>
    <xf numFmtId="0" fontId="0" fillId="0" borderId="50" xfId="0" applyBorder="1"/>
    <xf numFmtId="0" fontId="0" fillId="0" borderId="27" xfId="0" applyBorder="1"/>
    <xf numFmtId="9" fontId="41" fillId="0" borderId="32" xfId="3" applyFont="1" applyFill="1" applyBorder="1" applyAlignment="1" applyProtection="1"/>
    <xf numFmtId="0" fontId="4" fillId="13" borderId="0" xfId="0" applyFont="1" applyFill="1"/>
    <xf numFmtId="0" fontId="0" fillId="10" borderId="0" xfId="0" applyFill="1" applyBorder="1"/>
    <xf numFmtId="0" fontId="0" fillId="10" borderId="4" xfId="0" applyFill="1" applyBorder="1" applyAlignment="1">
      <alignment horizontal="right"/>
    </xf>
    <xf numFmtId="0" fontId="0" fillId="10" borderId="4" xfId="0" applyFill="1" applyBorder="1"/>
    <xf numFmtId="0" fontId="4" fillId="10" borderId="0" xfId="0" applyFont="1" applyFill="1" applyBorder="1"/>
    <xf numFmtId="0" fontId="0" fillId="10" borderId="0" xfId="0" applyFill="1" applyBorder="1" applyAlignment="1">
      <alignment horizontal="center"/>
    </xf>
    <xf numFmtId="0" fontId="0" fillId="10" borderId="0" xfId="0" applyFill="1" applyBorder="1" applyAlignment="1">
      <alignment horizontal="center" vertical="center"/>
    </xf>
    <xf numFmtId="0" fontId="0" fillId="0" borderId="4" xfId="0" applyFill="1" applyBorder="1" applyAlignment="1">
      <alignment horizontal="center"/>
    </xf>
    <xf numFmtId="0" fontId="0" fillId="0" borderId="13" xfId="0" applyBorder="1"/>
    <xf numFmtId="0" fontId="0" fillId="0" borderId="13" xfId="0" applyFill="1" applyBorder="1"/>
    <xf numFmtId="2" fontId="0" fillId="0" borderId="13" xfId="0" applyNumberFormat="1" applyFill="1" applyBorder="1"/>
    <xf numFmtId="0" fontId="0" fillId="0" borderId="49" xfId="0" applyFill="1" applyBorder="1"/>
    <xf numFmtId="0" fontId="0" fillId="0" borderId="51" xfId="0" applyFill="1" applyBorder="1"/>
    <xf numFmtId="2" fontId="0" fillId="0" borderId="4" xfId="0" applyNumberFormat="1" applyFill="1" applyBorder="1"/>
    <xf numFmtId="2" fontId="0" fillId="0" borderId="4" xfId="0" applyNumberFormat="1" applyFill="1" applyBorder="1" applyAlignment="1">
      <alignment horizontal="center"/>
    </xf>
    <xf numFmtId="2" fontId="0" fillId="0" borderId="30" xfId="0" applyNumberFormat="1" applyFill="1" applyBorder="1" applyAlignment="1">
      <alignment horizontal="center"/>
    </xf>
    <xf numFmtId="9" fontId="0" fillId="0" borderId="30" xfId="0" applyNumberFormat="1" applyFill="1" applyBorder="1" applyAlignment="1">
      <alignment horizontal="center"/>
    </xf>
    <xf numFmtId="194" fontId="5" fillId="10" borderId="0" xfId="2" applyNumberFormat="1" applyFont="1" applyFill="1" applyBorder="1" applyAlignment="1" applyProtection="1"/>
    <xf numFmtId="195" fontId="40" fillId="10" borderId="11" xfId="1" applyNumberFormat="1" applyFont="1" applyFill="1" applyBorder="1" applyAlignment="1" applyProtection="1"/>
    <xf numFmtId="195" fontId="40" fillId="10" borderId="0" xfId="1" applyNumberFormat="1" applyFont="1" applyFill="1" applyBorder="1" applyAlignment="1" applyProtection="1"/>
    <xf numFmtId="195" fontId="40" fillId="10" borderId="13" xfId="1" quotePrefix="1" applyNumberFormat="1" applyFont="1" applyFill="1" applyBorder="1" applyAlignment="1" applyProtection="1"/>
    <xf numFmtId="195" fontId="40" fillId="10" borderId="13" xfId="1" applyNumberFormat="1" applyFont="1" applyFill="1" applyBorder="1" applyAlignment="1" applyProtection="1"/>
    <xf numFmtId="10" fontId="0" fillId="0" borderId="4" xfId="3" applyNumberFormat="1" applyFont="1" applyBorder="1" applyAlignment="1">
      <alignment horizontal="center"/>
    </xf>
    <xf numFmtId="10" fontId="0" fillId="0" borderId="7" xfId="3" applyNumberFormat="1" applyFont="1" applyBorder="1" applyAlignment="1">
      <alignment horizontal="center"/>
    </xf>
    <xf numFmtId="44" fontId="0" fillId="0" borderId="4" xfId="2" applyFont="1" applyBorder="1"/>
    <xf numFmtId="44" fontId="0" fillId="0" borderId="5" xfId="0" applyNumberFormat="1" applyBorder="1"/>
    <xf numFmtId="44" fontId="0" fillId="0" borderId="4" xfId="0" applyNumberFormat="1" applyBorder="1"/>
    <xf numFmtId="0" fontId="4" fillId="0" borderId="50" xfId="0" applyFont="1" applyBorder="1"/>
    <xf numFmtId="0" fontId="4" fillId="0" borderId="49" xfId="0" applyFont="1" applyBorder="1"/>
    <xf numFmtId="0" fontId="4" fillId="0" borderId="51" xfId="0" applyFont="1" applyBorder="1"/>
    <xf numFmtId="200" fontId="0" fillId="0" borderId="4" xfId="0" applyNumberFormat="1" applyBorder="1"/>
    <xf numFmtId="200" fontId="0" fillId="0" borderId="13" xfId="0" applyNumberFormat="1" applyBorder="1"/>
    <xf numFmtId="0" fontId="0" fillId="0" borderId="51" xfId="0" applyBorder="1"/>
    <xf numFmtId="0" fontId="0" fillId="0" borderId="49" xfId="0" applyBorder="1"/>
    <xf numFmtId="0" fontId="5" fillId="0" borderId="55" xfId="0" applyNumberFormat="1" applyFont="1" applyFill="1" applyBorder="1" applyAlignment="1" applyProtection="1"/>
    <xf numFmtId="0" fontId="5" fillId="8" borderId="49" xfId="0" applyNumberFormat="1" applyFont="1" applyFill="1" applyBorder="1" applyAlignment="1" applyProtection="1"/>
    <xf numFmtId="0" fontId="5" fillId="0" borderId="49" xfId="0" applyNumberFormat="1" applyFont="1" applyFill="1" applyBorder="1" applyAlignment="1" applyProtection="1"/>
    <xf numFmtId="0" fontId="5" fillId="10" borderId="49" xfId="0" applyNumberFormat="1" applyFont="1" applyFill="1" applyBorder="1" applyAlignment="1" applyProtection="1"/>
    <xf numFmtId="0" fontId="40" fillId="0" borderId="49" xfId="0" applyNumberFormat="1" applyFont="1" applyFill="1" applyBorder="1" applyAlignment="1" applyProtection="1"/>
    <xf numFmtId="0" fontId="5" fillId="0" borderId="49" xfId="0" applyNumberFormat="1" applyFont="1" applyFill="1" applyBorder="1" applyAlignment="1" applyProtection="1">
      <alignment horizontal="left" indent="1"/>
    </xf>
    <xf numFmtId="0" fontId="5" fillId="0" borderId="54" xfId="0" applyNumberFormat="1" applyFont="1" applyFill="1" applyBorder="1" applyAlignment="1" applyProtection="1"/>
    <xf numFmtId="0" fontId="40" fillId="10" borderId="55" xfId="0" applyNumberFormat="1" applyFont="1" applyFill="1" applyBorder="1" applyAlignment="1" applyProtection="1"/>
    <xf numFmtId="0" fontId="40" fillId="0" borderId="54" xfId="0" applyNumberFormat="1" applyFont="1" applyFill="1" applyBorder="1" applyAlignment="1" applyProtection="1"/>
    <xf numFmtId="0" fontId="5" fillId="0" borderId="49" xfId="0" applyNumberFormat="1" applyFont="1" applyFill="1" applyBorder="1" applyAlignment="1" applyProtection="1">
      <alignment horizontal="right"/>
    </xf>
    <xf numFmtId="0" fontId="5" fillId="0" borderId="56" xfId="0" applyNumberFormat="1" applyFont="1" applyFill="1" applyBorder="1" applyAlignment="1" applyProtection="1"/>
    <xf numFmtId="9" fontId="5" fillId="0" borderId="0" xfId="3" applyFont="1" applyFill="1" applyBorder="1" applyAlignment="1" applyProtection="1"/>
    <xf numFmtId="9" fontId="5" fillId="0" borderId="0" xfId="3" applyFont="1" applyFill="1" applyBorder="1" applyAlignment="1" applyProtection="1">
      <alignment horizontal="right"/>
    </xf>
    <xf numFmtId="9" fontId="41" fillId="0" borderId="0" xfId="3" applyFont="1" applyFill="1" applyBorder="1" applyAlignment="1" applyProtection="1"/>
    <xf numFmtId="195" fontId="5" fillId="47" borderId="11" xfId="1" applyNumberFormat="1" applyFont="1" applyFill="1" applyBorder="1" applyAlignment="1" applyProtection="1"/>
    <xf numFmtId="195" fontId="5" fillId="47" borderId="10" xfId="1" applyNumberFormat="1" applyFont="1" applyFill="1" applyBorder="1" applyAlignment="1" applyProtection="1"/>
    <xf numFmtId="195" fontId="5" fillId="47" borderId="0" xfId="1" applyNumberFormat="1" applyFont="1" applyFill="1" applyBorder="1" applyAlignment="1" applyProtection="1"/>
    <xf numFmtId="195" fontId="5" fillId="47" borderId="8" xfId="1" applyNumberFormat="1" applyFont="1" applyFill="1" applyBorder="1" applyAlignment="1" applyProtection="1"/>
    <xf numFmtId="3" fontId="65" fillId="0" borderId="0" xfId="0" applyNumberFormat="1" applyFont="1" applyFill="1" applyBorder="1" applyAlignment="1">
      <alignment horizontal="right" vertical="center" wrapText="1"/>
    </xf>
    <xf numFmtId="0" fontId="65" fillId="0" borderId="0" xfId="0" applyFont="1" applyFill="1" applyBorder="1" applyAlignment="1">
      <alignment wrapText="1"/>
    </xf>
    <xf numFmtId="0" fontId="65" fillId="0" borderId="0" xfId="0" applyFont="1" applyFill="1" applyBorder="1" applyAlignment="1">
      <alignment horizontal="left" vertical="center" wrapText="1"/>
    </xf>
    <xf numFmtId="0" fontId="65" fillId="0" borderId="0" xfId="0" applyFont="1" applyFill="1" applyBorder="1" applyAlignment="1">
      <alignment vertical="center" wrapText="1"/>
    </xf>
    <xf numFmtId="0" fontId="5" fillId="46" borderId="0" xfId="0" applyNumberFormat="1" applyFont="1" applyFill="1" applyBorder="1" applyAlignment="1" applyProtection="1">
      <alignment horizontal="center"/>
    </xf>
    <xf numFmtId="0" fontId="0" fillId="0" borderId="0" xfId="0" applyBorder="1" applyAlignment="1">
      <alignment horizontal="center"/>
    </xf>
    <xf numFmtId="0" fontId="5" fillId="47" borderId="13" xfId="0" applyNumberFormat="1" applyFont="1" applyFill="1" applyBorder="1" applyAlignment="1" applyProtection="1">
      <alignment horizontal="right"/>
    </xf>
    <xf numFmtId="9" fontId="0" fillId="47" borderId="7" xfId="3" applyFont="1" applyFill="1" applyBorder="1"/>
    <xf numFmtId="9" fontId="0" fillId="47" borderId="0" xfId="3" applyFont="1" applyFill="1" applyBorder="1"/>
    <xf numFmtId="9" fontId="0" fillId="47" borderId="4" xfId="3" applyFont="1" applyFill="1" applyBorder="1"/>
    <xf numFmtId="43" fontId="0" fillId="47" borderId="0" xfId="0" applyNumberFormat="1" applyFill="1" applyBorder="1"/>
    <xf numFmtId="2" fontId="0" fillId="47" borderId="14" xfId="3" applyNumberFormat="1" applyFont="1" applyFill="1" applyBorder="1"/>
    <xf numFmtId="0" fontId="0" fillId="51" borderId="0" xfId="0" applyFill="1" applyBorder="1"/>
    <xf numFmtId="0" fontId="72" fillId="51" borderId="0" xfId="0" applyFont="1" applyFill="1" applyBorder="1"/>
    <xf numFmtId="0" fontId="0" fillId="51" borderId="0" xfId="0" applyFill="1"/>
    <xf numFmtId="0" fontId="4" fillId="51" borderId="0" xfId="0" applyFont="1" applyFill="1" applyBorder="1"/>
    <xf numFmtId="0" fontId="56" fillId="51" borderId="0" xfId="178" applyFill="1"/>
    <xf numFmtId="0" fontId="44" fillId="0" borderId="0" xfId="0" applyFont="1" applyFill="1" applyBorder="1" applyAlignment="1">
      <alignment horizontal="center" wrapText="1"/>
    </xf>
    <xf numFmtId="0" fontId="0" fillId="51" borderId="40" xfId="0" applyFill="1" applyBorder="1"/>
    <xf numFmtId="44" fontId="0" fillId="51" borderId="0" xfId="2" applyFont="1" applyFill="1" applyBorder="1"/>
    <xf numFmtId="0" fontId="44" fillId="51" borderId="0" xfId="0" applyFont="1" applyFill="1"/>
    <xf numFmtId="0" fontId="0" fillId="0" borderId="0" xfId="0" applyFill="1" applyAlignment="1">
      <alignment wrapText="1"/>
    </xf>
    <xf numFmtId="0" fontId="0" fillId="13" borderId="0" xfId="0" applyFill="1" applyBorder="1" applyAlignment="1">
      <alignment horizontal="left" indent="1"/>
    </xf>
    <xf numFmtId="0" fontId="0" fillId="0" borderId="14" xfId="0" applyFill="1" applyBorder="1" applyAlignment="1">
      <alignment wrapText="1"/>
    </xf>
    <xf numFmtId="0" fontId="5" fillId="51" borderId="0" xfId="0" applyNumberFormat="1" applyFont="1" applyFill="1" applyBorder="1" applyAlignment="1" applyProtection="1"/>
    <xf numFmtId="0" fontId="0" fillId="13" borderId="7" xfId="0" applyFill="1" applyBorder="1" applyAlignment="1">
      <alignment horizontal="left" indent="1"/>
    </xf>
    <xf numFmtId="6" fontId="70" fillId="13" borderId="0" xfId="0" applyNumberFormat="1" applyFont="1" applyFill="1" applyAlignment="1">
      <alignment wrapText="1"/>
    </xf>
    <xf numFmtId="0" fontId="72" fillId="51" borderId="0" xfId="0" applyFont="1" applyFill="1"/>
    <xf numFmtId="3" fontId="70" fillId="13" borderId="0" xfId="0" applyNumberFormat="1" applyFont="1" applyFill="1" applyAlignment="1">
      <alignment wrapText="1"/>
    </xf>
    <xf numFmtId="14" fontId="0" fillId="51" borderId="0" xfId="0" applyNumberFormat="1" applyFill="1"/>
    <xf numFmtId="0" fontId="70" fillId="13" borderId="0" xfId="0" applyFont="1" applyFill="1" applyAlignment="1">
      <alignment wrapText="1"/>
    </xf>
    <xf numFmtId="0" fontId="70" fillId="0" borderId="0" xfId="0" applyFont="1" applyFill="1" applyBorder="1" applyAlignment="1">
      <alignment wrapText="1"/>
    </xf>
    <xf numFmtId="198" fontId="0" fillId="51" borderId="0" xfId="0" applyNumberFormat="1" applyFill="1" applyBorder="1" applyAlignment="1">
      <alignment wrapText="1"/>
    </xf>
    <xf numFmtId="198" fontId="0" fillId="51" borderId="0" xfId="0" applyNumberFormat="1" applyFill="1" applyBorder="1"/>
    <xf numFmtId="44" fontId="46" fillId="49" borderId="0" xfId="0" applyNumberFormat="1" applyFont="1" applyFill="1" applyBorder="1" applyAlignment="1">
      <alignment horizontal="center" vertical="center" wrapText="1"/>
    </xf>
    <xf numFmtId="0" fontId="4" fillId="51" borderId="0" xfId="0" applyFont="1" applyFill="1" applyBorder="1" applyAlignment="1">
      <alignment vertical="top" wrapText="1"/>
    </xf>
    <xf numFmtId="0" fontId="0" fillId="51" borderId="0" xfId="0" applyFont="1" applyFill="1" applyBorder="1" applyAlignment="1">
      <alignment vertical="top" wrapText="1"/>
    </xf>
    <xf numFmtId="0" fontId="48" fillId="51" borderId="0" xfId="0" applyFont="1" applyFill="1"/>
    <xf numFmtId="3" fontId="0" fillId="12" borderId="0" xfId="0" applyNumberFormat="1" applyFill="1" applyAlignment="1">
      <alignment wrapText="1"/>
    </xf>
    <xf numFmtId="2" fontId="14" fillId="50" borderId="13" xfId="145" applyNumberFormat="1" applyFont="1" applyFill="1" applyBorder="1" applyAlignment="1" applyProtection="1">
      <alignment horizontal="center"/>
    </xf>
    <xf numFmtId="0" fontId="0" fillId="51" borderId="0" xfId="0" applyFill="1" applyBorder="1" applyAlignment="1">
      <alignment horizontal="left" vertical="top" wrapText="1" indent="1"/>
    </xf>
    <xf numFmtId="0" fontId="0" fillId="51" borderId="0" xfId="0" applyFill="1" applyBorder="1" applyAlignment="1">
      <alignment vertical="top" wrapText="1"/>
    </xf>
    <xf numFmtId="3" fontId="0" fillId="0" borderId="8" xfId="0" applyNumberFormat="1" applyFill="1" applyBorder="1"/>
    <xf numFmtId="0" fontId="44" fillId="51" borderId="0" xfId="0" applyFont="1" applyFill="1" applyBorder="1"/>
    <xf numFmtId="0" fontId="51" fillId="51" borderId="0" xfId="0" applyFont="1" applyFill="1" applyBorder="1"/>
    <xf numFmtId="198" fontId="0" fillId="51" borderId="0" xfId="1" applyNumberFormat="1" applyFont="1" applyFill="1" applyBorder="1"/>
    <xf numFmtId="0" fontId="0" fillId="0" borderId="0" xfId="0" applyFill="1" applyBorder="1" applyAlignment="1">
      <alignment horizontal="center" wrapText="1"/>
    </xf>
    <xf numFmtId="2" fontId="14" fillId="0" borderId="34" xfId="145" applyNumberFormat="1" applyFont="1" applyFill="1" applyBorder="1" applyAlignment="1" applyProtection="1">
      <alignment horizontal="center"/>
    </xf>
    <xf numFmtId="0" fontId="70" fillId="0" borderId="0" xfId="0" applyNumberFormat="1" applyFont="1" applyAlignment="1">
      <alignment wrapText="1"/>
    </xf>
    <xf numFmtId="0" fontId="0" fillId="51" borderId="41" xfId="0" applyFill="1" applyBorder="1"/>
    <xf numFmtId="0" fontId="71" fillId="0" borderId="0" xfId="0" applyFont="1" applyBorder="1"/>
    <xf numFmtId="0" fontId="4" fillId="51" borderId="41" xfId="0" applyFont="1" applyFill="1" applyBorder="1" applyAlignment="1">
      <alignment vertical="top" wrapText="1"/>
    </xf>
    <xf numFmtId="0" fontId="0" fillId="0" borderId="0" xfId="0"/>
    <xf numFmtId="0" fontId="0" fillId="0" borderId="0" xfId="0" applyAlignment="1">
      <alignment wrapText="1"/>
    </xf>
    <xf numFmtId="0" fontId="0" fillId="0" borderId="4" xfId="0" applyBorder="1" applyAlignment="1">
      <alignment wrapText="1"/>
    </xf>
    <xf numFmtId="0" fontId="0" fillId="0" borderId="4" xfId="0" applyFill="1" applyBorder="1" applyAlignment="1">
      <alignment wrapText="1"/>
    </xf>
    <xf numFmtId="0" fontId="70" fillId="0" borderId="0" xfId="0" applyFont="1" applyAlignment="1">
      <alignment wrapText="1"/>
    </xf>
    <xf numFmtId="0" fontId="70" fillId="48" borderId="14" xfId="0" applyFont="1" applyFill="1" applyBorder="1" applyAlignment="1">
      <alignment wrapText="1"/>
    </xf>
    <xf numFmtId="0" fontId="0" fillId="0" borderId="0" xfId="0" applyAlignment="1">
      <alignment wrapText="1"/>
    </xf>
    <xf numFmtId="14" fontId="4" fillId="0" borderId="14" xfId="0" applyNumberFormat="1" applyFont="1" applyBorder="1" applyAlignment="1">
      <alignment horizontal="center" vertical="top"/>
    </xf>
    <xf numFmtId="0" fontId="0" fillId="0" borderId="0" xfId="0"/>
    <xf numFmtId="0" fontId="0" fillId="0" borderId="0" xfId="0"/>
    <xf numFmtId="6" fontId="0" fillId="12" borderId="0" xfId="0" applyNumberFormat="1" applyFill="1" applyAlignment="1">
      <alignment wrapText="1"/>
    </xf>
    <xf numFmtId="0" fontId="44" fillId="0" borderId="0" xfId="0" applyFont="1" applyFill="1" applyAlignment="1">
      <alignment wrapText="1"/>
    </xf>
    <xf numFmtId="0" fontId="0" fillId="0" borderId="0" xfId="0"/>
    <xf numFmtId="14" fontId="4" fillId="0" borderId="14" xfId="0" applyNumberFormat="1" applyFont="1" applyBorder="1" applyAlignment="1">
      <alignment horizontal="center" vertical="top"/>
    </xf>
    <xf numFmtId="0" fontId="71" fillId="0" borderId="0" xfId="0" applyFont="1"/>
    <xf numFmtId="0" fontId="0" fillId="0" borderId="0" xfId="0"/>
    <xf numFmtId="14" fontId="4" fillId="0" borderId="14" xfId="0" applyNumberFormat="1" applyFont="1" applyBorder="1" applyAlignment="1">
      <alignment horizontal="center" vertical="top"/>
    </xf>
    <xf numFmtId="0" fontId="0" fillId="0" borderId="0" xfId="0"/>
    <xf numFmtId="0" fontId="0" fillId="0" borderId="0" xfId="0"/>
    <xf numFmtId="0" fontId="0" fillId="0" borderId="0" xfId="0" applyAlignment="1">
      <alignment wrapText="1"/>
    </xf>
    <xf numFmtId="6" fontId="0" fillId="0" borderId="0" xfId="0" applyNumberFormat="1" applyAlignment="1">
      <alignment wrapText="1"/>
    </xf>
    <xf numFmtId="3" fontId="0" fillId="0" borderId="0" xfId="0" applyNumberFormat="1" applyAlignment="1">
      <alignment wrapText="1"/>
    </xf>
    <xf numFmtId="0" fontId="0" fillId="14" borderId="0" xfId="0" applyFill="1" applyAlignment="1">
      <alignment wrapText="1"/>
    </xf>
    <xf numFmtId="0" fontId="0" fillId="0" borderId="4" xfId="0" applyBorder="1" applyAlignment="1">
      <alignment wrapText="1"/>
    </xf>
    <xf numFmtId="0" fontId="70" fillId="0" borderId="0" xfId="0" applyFont="1" applyAlignment="1">
      <alignment wrapText="1"/>
    </xf>
    <xf numFmtId="0" fontId="0" fillId="0" borderId="0" xfId="0" applyFill="1" applyBorder="1" applyAlignment="1">
      <alignment wrapText="1"/>
    </xf>
    <xf numFmtId="0" fontId="0" fillId="0" borderId="4" xfId="0" applyFill="1" applyBorder="1" applyAlignment="1">
      <alignment wrapText="1"/>
    </xf>
    <xf numFmtId="6" fontId="70" fillId="0" borderId="0" xfId="0" applyNumberFormat="1" applyFont="1" applyAlignment="1">
      <alignment wrapText="1"/>
    </xf>
    <xf numFmtId="3" fontId="70" fillId="0" borderId="0" xfId="0" applyNumberFormat="1" applyFont="1" applyAlignment="1">
      <alignment wrapText="1"/>
    </xf>
    <xf numFmtId="3" fontId="70" fillId="0" borderId="0" xfId="0" applyNumberFormat="1" applyFont="1" applyFill="1" applyAlignment="1">
      <alignment wrapText="1"/>
    </xf>
    <xf numFmtId="8" fontId="70" fillId="0" borderId="0" xfId="0" applyNumberFormat="1" applyFont="1" applyAlignment="1">
      <alignment wrapText="1"/>
    </xf>
    <xf numFmtId="0" fontId="70" fillId="0" borderId="0" xfId="0" applyFont="1" applyFill="1" applyAlignment="1">
      <alignment wrapText="1"/>
    </xf>
    <xf numFmtId="194" fontId="5" fillId="10" borderId="11" xfId="2" applyNumberFormat="1" applyFont="1" applyFill="1" applyBorder="1" applyAlignment="1" applyProtection="1"/>
    <xf numFmtId="194" fontId="5" fillId="0" borderId="0" xfId="2" applyNumberFormat="1" applyFont="1" applyFill="1" applyBorder="1" applyAlignment="1" applyProtection="1"/>
    <xf numFmtId="194" fontId="5" fillId="10" borderId="12" xfId="2" applyNumberFormat="1" applyFont="1" applyFill="1" applyBorder="1" applyAlignment="1" applyProtection="1"/>
    <xf numFmtId="195" fontId="5" fillId="47" borderId="9" xfId="1" applyNumberFormat="1" applyFont="1" applyFill="1" applyBorder="1" applyAlignment="1" applyProtection="1"/>
    <xf numFmtId="9" fontId="41" fillId="0" borderId="3" xfId="3" applyFont="1" applyFill="1" applyBorder="1" applyAlignment="1" applyProtection="1"/>
    <xf numFmtId="9" fontId="41" fillId="0" borderId="20" xfId="3" applyFont="1" applyFill="1" applyBorder="1" applyAlignment="1" applyProtection="1"/>
    <xf numFmtId="9" fontId="41" fillId="0" borderId="8" xfId="3" applyFont="1" applyFill="1" applyBorder="1" applyAlignment="1" applyProtection="1"/>
    <xf numFmtId="0" fontId="75" fillId="0" borderId="8" xfId="0" applyFont="1" applyFill="1" applyBorder="1"/>
    <xf numFmtId="9" fontId="41" fillId="0" borderId="9" xfId="3" applyFont="1" applyFill="1" applyBorder="1" applyAlignment="1" applyProtection="1"/>
    <xf numFmtId="9" fontId="41" fillId="0" borderId="9" xfId="3" applyFont="1" applyFill="1" applyBorder="1" applyAlignment="1" applyProtection="1">
      <alignment horizontal="right"/>
    </xf>
    <xf numFmtId="9" fontId="41" fillId="0" borderId="20" xfId="3" applyFont="1" applyFill="1" applyBorder="1" applyAlignment="1" applyProtection="1">
      <alignment horizontal="right"/>
    </xf>
    <xf numFmtId="9" fontId="41" fillId="0" borderId="16" xfId="3" applyFont="1" applyFill="1" applyBorder="1" applyAlignment="1" applyProtection="1">
      <alignment horizontal="right"/>
    </xf>
    <xf numFmtId="9" fontId="41" fillId="0" borderId="14" xfId="3" applyFont="1" applyFill="1" applyBorder="1" applyAlignment="1" applyProtection="1"/>
    <xf numFmtId="9" fontId="41" fillId="0" borderId="57" xfId="3" applyFont="1" applyFill="1" applyBorder="1" applyAlignment="1" applyProtection="1"/>
    <xf numFmtId="194" fontId="5" fillId="0" borderId="9" xfId="1" applyNumberFormat="1" applyFont="1" applyFill="1" applyBorder="1" applyAlignment="1" applyProtection="1"/>
    <xf numFmtId="194" fontId="5" fillId="47" borderId="12" xfId="1" applyNumberFormat="1" applyFont="1" applyFill="1" applyBorder="1" applyAlignment="1" applyProtection="1"/>
    <xf numFmtId="194" fontId="5" fillId="47" borderId="11" xfId="1" applyNumberFormat="1" applyFont="1" applyFill="1" applyBorder="1" applyAlignment="1" applyProtection="1"/>
    <xf numFmtId="194" fontId="5" fillId="0" borderId="0" xfId="1" applyNumberFormat="1" applyFont="1" applyFill="1" applyBorder="1" applyAlignment="1" applyProtection="1"/>
    <xf numFmtId="0" fontId="0" fillId="50" borderId="0" xfId="0" applyFill="1"/>
    <xf numFmtId="0" fontId="3" fillId="52" borderId="0" xfId="0" applyFont="1" applyFill="1"/>
    <xf numFmtId="0" fontId="56" fillId="0" borderId="0" xfId="178" applyFill="1"/>
    <xf numFmtId="0" fontId="56" fillId="0" borderId="0" xfId="178" applyFill="1" applyAlignment="1">
      <alignment vertical="top"/>
    </xf>
    <xf numFmtId="3" fontId="0" fillId="0" borderId="0" xfId="0" applyNumberFormat="1" applyFill="1" applyAlignment="1">
      <alignment wrapText="1"/>
    </xf>
    <xf numFmtId="3" fontId="0" fillId="0" borderId="0" xfId="0" applyNumberFormat="1" applyBorder="1" applyAlignment="1">
      <alignment wrapText="1"/>
    </xf>
    <xf numFmtId="0" fontId="0" fillId="0" borderId="0" xfId="0" applyBorder="1" applyAlignment="1">
      <alignment wrapText="1"/>
    </xf>
    <xf numFmtId="0" fontId="0" fillId="0" borderId="0" xfId="0" applyBorder="1" applyAlignment="1"/>
    <xf numFmtId="6" fontId="0" fillId="0" borderId="0" xfId="0" applyNumberFormat="1" applyBorder="1" applyAlignment="1">
      <alignment wrapText="1"/>
    </xf>
    <xf numFmtId="0" fontId="0" fillId="52" borderId="0" xfId="0" applyFill="1"/>
    <xf numFmtId="3" fontId="0" fillId="52" borderId="0" xfId="0" applyNumberFormat="1" applyFill="1" applyAlignment="1"/>
    <xf numFmtId="0" fontId="0" fillId="50" borderId="0" xfId="0" applyFill="1" applyAlignment="1"/>
    <xf numFmtId="6" fontId="0" fillId="50" borderId="0" xfId="0" applyNumberFormat="1" applyFill="1" applyAlignment="1"/>
    <xf numFmtId="3" fontId="0" fillId="50" borderId="0" xfId="0" applyNumberFormat="1" applyFill="1" applyAlignment="1"/>
    <xf numFmtId="0" fontId="56" fillId="50" borderId="0" xfId="178" applyFill="1"/>
    <xf numFmtId="0" fontId="0" fillId="52" borderId="0" xfId="0" applyFill="1" applyBorder="1"/>
    <xf numFmtId="4" fontId="0" fillId="52" borderId="0" xfId="0" applyNumberFormat="1" applyFill="1" applyBorder="1" applyAlignment="1">
      <alignment horizontal="right"/>
    </xf>
    <xf numFmtId="4" fontId="0" fillId="52" borderId="0" xfId="0" applyNumberFormat="1" applyFill="1" applyBorder="1"/>
    <xf numFmtId="0" fontId="56" fillId="52" borderId="0" xfId="178" applyFill="1"/>
    <xf numFmtId="0" fontId="0" fillId="0" borderId="0" xfId="0" applyFill="1" applyAlignment="1">
      <alignment horizontal="right"/>
    </xf>
    <xf numFmtId="4" fontId="0" fillId="0" borderId="0" xfId="0" applyNumberFormat="1" applyFill="1"/>
    <xf numFmtId="15" fontId="45" fillId="0" borderId="0" xfId="0" applyNumberFormat="1" applyFont="1" applyFill="1" applyBorder="1" applyAlignment="1">
      <alignment horizontal="right" wrapText="1"/>
    </xf>
    <xf numFmtId="14" fontId="4" fillId="0" borderId="14" xfId="0" applyNumberFormat="1" applyFont="1" applyFill="1" applyBorder="1" applyAlignment="1">
      <alignment horizontal="center" vertical="top"/>
    </xf>
    <xf numFmtId="197" fontId="14" fillId="0" borderId="16" xfId="145" applyNumberFormat="1" applyFont="1" applyFill="1" applyBorder="1" applyAlignment="1" applyProtection="1"/>
    <xf numFmtId="197" fontId="14" fillId="0" borderId="8" xfId="145" applyNumberFormat="1" applyFont="1" applyFill="1" applyBorder="1" applyAlignment="1" applyProtection="1"/>
    <xf numFmtId="14" fontId="0" fillId="0" borderId="0" xfId="0" applyNumberFormat="1" applyFill="1"/>
    <xf numFmtId="0" fontId="44" fillId="51" borderId="0" xfId="178" applyFont="1" applyFill="1"/>
    <xf numFmtId="0" fontId="44" fillId="52" borderId="0" xfId="178" applyFont="1" applyFill="1"/>
    <xf numFmtId="44" fontId="14" fillId="53" borderId="0" xfId="2" applyFont="1" applyFill="1" applyBorder="1"/>
    <xf numFmtId="0" fontId="14" fillId="53" borderId="0" xfId="113" applyFont="1" applyFill="1" applyBorder="1"/>
    <xf numFmtId="0" fontId="14" fillId="53" borderId="8" xfId="113" applyFont="1" applyFill="1" applyBorder="1"/>
    <xf numFmtId="14" fontId="0" fillId="52" borderId="0" xfId="0" applyNumberFormat="1" applyFill="1"/>
    <xf numFmtId="44" fontId="0" fillId="52" borderId="0" xfId="2" applyFont="1" applyFill="1" applyBorder="1"/>
    <xf numFmtId="0" fontId="0" fillId="50" borderId="41" xfId="0" applyFill="1" applyBorder="1"/>
    <xf numFmtId="0" fontId="0" fillId="52" borderId="0" xfId="0" applyFont="1" applyFill="1" applyAlignment="1">
      <alignment vertical="top"/>
    </xf>
    <xf numFmtId="6" fontId="0" fillId="52" borderId="0" xfId="0" applyNumberFormat="1" applyFont="1" applyFill="1"/>
    <xf numFmtId="6" fontId="0" fillId="52" borderId="0" xfId="0" applyNumberFormat="1" applyFont="1" applyFill="1" applyAlignment="1"/>
    <xf numFmtId="37" fontId="0" fillId="52" borderId="0" xfId="0" applyNumberFormat="1" applyFont="1" applyFill="1" applyAlignment="1">
      <alignment horizontal="right" vertical="top"/>
    </xf>
    <xf numFmtId="0" fontId="0" fillId="52" borderId="0" xfId="0" applyFont="1" applyFill="1"/>
    <xf numFmtId="0" fontId="0" fillId="52" borderId="0" xfId="0" applyFill="1" applyAlignment="1">
      <alignment vertical="top"/>
    </xf>
    <xf numFmtId="37" fontId="0" fillId="52" borderId="0" xfId="0" applyNumberFormat="1" applyFill="1" applyAlignment="1">
      <alignment horizontal="right" vertical="top"/>
    </xf>
    <xf numFmtId="6" fontId="0" fillId="50" borderId="0" xfId="0" applyNumberFormat="1" applyFill="1"/>
    <xf numFmtId="3" fontId="0" fillId="50" borderId="0" xfId="0" applyNumberFormat="1" applyFill="1"/>
    <xf numFmtId="8" fontId="0" fillId="50" borderId="0" xfId="0" applyNumberFormat="1" applyFill="1"/>
    <xf numFmtId="0" fontId="0" fillId="52" borderId="0" xfId="0" applyFill="1" applyAlignment="1">
      <alignment horizontal="right"/>
    </xf>
    <xf numFmtId="4" fontId="0" fillId="52" borderId="0" xfId="0" applyNumberFormat="1" applyFill="1"/>
    <xf numFmtId="0" fontId="0" fillId="0" borderId="0" xfId="0" applyFill="1" applyBorder="1" applyAlignment="1">
      <alignment horizontal="center"/>
    </xf>
    <xf numFmtId="0" fontId="14" fillId="0" borderId="22" xfId="113" applyFont="1" applyBorder="1" applyAlignment="1">
      <alignment horizontal="center"/>
    </xf>
    <xf numFmtId="0" fontId="14" fillId="0" borderId="28" xfId="113" applyFont="1" applyBorder="1" applyAlignment="1">
      <alignment horizontal="center"/>
    </xf>
    <xf numFmtId="3" fontId="65" fillId="0" borderId="0" xfId="0" applyNumberFormat="1" applyFont="1" applyFill="1" applyBorder="1" applyAlignment="1">
      <alignment horizontal="right" vertical="center" wrapText="1"/>
    </xf>
    <xf numFmtId="0" fontId="65" fillId="0" borderId="0" xfId="0" applyFont="1" applyFill="1" applyBorder="1" applyAlignment="1">
      <alignment wrapText="1"/>
    </xf>
    <xf numFmtId="0" fontId="65" fillId="0" borderId="0" xfId="0" applyFont="1" applyFill="1" applyBorder="1" applyAlignment="1">
      <alignment horizontal="left" vertical="center" wrapText="1"/>
    </xf>
    <xf numFmtId="0" fontId="65" fillId="0" borderId="0" xfId="0" applyFont="1" applyFill="1" applyBorder="1" applyAlignment="1">
      <alignment vertical="center" wrapText="1"/>
    </xf>
    <xf numFmtId="0" fontId="65" fillId="0" borderId="0" xfId="0" applyFont="1" applyFill="1" applyBorder="1" applyAlignment="1">
      <alignment horizontal="right" vertical="center" wrapText="1"/>
    </xf>
    <xf numFmtId="0" fontId="65" fillId="0" borderId="0" xfId="0" applyFont="1" applyFill="1" applyBorder="1" applyAlignment="1">
      <alignment horizontal="left" vertical="center" wrapText="1" indent="2"/>
    </xf>
    <xf numFmtId="0" fontId="44" fillId="0" borderId="0" xfId="0" applyFont="1" applyFill="1" applyBorder="1" applyAlignment="1">
      <alignment horizontal="center"/>
    </xf>
    <xf numFmtId="0" fontId="5" fillId="0" borderId="21" xfId="0" applyNumberFormat="1" applyFont="1" applyFill="1" applyBorder="1" applyAlignment="1" applyProtection="1">
      <alignment horizontal="left"/>
    </xf>
    <xf numFmtId="0" fontId="5" fillId="0" borderId="27" xfId="0" applyNumberFormat="1" applyFont="1" applyFill="1" applyBorder="1" applyAlignment="1" applyProtection="1">
      <alignment horizontal="left"/>
    </xf>
    <xf numFmtId="0" fontId="5" fillId="0" borderId="9" xfId="0" applyNumberFormat="1" applyFont="1" applyFill="1" applyBorder="1" applyAlignment="1" applyProtection="1">
      <alignment horizontal="left"/>
    </xf>
    <xf numFmtId="0" fontId="5" fillId="0" borderId="16" xfId="0" applyNumberFormat="1" applyFont="1" applyFill="1" applyBorder="1" applyAlignment="1" applyProtection="1">
      <alignment horizontal="left"/>
    </xf>
    <xf numFmtId="0" fontId="5" fillId="0" borderId="23" xfId="0" applyNumberFormat="1" applyFont="1" applyFill="1" applyBorder="1" applyAlignment="1" applyProtection="1">
      <alignment horizontal="left"/>
    </xf>
    <xf numFmtId="0" fontId="5" fillId="0" borderId="25" xfId="0" applyNumberFormat="1" applyFont="1" applyFill="1" applyBorder="1" applyAlignment="1" applyProtection="1">
      <alignment horizontal="left"/>
    </xf>
    <xf numFmtId="0" fontId="40" fillId="10" borderId="33" xfId="0" applyNumberFormat="1" applyFont="1" applyFill="1" applyBorder="1" applyAlignment="1" applyProtection="1">
      <alignment horizontal="center"/>
    </xf>
    <xf numFmtId="0" fontId="40" fillId="10" borderId="34" xfId="0" applyNumberFormat="1" applyFont="1" applyFill="1" applyBorder="1" applyAlignment="1" applyProtection="1">
      <alignment horizontal="center"/>
    </xf>
    <xf numFmtId="0" fontId="40" fillId="10" borderId="35" xfId="0" applyNumberFormat="1" applyFont="1" applyFill="1" applyBorder="1" applyAlignment="1" applyProtection="1">
      <alignment horizontal="center"/>
    </xf>
    <xf numFmtId="0" fontId="40" fillId="0" borderId="33" xfId="0" applyNumberFormat="1" applyFont="1" applyFill="1" applyBorder="1" applyAlignment="1" applyProtection="1">
      <alignment horizontal="center"/>
    </xf>
    <xf numFmtId="0" fontId="40" fillId="0" borderId="34" xfId="0" applyNumberFormat="1" applyFont="1" applyFill="1" applyBorder="1" applyAlignment="1" applyProtection="1">
      <alignment horizontal="center"/>
    </xf>
    <xf numFmtId="0" fontId="40" fillId="0" borderId="35" xfId="0" applyNumberFormat="1" applyFont="1" applyFill="1" applyBorder="1" applyAlignment="1" applyProtection="1">
      <alignment horizontal="center"/>
    </xf>
    <xf numFmtId="0" fontId="40" fillId="10" borderId="12" xfId="0" applyNumberFormat="1" applyFont="1" applyFill="1" applyBorder="1" applyAlignment="1" applyProtection="1">
      <alignment horizontal="center"/>
    </xf>
    <xf numFmtId="0" fontId="40" fillId="10" borderId="10" xfId="0" applyNumberFormat="1" applyFont="1" applyFill="1" applyBorder="1" applyAlignment="1" applyProtection="1">
      <alignment horizontal="center"/>
    </xf>
    <xf numFmtId="0" fontId="4" fillId="0" borderId="7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4" fillId="0" borderId="23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11" xfId="0" applyFont="1" applyBorder="1" applyAlignment="1">
      <alignment horizontal="left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</cellXfs>
  <cellStyles count="393">
    <cellStyle name="20% - Accent1" xfId="190" builtinId="30" customBuiltin="1"/>
    <cellStyle name="20% - Accent2" xfId="194" builtinId="34" customBuiltin="1"/>
    <cellStyle name="20% - Accent3" xfId="198" builtinId="38" customBuiltin="1"/>
    <cellStyle name="20% - Accent4" xfId="202" builtinId="42" customBuiltin="1"/>
    <cellStyle name="20% - Accent5" xfId="206" builtinId="46" customBuiltin="1"/>
    <cellStyle name="20% - Accent6" xfId="210" builtinId="50" customBuiltin="1"/>
    <cellStyle name="40% - Accent1" xfId="191" builtinId="31" customBuiltin="1"/>
    <cellStyle name="40% - Accent2" xfId="195" builtinId="35" customBuiltin="1"/>
    <cellStyle name="40% - Accent3" xfId="199" builtinId="39" customBuiltin="1"/>
    <cellStyle name="40% - Accent4" xfId="203" builtinId="43" customBuiltin="1"/>
    <cellStyle name="40% - Accent5" xfId="207" builtinId="47" customBuiltin="1"/>
    <cellStyle name="40% - Accent6" xfId="211" builtinId="51" customBuiltin="1"/>
    <cellStyle name="6-0" xfId="4"/>
    <cellStyle name="60% - Accent1" xfId="192" builtinId="32" customBuiltin="1"/>
    <cellStyle name="60% - Accent2" xfId="196" builtinId="36" customBuiltin="1"/>
    <cellStyle name="60% - Accent3" xfId="200" builtinId="40" customBuiltin="1"/>
    <cellStyle name="60% - Accent4" xfId="204" builtinId="44" customBuiltin="1"/>
    <cellStyle name="60% - Accent5" xfId="208" builtinId="48" customBuiltin="1"/>
    <cellStyle name="60% - Accent6" xfId="212" builtinId="52" customBuiltin="1"/>
    <cellStyle name="Accent1" xfId="189" builtinId="29" customBuiltin="1"/>
    <cellStyle name="Accent2" xfId="193" builtinId="33" customBuiltin="1"/>
    <cellStyle name="Accent3" xfId="197" builtinId="37" customBuiltin="1"/>
    <cellStyle name="Accent4" xfId="201" builtinId="41" customBuiltin="1"/>
    <cellStyle name="Accent5" xfId="205" builtinId="45" customBuiltin="1"/>
    <cellStyle name="Accent6" xfId="209" builtinId="49" customBuiltin="1"/>
    <cellStyle name="Bad" xfId="178" builtinId="27" customBuiltin="1"/>
    <cellStyle name="Bold12" xfId="5"/>
    <cellStyle name="BoldItal12" xfId="6"/>
    <cellStyle name="Border" xfId="7"/>
    <cellStyle name="Border 2" xfId="8"/>
    <cellStyle name="Calc Currency (0)" xfId="9"/>
    <cellStyle name="Calc Currency (2)" xfId="10"/>
    <cellStyle name="Calc Percent (0)" xfId="11"/>
    <cellStyle name="Calc Percent (1)" xfId="12"/>
    <cellStyle name="Calc Percent (2)" xfId="13"/>
    <cellStyle name="Calc Units (0)" xfId="14"/>
    <cellStyle name="Calc Units (1)" xfId="15"/>
    <cellStyle name="Calc Units (2)" xfId="16"/>
    <cellStyle name="Calculation" xfId="182" builtinId="22" customBuiltin="1"/>
    <cellStyle name="Centered Heading" xfId="17"/>
    <cellStyle name="Check Cell" xfId="184" builtinId="23" customBuiltin="1"/>
    <cellStyle name="columns" xfId="18"/>
    <cellStyle name="Comma" xfId="1" builtinId="3"/>
    <cellStyle name="comma (0)" xfId="19"/>
    <cellStyle name="Comma [00]" xfId="20"/>
    <cellStyle name="Comma 10" xfId="222"/>
    <cellStyle name="Comma 2" xfId="21"/>
    <cellStyle name="Comma 2 2" xfId="22"/>
    <cellStyle name="Comma 3" xfId="23"/>
    <cellStyle name="Comma 3 2" xfId="24"/>
    <cellStyle name="Comma 4" xfId="25"/>
    <cellStyle name="Comma 5" xfId="26"/>
    <cellStyle name="Comma 6" xfId="27"/>
    <cellStyle name="Comma 7" xfId="28"/>
    <cellStyle name="Comma 8" xfId="29"/>
    <cellStyle name="Comma 9" xfId="213"/>
    <cellStyle name="Comma Acctg" xfId="30"/>
    <cellStyle name="Comma0" xfId="31"/>
    <cellStyle name="Company Name" xfId="32"/>
    <cellStyle name="Contracts" xfId="33"/>
    <cellStyle name="CR Comma" xfId="34"/>
    <cellStyle name="CR Currency" xfId="35"/>
    <cellStyle name="curr" xfId="36"/>
    <cellStyle name="curr 2" xfId="37"/>
    <cellStyle name="Currency" xfId="2" builtinId="4"/>
    <cellStyle name="Currency [00]" xfId="38"/>
    <cellStyle name="Currency 10" xfId="223"/>
    <cellStyle name="Currency 2" xfId="39"/>
    <cellStyle name="Currency 2 2" xfId="40"/>
    <cellStyle name="Currency 3" xfId="41"/>
    <cellStyle name="Currency 4" xfId="42"/>
    <cellStyle name="Currency 5" xfId="43"/>
    <cellStyle name="Currency 6" xfId="44"/>
    <cellStyle name="Currency 7" xfId="45"/>
    <cellStyle name="Currency 8" xfId="46"/>
    <cellStyle name="Currency 9" xfId="214"/>
    <cellStyle name="Currency Acctg" xfId="47"/>
    <cellStyle name="Currency0" xfId="48"/>
    <cellStyle name="Data" xfId="49"/>
    <cellStyle name="Date" xfId="50"/>
    <cellStyle name="Date Short" xfId="51"/>
    <cellStyle name="DateJoel" xfId="52"/>
    <cellStyle name="debbie" xfId="53"/>
    <cellStyle name="debbie 2" xfId="54"/>
    <cellStyle name="Dezimal [0]_laroux" xfId="55"/>
    <cellStyle name="Dezimal_laroux" xfId="56"/>
    <cellStyle name="Enter Currency (0)" xfId="57"/>
    <cellStyle name="Enter Currency (2)" xfId="58"/>
    <cellStyle name="Enter Units (0)" xfId="59"/>
    <cellStyle name="Enter Units (1)" xfId="60"/>
    <cellStyle name="Enter Units (2)" xfId="61"/>
    <cellStyle name="eps" xfId="62"/>
    <cellStyle name="eps 2" xfId="63"/>
    <cellStyle name="Euro" xfId="64"/>
    <cellStyle name="Explanatory Text" xfId="187" builtinId="53" customBuiltin="1"/>
    <cellStyle name="Followed Hyperlink" xfId="218" builtinId="9" hidden="1"/>
    <cellStyle name="Followed Hyperlink" xfId="220" builtinId="9" hidden="1"/>
    <cellStyle name="Followed Hyperlink" xfId="226" builtinId="9" hidden="1"/>
    <cellStyle name="Followed Hyperlink" xfId="228" builtinId="9" hidden="1"/>
    <cellStyle name="Followed Hyperlink" xfId="247" builtinId="9" hidden="1"/>
    <cellStyle name="Followed Hyperlink" xfId="249" builtinId="9" hidden="1"/>
    <cellStyle name="Followed Hyperlink" xfId="252" builtinId="9" hidden="1"/>
    <cellStyle name="Followed Hyperlink" xfId="254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55" builtinId="9" hidden="1"/>
    <cellStyle name="Followed Hyperlink" xfId="257" builtinId="9" hidden="1"/>
    <cellStyle name="Followed Hyperlink" xfId="264" builtinId="9" hidden="1"/>
    <cellStyle name="Followed Hyperlink" xfId="266" builtinId="9" hidden="1"/>
    <cellStyle name="Followed Hyperlink" xfId="232" builtinId="9" hidden="1"/>
    <cellStyle name="Followed Hyperlink" xfId="231" builtinId="9" hidden="1"/>
    <cellStyle name="Followed Hyperlink" xfId="267" builtinId="9" hidden="1"/>
    <cellStyle name="Followed Hyperlink" xfId="268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69" builtinId="9" hidden="1"/>
    <cellStyle name="Followed Hyperlink" xfId="271" builtinId="9" hidden="1"/>
    <cellStyle name="Followed Hyperlink" xfId="278" builtinId="9" hidden="1"/>
    <cellStyle name="Followed Hyperlink" xfId="280" builtinId="9" hidden="1"/>
    <cellStyle name="Followed Hyperlink" xfId="245" builtinId="9" hidden="1"/>
    <cellStyle name="Followed Hyperlink" xfId="244" builtinId="9" hidden="1"/>
    <cellStyle name="Followed Hyperlink" xfId="281" builtinId="9" hidden="1"/>
    <cellStyle name="Followed Hyperlink" xfId="282" builtinId="9" hidden="1"/>
    <cellStyle name="Followed Hyperlink" xfId="287" builtinId="9" hidden="1"/>
    <cellStyle name="Followed Hyperlink" xfId="288" builtinId="9" hidden="1"/>
    <cellStyle name="Followed Hyperlink" xfId="289" builtinId="9" hidden="1"/>
    <cellStyle name="Followed Hyperlink" xfId="290" builtinId="9" hidden="1"/>
    <cellStyle name="Followed Hyperlink" xfId="283" builtinId="9" hidden="1"/>
    <cellStyle name="Followed Hyperlink" xfId="285" builtinId="9" hidden="1"/>
    <cellStyle name="Followed Hyperlink" xfId="292" builtinId="9" hidden="1"/>
    <cellStyle name="Followed Hyperlink" xfId="294" builtinId="9" hidden="1"/>
    <cellStyle name="Followed Hyperlink" xfId="229" builtinId="9" hidden="1"/>
    <cellStyle name="Followed Hyperlink" xfId="230" builtinId="9" hidden="1"/>
    <cellStyle name="Followed Hyperlink" xfId="295" builtinId="9" hidden="1"/>
    <cellStyle name="Followed Hyperlink" xfId="296" builtinId="9" hidden="1"/>
    <cellStyle name="Followed Hyperlink" xfId="301" builtinId="9" hidden="1"/>
    <cellStyle name="Followed Hyperlink" xfId="302" builtinId="9" hidden="1"/>
    <cellStyle name="Followed Hyperlink" xfId="303" builtinId="9" hidden="1"/>
    <cellStyle name="Followed Hyperlink" xfId="304" builtinId="9" hidden="1"/>
    <cellStyle name="Followed Hyperlink" xfId="297" builtinId="9" hidden="1"/>
    <cellStyle name="Followed Hyperlink" xfId="299" builtinId="9" hidden="1"/>
    <cellStyle name="Followed Hyperlink" xfId="306" builtinId="9" hidden="1"/>
    <cellStyle name="Followed Hyperlink" xfId="308" builtinId="9" hidden="1"/>
    <cellStyle name="Followed Hyperlink" xfId="243" builtinId="9" hidden="1"/>
    <cellStyle name="Followed Hyperlink" xfId="242" builtinId="9" hidden="1"/>
    <cellStyle name="Followed Hyperlink" xfId="309" builtinId="9" hidden="1"/>
    <cellStyle name="Followed Hyperlink" xfId="310" builtinId="9" hidden="1"/>
    <cellStyle name="Followed Hyperlink" xfId="315" builtinId="9" hidden="1"/>
    <cellStyle name="Followed Hyperlink" xfId="316" builtinId="9" hidden="1"/>
    <cellStyle name="Followed Hyperlink" xfId="317" builtinId="9" hidden="1"/>
    <cellStyle name="Followed Hyperlink" xfId="318" builtinId="9" hidden="1"/>
    <cellStyle name="Followed Hyperlink" xfId="311" builtinId="9" hidden="1"/>
    <cellStyle name="Followed Hyperlink" xfId="313" builtinId="9" hidden="1"/>
    <cellStyle name="Followed Hyperlink" xfId="320" builtinId="9" hidden="1"/>
    <cellStyle name="Followed Hyperlink" xfId="322" builtinId="9" hidden="1"/>
    <cellStyle name="Followed Hyperlink" xfId="233" builtinId="9" hidden="1"/>
    <cellStyle name="Followed Hyperlink" xfId="234" builtinId="9" hidden="1"/>
    <cellStyle name="Followed Hyperlink" xfId="323" builtinId="9" hidden="1"/>
    <cellStyle name="Followed Hyperlink" xfId="324" builtinId="9" hidden="1"/>
    <cellStyle name="Followed Hyperlink" xfId="329" builtinId="9" hidden="1"/>
    <cellStyle name="Followed Hyperlink" xfId="330" builtinId="9" hidden="1"/>
    <cellStyle name="Followed Hyperlink" xfId="331" builtinId="9" hidden="1"/>
    <cellStyle name="Followed Hyperlink" xfId="332" builtinId="9" hidden="1"/>
    <cellStyle name="Followed Hyperlink" xfId="325" builtinId="9" hidden="1"/>
    <cellStyle name="Followed Hyperlink" xfId="327" builtinId="9" hidden="1"/>
    <cellStyle name="Followed Hyperlink" xfId="334" builtinId="9" hidden="1"/>
    <cellStyle name="Followed Hyperlink" xfId="336" builtinId="9" hidden="1"/>
    <cellStyle name="Followed Hyperlink" xfId="241" builtinId="9" hidden="1"/>
    <cellStyle name="Followed Hyperlink" xfId="240" builtinId="9" hidden="1"/>
    <cellStyle name="Followed Hyperlink" xfId="337" builtinId="9" hidden="1"/>
    <cellStyle name="Followed Hyperlink" xfId="338" builtinId="9" hidden="1"/>
    <cellStyle name="Followed Hyperlink" xfId="343" builtinId="9" hidden="1"/>
    <cellStyle name="Followed Hyperlink" xfId="344" builtinId="9" hidden="1"/>
    <cellStyle name="Followed Hyperlink" xfId="345" builtinId="9" hidden="1"/>
    <cellStyle name="Followed Hyperlink" xfId="346" builtinId="9" hidden="1"/>
    <cellStyle name="Followed Hyperlink" xfId="339" builtinId="9" hidden="1"/>
    <cellStyle name="Followed Hyperlink" xfId="341" builtinId="9" hidden="1"/>
    <cellStyle name="Followed Hyperlink" xfId="348" builtinId="9" hidden="1"/>
    <cellStyle name="Followed Hyperlink" xfId="350" builtinId="9" hidden="1"/>
    <cellStyle name="Followed Hyperlink" xfId="250" builtinId="9" hidden="1"/>
    <cellStyle name="Followed Hyperlink" xfId="235" builtinId="9" hidden="1"/>
    <cellStyle name="Followed Hyperlink" xfId="351" builtinId="9" hidden="1"/>
    <cellStyle name="Followed Hyperlink" xfId="352" builtinId="9" hidden="1"/>
    <cellStyle name="Followed Hyperlink" xfId="357" builtinId="9" hidden="1"/>
    <cellStyle name="Followed Hyperlink" xfId="358" builtinId="9" hidden="1"/>
    <cellStyle name="Followed Hyperlink" xfId="359" builtinId="9" hidden="1"/>
    <cellStyle name="Followed Hyperlink" xfId="360" builtinId="9" hidden="1"/>
    <cellStyle name="Followed Hyperlink" xfId="353" builtinId="9" hidden="1"/>
    <cellStyle name="Followed Hyperlink" xfId="355" builtinId="9" hidden="1"/>
    <cellStyle name="Followed Hyperlink" xfId="362" builtinId="9" hidden="1"/>
    <cellStyle name="Followed Hyperlink" xfId="364" builtinId="9" hidden="1"/>
    <cellStyle name="Followed Hyperlink" xfId="239" builtinId="9" hidden="1"/>
    <cellStyle name="Followed Hyperlink" xfId="238" builtinId="9" hidden="1"/>
    <cellStyle name="Followed Hyperlink" xfId="365" builtinId="9" hidden="1"/>
    <cellStyle name="Followed Hyperlink" xfId="366" builtinId="9" hidden="1"/>
    <cellStyle name="Followed Hyperlink" xfId="371" builtinId="9" hidden="1"/>
    <cellStyle name="Followed Hyperlink" xfId="372" builtinId="9" hidden="1"/>
    <cellStyle name="Followed Hyperlink" xfId="373" builtinId="9" hidden="1"/>
    <cellStyle name="Followed Hyperlink" xfId="374" builtinId="9" hidden="1"/>
    <cellStyle name="Followed Hyperlink" xfId="367" builtinId="9" hidden="1"/>
    <cellStyle name="Followed Hyperlink" xfId="369" builtinId="9" hidden="1"/>
    <cellStyle name="Followed Hyperlink" xfId="376" builtinId="9" hidden="1"/>
    <cellStyle name="Followed Hyperlink" xfId="378" builtinId="9" hidden="1"/>
    <cellStyle name="Followed Hyperlink" xfId="236" builtinId="9" hidden="1"/>
    <cellStyle name="Followed Hyperlink" xfId="237" builtinId="9" hidden="1"/>
    <cellStyle name="Followed Hyperlink" xfId="379" builtinId="9" hidden="1"/>
    <cellStyle name="Followed Hyperlink" xfId="380" builtinId="9" hidden="1"/>
    <cellStyle name="Followed Hyperlink" xfId="385" builtinId="9" hidden="1"/>
    <cellStyle name="Followed Hyperlink" xfId="386" builtinId="9" hidden="1"/>
    <cellStyle name="Followed Hyperlink" xfId="387" builtinId="9" hidden="1"/>
    <cellStyle name="Followed Hyperlink" xfId="388" builtinId="9" hidden="1"/>
    <cellStyle name="Followed Hyperlink" xfId="381" builtinId="9" hidden="1"/>
    <cellStyle name="Followed Hyperlink" xfId="383" builtinId="9" hidden="1"/>
    <cellStyle name="Followed Hyperlink" xfId="390" builtinId="9" hidden="1"/>
    <cellStyle name="Followed Hyperlink" xfId="392" builtinId="9" hidden="1"/>
    <cellStyle name="Followed Hyperlink 2" xfId="65"/>
    <cellStyle name="Followed Hyperlink 3" xfId="66"/>
    <cellStyle name="Followed Hyperlink 4" xfId="67"/>
    <cellStyle name="Followed Hyperlink 5" xfId="68"/>
    <cellStyle name="Followed Hyperlink 6" xfId="69"/>
    <cellStyle name="Followed Hyperlink 7" xfId="70"/>
    <cellStyle name="Followed Hyperlink 8" xfId="71"/>
    <cellStyle name="Followed Hyperlink 9" xfId="72"/>
    <cellStyle name="Good" xfId="177" builtinId="26" customBuiltin="1"/>
    <cellStyle name="Grey" xfId="73"/>
    <cellStyle name="Header1" xfId="74"/>
    <cellStyle name="Header1 2" xfId="75"/>
    <cellStyle name="Header2" xfId="76"/>
    <cellStyle name="Header2 2" xfId="77"/>
    <cellStyle name="Heading" xfId="78"/>
    <cellStyle name="Heading 1" xfId="173" builtinId="16" customBuiltin="1"/>
    <cellStyle name="Heading 2" xfId="174" builtinId="17" customBuiltin="1"/>
    <cellStyle name="Heading 2 2" xfId="79"/>
    <cellStyle name="Heading 3" xfId="175" builtinId="18" customBuiltin="1"/>
    <cellStyle name="Heading 4" xfId="176" builtinId="19" customBuiltin="1"/>
    <cellStyle name="Heading 5" xfId="80"/>
    <cellStyle name="Heading No Underline" xfId="81"/>
    <cellStyle name="Heading With Underline" xfId="82"/>
    <cellStyle name="Hyperlink" xfId="216" builtinId="8" hidden="1"/>
    <cellStyle name="Hyperlink" xfId="219" builtinId="8" hidden="1"/>
    <cellStyle name="Hyperlink" xfId="225" builtinId="8" hidden="1"/>
    <cellStyle name="Hyperlink" xfId="227" builtinId="8" hidden="1"/>
    <cellStyle name="Hyperlink 10" xfId="246" hidden="1"/>
    <cellStyle name="Hyperlink 10" xfId="256" hidden="1"/>
    <cellStyle name="Hyperlink 10" xfId="270" hidden="1"/>
    <cellStyle name="Hyperlink 10" xfId="284" hidden="1"/>
    <cellStyle name="Hyperlink 10" xfId="298" hidden="1"/>
    <cellStyle name="Hyperlink 10" xfId="312" hidden="1"/>
    <cellStyle name="Hyperlink 10" xfId="326" hidden="1"/>
    <cellStyle name="Hyperlink 10" xfId="340" hidden="1"/>
    <cellStyle name="Hyperlink 10" xfId="354" hidden="1"/>
    <cellStyle name="Hyperlink 10" xfId="368" hidden="1"/>
    <cellStyle name="Hyperlink 10" xfId="382"/>
    <cellStyle name="Hyperlink 11" xfId="248" hidden="1"/>
    <cellStyle name="Hyperlink 11" xfId="258" hidden="1"/>
    <cellStyle name="Hyperlink 11" xfId="272" hidden="1"/>
    <cellStyle name="Hyperlink 11" xfId="286" hidden="1"/>
    <cellStyle name="Hyperlink 11" xfId="300" hidden="1"/>
    <cellStyle name="Hyperlink 11" xfId="314" hidden="1"/>
    <cellStyle name="Hyperlink 11" xfId="328" hidden="1"/>
    <cellStyle name="Hyperlink 11" xfId="342" hidden="1"/>
    <cellStyle name="Hyperlink 11" xfId="356" hidden="1"/>
    <cellStyle name="Hyperlink 11" xfId="370" hidden="1"/>
    <cellStyle name="Hyperlink 11" xfId="384"/>
    <cellStyle name="Hyperlink 12" xfId="251" hidden="1"/>
    <cellStyle name="Hyperlink 12" xfId="263" hidden="1"/>
    <cellStyle name="Hyperlink 12" xfId="277" hidden="1"/>
    <cellStyle name="Hyperlink 12" xfId="291" hidden="1"/>
    <cellStyle name="Hyperlink 12" xfId="305" hidden="1"/>
    <cellStyle name="Hyperlink 12" xfId="319" hidden="1"/>
    <cellStyle name="Hyperlink 12" xfId="333" hidden="1"/>
    <cellStyle name="Hyperlink 12" xfId="347" hidden="1"/>
    <cellStyle name="Hyperlink 12" xfId="361" hidden="1"/>
    <cellStyle name="Hyperlink 12" xfId="375" hidden="1"/>
    <cellStyle name="Hyperlink 12" xfId="389"/>
    <cellStyle name="Hyperlink 13" xfId="253" hidden="1"/>
    <cellStyle name="Hyperlink 13" xfId="265" hidden="1"/>
    <cellStyle name="Hyperlink 13" xfId="279" hidden="1"/>
    <cellStyle name="Hyperlink 13" xfId="293" hidden="1"/>
    <cellStyle name="Hyperlink 13" xfId="307" hidden="1"/>
    <cellStyle name="Hyperlink 13" xfId="321" hidden="1"/>
    <cellStyle name="Hyperlink 13" xfId="335" hidden="1"/>
    <cellStyle name="Hyperlink 13" xfId="349" hidden="1"/>
    <cellStyle name="Hyperlink 13" xfId="363" hidden="1"/>
    <cellStyle name="Hyperlink 13" xfId="377" hidden="1"/>
    <cellStyle name="Hyperlink 13" xfId="391"/>
    <cellStyle name="Hyperlink 2" xfId="83"/>
    <cellStyle name="Hyperlink 3" xfId="84"/>
    <cellStyle name="Hyperlink 4" xfId="85"/>
    <cellStyle name="Hyperlink 5" xfId="86"/>
    <cellStyle name="Hyperlink 6" xfId="87"/>
    <cellStyle name="Hyperlink 7" xfId="88"/>
    <cellStyle name="Hyperlink 8" xfId="89"/>
    <cellStyle name="Hyperlink 9" xfId="90"/>
    <cellStyle name="Input" xfId="180" builtinId="20" customBuiltin="1"/>
    <cellStyle name="Input [yellow]" xfId="91"/>
    <cellStyle name="Input [yellow] 2" xfId="92"/>
    <cellStyle name="Link Currency (0)" xfId="93"/>
    <cellStyle name="Link Currency (2)" xfId="94"/>
    <cellStyle name="Link Units (0)" xfId="95"/>
    <cellStyle name="Link Units (1)" xfId="96"/>
    <cellStyle name="Link Units (2)" xfId="97"/>
    <cellStyle name="Linked Cell" xfId="183" builtinId="24" customBuiltin="1"/>
    <cellStyle name="Milliers [0]_laroux" xfId="98"/>
    <cellStyle name="Milliers_laroux" xfId="99"/>
    <cellStyle name="negativ" xfId="100"/>
    <cellStyle name="Neutral" xfId="179" builtinId="28" customBuiltin="1"/>
    <cellStyle name="nodollars" xfId="101"/>
    <cellStyle name="Normal" xfId="0" builtinId="0"/>
    <cellStyle name="Normal - Style1" xfId="102"/>
    <cellStyle name="Normal 10" xfId="103"/>
    <cellStyle name="Normal 11" xfId="104"/>
    <cellStyle name="Normal 12" xfId="105"/>
    <cellStyle name="Normal 13" xfId="106"/>
    <cellStyle name="Normal 14" xfId="107"/>
    <cellStyle name="Normal 15" xfId="108"/>
    <cellStyle name="Normal 16" xfId="109"/>
    <cellStyle name="Normal 17" xfId="110"/>
    <cellStyle name="Normal 18" xfId="111"/>
    <cellStyle name="Normal 19" xfId="112"/>
    <cellStyle name="Normal 2" xfId="113"/>
    <cellStyle name="Normal 2 2" xfId="114"/>
    <cellStyle name="Normal 20" xfId="115"/>
    <cellStyle name="Normal 21" xfId="116"/>
    <cellStyle name="Normal 22" xfId="117"/>
    <cellStyle name="Normal 23" xfId="118"/>
    <cellStyle name="Normal 24" xfId="119"/>
    <cellStyle name="Normal 25" xfId="120"/>
    <cellStyle name="Normal 26" xfId="121"/>
    <cellStyle name="Normal 27" xfId="122"/>
    <cellStyle name="Normal 28" xfId="123"/>
    <cellStyle name="Normal 29" xfId="124"/>
    <cellStyle name="Normal 3" xfId="125"/>
    <cellStyle name="Normal 3 2" xfId="126"/>
    <cellStyle name="Normal 3 3" xfId="127"/>
    <cellStyle name="Normal 30" xfId="215"/>
    <cellStyle name="Normal 31" xfId="221"/>
    <cellStyle name="Normal 4" xfId="128"/>
    <cellStyle name="Normal 4 2" xfId="129"/>
    <cellStyle name="Normal 5" xfId="130"/>
    <cellStyle name="Normal 6" xfId="131"/>
    <cellStyle name="Normal 7" xfId="132"/>
    <cellStyle name="Normal 8" xfId="133"/>
    <cellStyle name="Normal 9" xfId="134"/>
    <cellStyle name="Note" xfId="186" builtinId="10" customBuiltin="1"/>
    <cellStyle name="Note 2" xfId="135"/>
    <cellStyle name="Note 3" xfId="136"/>
    <cellStyle name="Output" xfId="181" builtinId="21" customBuiltin="1"/>
    <cellStyle name="OUTPUT AMOUNTS" xfId="137"/>
    <cellStyle name="OUTPUT LINE ITEMS" xfId="138"/>
    <cellStyle name="OUTPUT LINE ITEMS 2" xfId="139"/>
    <cellStyle name="over" xfId="140"/>
    <cellStyle name="Percent" xfId="3" builtinId="5"/>
    <cellStyle name="percent (0)" xfId="141"/>
    <cellStyle name="Percent [0]" xfId="142"/>
    <cellStyle name="Percent [00]" xfId="143"/>
    <cellStyle name="Percent [2]" xfId="144"/>
    <cellStyle name="Percent 10" xfId="224"/>
    <cellStyle name="Percent 2" xfId="145"/>
    <cellStyle name="Percent 2 2" xfId="146"/>
    <cellStyle name="Percent 3" xfId="147"/>
    <cellStyle name="Percent 3 2" xfId="148"/>
    <cellStyle name="Percent 4" xfId="149"/>
    <cellStyle name="Percent 5" xfId="150"/>
    <cellStyle name="Percent 6" xfId="151"/>
    <cellStyle name="Percent 7" xfId="152"/>
    <cellStyle name="Percent 8" xfId="153"/>
    <cellStyle name="Percent 9" xfId="217"/>
    <cellStyle name="posit" xfId="154"/>
    <cellStyle name="PrePop Currency (0)" xfId="155"/>
    <cellStyle name="PrePop Currency (2)" xfId="156"/>
    <cellStyle name="PrePop Units (0)" xfId="157"/>
    <cellStyle name="PrePop Units (1)" xfId="158"/>
    <cellStyle name="PrePop Units (2)" xfId="159"/>
    <cellStyle name="SingleTopDoubleBott" xfId="160"/>
    <cellStyle name="Text Indent A" xfId="161"/>
    <cellStyle name="Text Indent B" xfId="162"/>
    <cellStyle name="Text Indent C" xfId="163"/>
    <cellStyle name="Tickmark" xfId="164"/>
    <cellStyle name="TimStyle" xfId="165"/>
    <cellStyle name="Title" xfId="172" builtinId="15" customBuiltin="1"/>
    <cellStyle name="Title 2" xfId="166"/>
    <cellStyle name="Total" xfId="188" builtinId="25" customBuiltin="1"/>
    <cellStyle name="Underline" xfId="167"/>
    <cellStyle name="UnderlineDouble" xfId="168"/>
    <cellStyle name="Währung [0]_RESULTS" xfId="169"/>
    <cellStyle name="Währung_RESULTS" xfId="170"/>
    <cellStyle name="Warning Text" xfId="185" builtinId="11" customBuiltin="1"/>
    <cellStyle name="표준_BINV" xfId="171"/>
  </cellStyles>
  <dxfs count="0"/>
  <tableStyles count="0" defaultTableStyle="TableStyleMedium2" defaultPivotStyle="PivotStyleLight16"/>
  <colors>
    <mruColors>
      <color rgb="FF6DB426"/>
      <color rgb="FFE5FFE5"/>
      <color rgb="FFCCFFCC"/>
      <color rgb="FFD2FCE0"/>
      <color rgb="FFFF9F9F"/>
      <color rgb="FFCC0000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238125</xdr:colOff>
      <xdr:row>1</xdr:row>
      <xdr:rowOff>228600</xdr:rowOff>
    </xdr:from>
    <xdr:to>
      <xdr:col>6</xdr:col>
      <xdr:colOff>371475</xdr:colOff>
      <xdr:row>1</xdr:row>
      <xdr:rowOff>913120</xdr:rowOff>
    </xdr:to>
    <xdr:pic>
      <xdr:nvPicPr>
        <xdr:cNvPr id="4" name="Picture 3" descr="File:Nvidia Logo Horizontal.sv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5" y="457200"/>
          <a:ext cx="3590925" cy="6845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190500</xdr:colOff>
      <xdr:row>12</xdr:row>
      <xdr:rowOff>79556</xdr:rowOff>
    </xdr:from>
    <xdr:to>
      <xdr:col>8</xdr:col>
      <xdr:colOff>176893</xdr:colOff>
      <xdr:row>15</xdr:row>
      <xdr:rowOff>19047</xdr:rowOff>
    </xdr:to>
    <xdr:pic>
      <xdr:nvPicPr>
        <xdr:cNvPr id="4" name="Picture 3" descr="File:Nvidia Logo Horizontal.sv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0857" y="2406377"/>
          <a:ext cx="2680607" cy="51099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304800</xdr:colOff>
      <xdr:row>1</xdr:row>
      <xdr:rowOff>304800</xdr:rowOff>
    </xdr:to>
    <xdr:sp macro="" textlink="">
      <xdr:nvSpPr>
        <xdr:cNvPr id="2" name="AutoShape 1" descr="Image result for western digital"/>
        <xdr:cNvSpPr>
          <a:spLocks noChangeAspect="1" noChangeArrowheads="1"/>
        </xdr:cNvSpPr>
      </xdr:nvSpPr>
      <xdr:spPr bwMode="auto">
        <a:xfrm>
          <a:off x="236220" y="228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304800</xdr:colOff>
      <xdr:row>5</xdr:row>
      <xdr:rowOff>300703</xdr:rowOff>
    </xdr:to>
    <xdr:sp macro="" textlink="">
      <xdr:nvSpPr>
        <xdr:cNvPr id="3" name="AutoShape 4" descr="data:image/jpeg;base64,/9j/4AAQSkZJRgABAQAAAQABAAD/2wCEAAkGBxISDxAPDxAQFRAPFRIPDxURFBAQEBQVFhYWFxQUFBYYHjQgGBolHRQWITEhJSkrLi4uFx8zODMsNygtLisBCgoKDg0OGxAQFywkICQvMDAvLCwtNywsLCwvLSwtLCwsLCw0LCwsLCwsLSwsLCwsLCwsLCwsLCwsLCwsLCwsLP/AABEIAKUBMQMBEQACEQEDEQH/xAAcAAEAAgIDAQAAAAAAAAAAAAAABgcFCAECAwT/xABMEAABAwIABQwOCQMEAwEAAAABAAIDBBEFBgcSIRMXIjFBUVNhcYGj0RQyUlRydIKRkpOhsbPSFSMkNUKiwcLTQ2KyNERjgzPD8CX/xAAaAQEAAgMBAAAAAAAAAAAAAAAABAUBAwYC/8QAMxEAAgECAQgJBQEBAQEAAAAAAAECAxEEBRIVITFRUnETFDNBYYGhwfAjMpGx0SJC4WL/2gAMAwEAAhEDEQA/ALxQEXw5jrBA4xxtMsg0ODSGsad4u3+QFTKODnUV3qRCrY2FN2WtkedlDn3IYQOPPP6qUsnw3si6Rnwo41wqjgoOk61nR9PexpGfChrhVHBQdJ1po+nvY0jPhQ1wqjgoOk600fT3saRnwoa4VRwUHSdaaPp72NIz4UNcKo4KDpOtNH097GkZ8KGuFUcFB0nWmj6e9jSM+FDXCqOCg6TrTR9PexpGfChrhVHBQdJ1po+nvY0jPhQ1wqjgoOk600fT3saRnwoa4VRwUHSdaaPp72NIz4UNcKo4KDpOtNH097GkZ8KGuFUcFB0nWmj6e9jSM+FDXCqOCg6TrTR9PexpGfChrhVHBQdJ1po+nvY0jPhQ1wqjgoOk600fT3saRnwoa4VRwUHSdaaPp72NIz4UNcKo4KDpOtNH097GkZ8KGuFUcFB0nWmj6e9jSM+FDXCqOCg6TrTR9PexpGfChrhVHBQdJ1po+nvY0jPhQ1wqjgoOk600fT3saRnwoa4VRwUHSdaaPp72NIz4UNcKo4KDpOtNH097GkZ8KGuFUcFB0nWmj6e9jSM+FDXCqOCg6TrTR9PexpGfChrhVHBQdJ1po+nvY0jPhQ1wqjgoOk600fT3saRnwoa4VRwUHSdaaPp72NIz4UNcKo4KDpOtNH097GkZ8KGuHUcDB0nWmj6e9jSM+FGQwblDaSBUQ5oP4oyXAcrTp8xK1Tye0rwf5NlPKKbtONuRNKWpZIxskbg5jtLS03BVdKLi7NayxjJSV09R6SPDQXOIAaCSSbAAbZJ3lg9ELqsc3vIdTikigdfUpq+bUdWsbF0UY2Rbf8RU6OES+67feoq9ubIjxDeyyW9u1+R9mDcaXh8TKyOJrKg5lPUU0mrUsj9xhda7HHcvtrXPDqzcG9W1NWaPca7ulJbe9a0SjOUUkEXx/wANGCBsUZtLPcXG21gtnEcZuBzneUzBUVUnd7EQsbXdOGatrKturopBdALoBdALoBdALoBdALoBdALoBdALoBdALoBdALoBdALoBdALoBdALoBdALoBdALoBdALoBdALoBdALoCT4hYbMNQ2Bx+qnObbca89q4b19o8o3lCxtFThnrav0TcFXcJ5j2P9kxyhvIwZU2JAIY15G2I3SNEh9ElV+DS6aN/j7izxV+idvm8xWMdM/6Qoo6SGmkzaWYMZPfUQwOjAtYHSNFltoyXRSc21rWzb3niqn0kVFJ6nt8jD4PgZ9CYVMtmv1aofKwAMjhnZm5rYrHaBDbHjst82+s07bLLzXiaYJdBO+27/Jm/pDCHcu8yj5lLeSLy3mFynyHs2Nu4IGEc75L/AOIUvJ6+k34+yK7KL+ql4e7IhdT7EEXSwF0sBdLAXSwF0sBdLAXSwF0sBdLAXSwF0sBdLAXSwF0sBdLAXSwF0sBdLAXSwF0sBdLAXSwF0sBdLAXSwF0sBdLAXSwF0sBdLAXSwF0sD0ppCJGOG21zSOUEFeZK6aMxdpJl61VO2SN8UjQ5kjSx7TtFpFiFzcZOLujpmk1ZkQgwVWUkjDHDHWMgY6Gme6YwVMcTiDqbwdg8DNaAdvQpjqUqqd3m31vVdN7/AAIyhUpvUr22a7M4osWZZpS6piip6Z0vZUlPFI+Z08246Z52IboBzWix3VmWIjBWg7u1rvVZeBiNFyd5Kyve29+JNbKDYllWZUP9czxeP4kqucn9k+b/AEikyj23kv2yIXU4gi6AXQC6AXQC6AXQC6AXQC6AXQC6AXQC6AXQC6AXQC6AXQC6AXQC6AXQC6AXQC6AXQC6AXQC6AXQC6AXQHeI7JvKPej2GY7UbALmDqAgCAICqcqR+3s8Xj+JKrrJ3ZPn7IpMo9t5L9siF1OIIugF0AugF0BwXcaWMXGeN8LNmLoZ43wlmLoArAuc3QyLoDjO40MXGdxoLnN0Mi6AXQHGdxoYuM7jQXGdxoLnN0MnGchi4zuNBcZ3GguM7jQXGdxoLjO40FxdDJzdALoBdALoBdALoDtEdk3lHvWHsMx2o2DXMHUBAEAQFT5VD9vZ4vH8SVXWTuyfP2RSZR7Zcl+2Q+6nEAXQC6AXQC6AuXEihYMHU2dGwlzS8ktBOycXD2EKhxc300tZ0GEiuhjq7jOdhx8HH6LepR86W8kZq3DsOPg4/Rb1JnS3jNW4qHKFIDhGVrQAI2xssAAO1DjteH7Fd4JPoU333KPHNOs0u6xHLqWQyUZPsCdk1WqSNBhp7PeCLhzz2jePdJ5BvqHja3RwstrJuBo9JUu9i/Zaf0TT97werj6lTdLPif5Lro4bkPomn73g9XH1J0s+J/kdHDciqcodK2KvcGNa1ro43gNAa3aLToHG1XWBk5Udb72UmOio1tS7kRq6lkM5aCSGtF3OIa0bpJ0AedNmtjW9SLywbgCCOGKIwwuMbGsc50bC5xAALiSNsnSudnXnKTld6zpKdCEYqNth9H0TT97werj6l46WfE/ye+jhuQOCafveD1cfUnSz4n+R0cNyKar7Vde5sLWtbPKIogwBoDbhodYcQzvOr+H0qN5dyOfn9ataPe7fP2XHFgamDQ0U8NmgAXjYTo3zZULqzf8A0y/VKC7kdvomn73g9XH1LHSz4n+TPRw3IfRNP3vB6uPqTpZ8T/I6OG5D6Jp+94PVx9SdLPif5HRw3IfRNP3vB6uPqTpZ8T/I6OG5D6Jp+94PVx9SdLPif5HRw3I8p8X6R/bUtOf+tgPnAXpV6q2Sf5PMqFKW2K/BgMKZPKWQEwF8L9yxMkd+NrjfzEKTTx9SP3ayLUyfSl9ur5uK+w/i/PRutM0FhNmSMuY3cV9w8R9qtKOIhVX+fwVdbDzov/WzeYm63GgXQC6AXQHaI7JvK33rD2HqO1Gwy5g6gIAgCAqXKsft8fi8fxJVdZO7J8/ZFHlLtVy92Q26nkAXQC6AXQAuWQ2X7gCHMpKZncwxA8uYLrma0s6pJ+LOnoxzacV4I+9azYCgKGxmqdUrqp+/LIByNOaPY0LpMPHNpRXgc1iJZ1WT8f8AwxrASQALkkBoG2SdAAW16tZpV3qReeKmBhSUscOjPOzmI3ZHbfm0AcQC53EVulqOX45HSYaiqVNR/PMzC0G8ICq8rMdqqB/dxFvovPzK5ya702vEpspq04vwIPdWBWkjxAoNWwhFcbGG87vJ7T8xb5lFxtTMovx1EvBU8+svDWXSqA6AIDA474S7HoZng2e8ajHv5z9FxyC55lIwtPpKqXmRsXU6Oi35fkgmSzB2qVbpiNjTM2Phvu0flD/YrLKFTNp5u8rcnU86o5bvctlUpdhAEAQBAEAQBAeFZSMljdFK0OY8Wc07R/8At9eoycXdbTzKKkrSWopPGvAbqOpMWkxu2cLj+Ju8f7htHmO6ugw1dVoZ3f3nPYmg6M83u7jDXW8ji6AXQHeE7JvhN96w9jMx2o2JXLnVBAEAQFR5Wf8AXx+Lx/ElV3k3snz9kUWU+1XL3ZC7qeV4ugF0AugOdvRv6EBNRlBr2gDUIQALC8Uw0Dy1X9QoP/p/lFl1/EL/AJX4Z1OUqt3Y6bnjl+dZ0dR3s86Srbl+Gddc2s7il9CT+RZ0bS8fnkY0nW3L1/pD5JCSXHbcS48pNypyVlYgt3d2fTgvCBgmZOxrHPjOc0SAlt9wkAjSNteKkFUi4vv3HqnVdOSku7eSkZTazg6X0Jf5FD0bS3v55E3SdXcvX+nOubWcHSehN/ImjaW9/PIaTrbl+H/Rrm1nBUnoTfyJo2lvfzyGk625fh/0wmMeMstaYzOyJpizg3U2vbfOte+c49yFIoYaNG+a3r3keviZ1rZyWrcYW63kczOLmMktEZHQshc6UNDjK17iA2+gZrhbb9gWivho1rZzercSKGJlRvmpa95nNc2s4Ok9Cb+RR9G0t7+eRI0nW3L1/o1zazg6T0Jv5E0bS3v55DSdbcvX+mHxixsnrWsZMImtjJeBE17bki1znOO0L+crdQwsKLbjfXvNFfFzrJKVtW474vY3T0Ubo4I4CHuz3GRsjnE2AtcPAto3t0pXwkKzvJv55GaGMnRjmxS+eZldc2s4Ok9Cb+RadG0t7+eRu0nW3L1/o1zazg6T0Jv5E0bS3v55DSdbcvX+jXNrODpPQm/kTRtLe/nkNJ1ty9f6Nc2s4Ok9Cb+RNG0t7+eQ0nW3L1/oGU6s3YqX0Jh/7FjRtLe/nkZ0nV3L1/pIMA5SIpXCOqj1Eu0B4dnRX/u0XZ7RvkKNWyfKKvB3/ZKo5RhN2mrfonQKriyOUAQEQyn4OElCZQNnTOEg381xDXjk0g+Sp2AqZtXN3/EQcoU86lnbvjKeurwoBdALoDvCdk3wm+8LD2M9R2rmbGrljqwgCAICocrZ+3x+Lx/ElV3k3sXz9kUWU+1XL3ZCs5WBXXGcguM5BcZyC5kMXY8+tpGd1PDfkzxf2LVXdqUn4M3YdZ1WK8UbBBcydQcFoO2AgMNje5sdBVvzW3ETwDYbbhmj2lb8MnKrFeJoxLzaUn4FF08TnvbGwXe8hjANskmwC6NtRV3sOZinJqK2l5YGxWpoaeOF8EMjmtGe98bHOc46XG5F7XJtxLnauJqTm5JteZ0tLDU4QUbJn0Oxbozt0lN6qPqXnrFXif5PTw9J7YL8Hk7FOhP+zg5mAe5ZWKrL/tmOq0eBfg8nYl0B/wBrHzF49xXrrlbiZ5eDoP8A4REcouLNNTUrJqaEMdqrWuIc83aWu0WJ3wFNwOJqVKmbN31EHH4anTp50I21lcjToA0nQFalRtLdpMnFJqUeqiXVc1uqFryBnW2VhuaVRyyhVzna1i+jk6jmq618zs7JpRbjqgeW39WppGt4GdG0fH8njJkxpLX1aoAGk7KK3tavSylV3L55nl5Mo72VnSUgmqWwQ5xbLLqcZdbOzS6wc7jtpKtpTzIZ0u5FNGGfUzI979Cw3ZLI9yqk52MP6qr0nLhRbaLhxM8n5KxuVh54h8y9aT/+PU86LXH6Hk7JW/crG88JH71nSa4PX/w86LfH6f8Ap8GFsnckEMs7qqIsiaXnYPBNtwadsnRzrbTygpyUVHaa6mTnCLk57PAhF1YFbcZyC4uguXFkvwo6aiMbyS6mdqYJ28wgFnm0jmVFlCkoVbrvL/J9VzpWfdqJioJPCAxWNTAaCsB4CY+ZhIW7Du1WPNGnEK9KXJlA5y6U5a4zkM3Gcgud4Ds2+E33hYexmYfcjZBcqdaEAQBAU/ld+8I/F4/iSq8yb2T5+yKHKnarl7shN1YFaLoBdALoCRZPY87ClKN4vcfJjeR7QFFxrtQl87yZgFevHz/Rei506QICI5UqjNwa9vCvjZ7c4/4Kbk+N6y8LkLKErUH4kYyUYDz5XVsg2MN2Q33XkbJ3MDbldxKXlGvZdGu/byIWTKF26j8i1VTl0EBjcB4WbUtlfH2kcr4Wnusy2y5CSeay21aTptJ96ua6dRVE2t9jJLUbCK5TYs7Bkx7h0T/ztH6qZgHauvMh49XoS+d5WWImDtXwhAwi7WHVn8jNI87s0c6tsZUzKLe/UU2Cp59ZeGsvdc6dKEBGsoWE9QwfMQbPm+oZ5d863khxUrBU8+svDWRMbV6Oi3v1EFyT4O1SsfORsaZmjw33aPyh6scpVLU1HeVuTKWdUc9xb6pC9CAICB5W8J5lLHTA7KofnO8COx/yLfMVY5Np3qOe4rcp1M2nm7ypbq7KEXQC6AtTI7CRBUybjpGNHktuf8wqbKb/ANxXgXmS19NvxLCVYWgQGCx4qdTwbVuP4ozGOWSzB/kpGEjnVorxI+Llm0ZN7ihrrpDlxdALoDvAdmzwm+9YlsZ7h9yNk1yh1oQBAEBT2V37wj8Xj+JKrzJvZPn7IocqdquXuyEqwK0IAgCAmeSaLOwiTwcMjvzMb+4qBlF2o+ZZZMV6r5FyKiL4ICA5VWPlFFSRC8k8ri0cgDbniGeSeRWOT2o583sSK3KKc1GmtrZMMC4NZTU8VPH2sTQ2+647bnHjJuedQqtR1JuT7ydSpqnBRXcfctZsIxlBw52LRPzDaae8MW+LjZv5hfnIUvBUelqq+xa2RMbW6Kk2tr1Iw2R2X7LUM7mUO9JjR+0rflNfUT8CPkt/Ta8SwFWlmYXHSLOwdWD/AInu9EZ36LfhXatHmaMSr0ZcmRHI9g6zKiqI7YiBnI3ZP5iS30VNynU1xh5kDJdO0XPyLIVWWwQFTZXcKZ9RFStOiFue/ez37V+RoHpK5ybTtBzfeUmVKt5KG7WSvJjg3UcHseRsqhxmPg7TOawB8pQ8fUz61t2onYCnmUV46yXKETQgBQFH5RsJ6vhGUA3ZBaBu9dt8/wDMXDmC6DA08yivHWc7lCrn1mt2ojCmEEIDljC4hrQS5xDWgaSSdAAG+sNpa2ZSbdkX9ilgjsSjhgPbgZ0tu7dpd5trmXN4ir0tRyOow9LoqaiZhaDeEBXWWDClooKRp2UjtWk8FuhoPEXEnyFZ5Mp3k57tXz53lXlOraChvKtVyUYQBAd4O3Z4TfesS2M9w+5Gyi5Q60IAgCAp3K+f/wBCPxeP4kqvMm9k+fsiiyp2q5e7IRdWBWi6AXQC6AsXI1Feark7lkbPSc4/sVXlR/5ii2yUtcnyLUVOXIQGMkwYH1ral4B1GIxwjec8kyO5bBo5ytqqWp5i73rNbgnPOfcjJrUbAgKMyg4c7KrX5pvDBeGLeNjs3859gauhwVHo6avtes53HVukqWWxaiR5GZtlWR8UTx53g+8KJlRfa+ZLyU/uXItBVJbny4Vhz6eaM/jjkZ52kfqvUHaSfieZq8Wj4cUMG9j0NPCRZwYHSeG/ZP8Aa4jmWzEVOkqyka8PT6OmomYWk3HSWQNaXONg0FxO4ANJKJX1Buxr/O99fhAkXzquazd0ta51m+i23mXSq1CjyRzMr16/Nl/00LWMbGwWawBjQNwNFgPMFzbbk7s6VJJWR6LBkID4cOYQFPTTVDv6THOAO678LeckDnWylDPmorvPFWahByfca6vkLiXOJLnEucTtknSSV06VlZHKSd3dnF1kwLoLFo5OsTHMc2tq22eNNPG7bbf+o8d1vDc29u1qfG4xS+nB6u9+xdYHB5v1JrX3IshVZahAedTO2NjpHkNYwF7ydoAC5JWYpydkYbSV2a/Yy4YdV1UtQbgONowfwsGho82k8ZK6WhSVKmonMYmt0tRy+WMXdbjQLoBdAelOdmzwm+9YlsZ6h9yNlVyh1oQBAEBTuV/7wj8Xj+JMrzJvZPn7Io8p9quXuyD3VgVougF0AugLWyNQ/Z6qTupWs9Fl/wB6pspv/cV4F3kuP02/EsRVhZhAEAQEZygYd7FonlptNN9TFvgkbJ3ML89lKwdHpalnsW0i4yt0VNtbXqRRa6I5snWSCe1bKzu4XH0Xs6yq7Ka+mn4lnkuX1GvAuBUhdhAEAQEUyl4U1DB8gB2dQRA3kdcv/KHecKZgaefWXhrImNq5lF73qITkkwbqlY+oI2NMzR4cl2j8uf7FPyjUzaajvK7JlK83N9xcKpC8CAICFZUmzyUsdPTwyyao/Ol1Njn2azSAbb7iD5KnYBwjUcptK2wg49TlTzYJu5WkWKde7ao5/Kbmf5K2eKor/tFQsHWf/JlsG5OK6QjVGxwt3TI4Odbiay/tIWmeUKMdms3U8nVZfdqLAxaxFpqQiQ3lnG0+QCzT/YzaHLpPGqyvjalXVsRZ0MFTpa9r3kqUQmBAEBVWU/GwPJoad12NP2lw2nOH9MHeB2+PRuFXGAwtvqSXL+lPlDFX+nF8/wCFdXVoVIugF0AugO9Odmzwm+9YlsZ6p/cjZdcodYEAQBAU5lg+8I/Fo/iTK8yb2T5+yKPKfarl7sgysCtCAIAhkujJNBm4NDuElkf5rM/YqHKDvW8i/wAnxtRRNFBJwQBAcFAUblFw52VWuDDeKnvDHvEg7N3ORbkaF0GCo9HTu9r1nPY6t0lSy2IiymEIleTCbNwpCOEbKz8hd+1Qser0H5E7J8rVkt5eKoDoAgCAICnsrmFNUq46cHY0zLu8OSxN+RoZ5yrvJtO1Nzff+ikylUvNQXcTPJfgzUcHseRs6lxnPgnQz8oB8pQcfUz6zW7UT8DTzKK8dZLlCJgQBAEAQBAEAQBAVtj/AI+BodSUT9mbtmladDN9kZ7rfdubmnatMHgr/wC6i5Iq8Zjc3/FN6+9/O8qxXBTBDAQBAEB6U/bs8JvvXmWxnuH3I2YXKnVhAEAQFN5YPvCPxaP4kyvMm9k+fsikyn2q5f0g6sCtCAIAgL6yew5mC6Qb7XSem9zv1XOYx3rSOlwkc2jFEiUYkBAEBGsoGHexKJ7mm0031MO+C4bJ3M255bb6lYOj0tVJ7FrZGxdboqba29xQ66I5s5QGbxImzMJUbv8AlDfSBb+5R8Wr0ZciVg3atE2BXNnRhAEB51M7Y2PkebMY1z3HeDRcnzBZSbdkYbSV2a9bOurt3Pq5uXNz3e5o9gXS6qNLkjm9detzZsLTwhjGxtFmsAY0bwAsAuabbd2dIlZWPRYMhAEAQBAEAQGPwxhqClZqlRK1g3AdL3cTWjS7mWynSnUdoq5rqVYU1eTsVRjblBlqc6GmDooDoJv9bIP7iO1HEPPuK4w+BjT/ANT1v0KfE4+U/wDMNS9SFKwK4IAgCAIAgO9P27PCb71iWxnuH3I2ZXKHVBAEAQFNZYfvCPxaP4kyvMm9k+fsikyl2i5f0gysCuCAIAgLlwFj1g6Glp4XVDs6KKON31U50taAdpu+FRVcHXnOUlHa33ovqWLoxgo52xbj7tcXBvfDvU1Hyrx1Cvw+qNnXaHF6Ma4uDe+HepqPlTqFfh9UOu0OL0Y1xcG98O9TUfKnUK/D6ox12hxejKzygYxCtqs6Ik08LcyG4Lb3sXvsdIubDkaFa4PDujDXte0qsZXVWerYiMKWQwgPqwVUiOoglOgRSxSHd0NeCfcvFSOdBx3pmylJRmpPuZdOuLg3vh3qaj5VRdQr8Pqi967Q4vRjXFwb3w71NR8qdQr8PqjPXaHF6Ma4uDe+HepqPlTqFfh9UOu0OL0Zgcd8e6WailgpJXOkmzWHYSssy93m7gBpAt5SkYXBVI1VKa1Ij4rGU5U3GD1sh+T+vpqes7Iq35rY2O1KzHvu92x/CDazS7zqbjIVKlPNgtpBwU6cKmdNlna4uDe+HepqPlVV1Cvw+qLbrtDi9GNcXBvfDvU1Hyp1Cvw+qHXaHF6Ma4uDe+HepqPlTqFfh9UOu0OL0Y1xcG98O9TUfKnUK/D6oddocXoxri4N74d6mo+VOoV+H1Q67Q4vRnByjYN4dx/6Z/lTqFfh9UY69Q4jH1mVOkb/AOKOeQ7mhsbfOTf2LZHJtV7Wka5ZRpLZdkVwtlOq5QWwNjgad0fWyek4W/KplPJ1OP3O/p8/JDqZRqS+1W9SGVVS+R5kle973bbnuLnHnKnRioqyViBKcpO8nc8l6PIQBAEAQBAEB6U/bs8JvvWJbGeofcjZpcodUEAQBAU1lj+8YvFo/iTK8yb2T5+yKXKXaLl/SCqwK4IAgCAIAgCAIAgCAIAgCAIAgCAIAgCAIAgCAIAgCAIAgCAIAgCAIAgPSn7dnhN94XmWxnqH3I2bXKnUhAEAQFM5Y/vGLxaP4kyvMm9k+fsilyl2i5f0gt1YFeLoBdALoBdALoBdALoBdALoBdALoBdALoBdALoBdALoBdALoBdALoBdALoBdALoBdALoBdALoBdALoBdAelOdmzwm+8LzLYz1D7kbOLlTqAgCAICmssjT9IROtoNOwDmklv7wrvJj+k+fsimyj2i5EDViVwQBAEAQBAEAQBAEAQBAEAQBAEAQBAEAQBAEAQBAEAQBAEAQBAEAQBAe1GwuljaNtz2NHKXABeZu0We6f3LmbNrlTpwgCAICDZVcX3VFM2oiaTLS5xLRtujdbOtvkWB5LqfgK6pzzXsf7IOOoucLraillelIEMBAEAQBAEAQBAEAQBAEAQBAEAQBAEAQBAEAQBAEAQBAEAQBAEAQBATLJji+6orGzuadQpXCRxO06QaWMG+b2ceIcYUHHV1Tp5q2v9E7A0XOec9iLvCoS8OUAQBAcFAQPG3J3TzZ9RC4wSaXvDWh8Tjtk5lxmk8RtxKww+OnC0Za0Qa+ChP/S1Mp+qhzHuZe+aSL7V1dRldXKacc2TR5L0eAgCAIAgCAIAgCAIAgCAIAgCAIAgCAIAgCAIAgCAIAgCAIAgCAnmJGIcdWwTzTPEYteNjQHHizydA0b3mVdisa6bzYossNg4zSlJlu4OoIoImwwMDI2aGtbtcZO+Tuk6Sqac5TlnSd2W0YKKtFaj6V5PQQBAEB//2Q=="/>
        <xdr:cNvSpPr>
          <a:spLocks noChangeAspect="1" noChangeArrowheads="1"/>
        </xdr:cNvSpPr>
      </xdr:nvSpPr>
      <xdr:spPr bwMode="auto">
        <a:xfrm>
          <a:off x="236220" y="1584960"/>
          <a:ext cx="304800" cy="3007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304800</xdr:colOff>
      <xdr:row>8</xdr:row>
      <xdr:rowOff>118396</xdr:rowOff>
    </xdr:to>
    <xdr:sp macro="" textlink="">
      <xdr:nvSpPr>
        <xdr:cNvPr id="5" name="AutoShape 2" descr="Image result for western digital"/>
        <xdr:cNvSpPr>
          <a:spLocks noChangeAspect="1" noChangeArrowheads="1"/>
        </xdr:cNvSpPr>
      </xdr:nvSpPr>
      <xdr:spPr bwMode="auto">
        <a:xfrm>
          <a:off x="236220" y="1965960"/>
          <a:ext cx="304800" cy="3007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304800</xdr:colOff>
      <xdr:row>8</xdr:row>
      <xdr:rowOff>118396</xdr:rowOff>
    </xdr:to>
    <xdr:sp macro="" textlink="">
      <xdr:nvSpPr>
        <xdr:cNvPr id="6" name="AutoShape 3" descr="Image result for western digital"/>
        <xdr:cNvSpPr>
          <a:spLocks noChangeAspect="1" noChangeArrowheads="1"/>
        </xdr:cNvSpPr>
      </xdr:nvSpPr>
      <xdr:spPr bwMode="auto">
        <a:xfrm>
          <a:off x="236220" y="1965960"/>
          <a:ext cx="304800" cy="3007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304800</xdr:colOff>
      <xdr:row>8</xdr:row>
      <xdr:rowOff>118396</xdr:rowOff>
    </xdr:to>
    <xdr:sp macro="" textlink="">
      <xdr:nvSpPr>
        <xdr:cNvPr id="7" name="AutoShape 4" descr="data:image/jpeg;base64,/9j/4AAQSkZJRgABAQAAAQABAAD/2wCEAAkGBxISDxAPDxAQFRAPFRIPDxURFBAQEBQVFhYWFxQUFBYYHjQgGBolHRQWITEhJSkrLi4uFx8zODMsNygtLisBCgoKDg0OGxAQFywkICQvMDAvLCwtNywsLCwvLSwtLCwsLCw0LCwsLCwsLSwsLCwsLCwsLCwsLCwsLCwsLCwsLP/AABEIAKUBMQMBEQACEQEDEQH/xAAcAAEAAgIDAQAAAAAAAAAAAAAABgcFCAECAwT/xABMEAABAwIABQwOCQMEAwEAAAABAAIDBBEFBgcSIRMXIjFBUVNhcYGj0RQyUlRydIKRkpOhsbPSFSMkNUKiwcLTQ2KyNERjgzPD8CX/xAAaAQEAAgMBAAAAAAAAAAAAAAAABAUBAwYC/8QAMxEAAgECAQgJBQEBAQEAAAAAAAECAxEEBRIVITFRUnETFDNBYYGhwfAjMpGx0SJC4WL/2gAMAwEAAhEDEQA/ALxQEXw5jrBA4xxtMsg0ODSGsad4u3+QFTKODnUV3qRCrY2FN2WtkedlDn3IYQOPPP6qUsnw3si6Rnwo41wqjgoOk61nR9PexpGfChrhVHBQdJ1po+nvY0jPhQ1wqjgoOk600fT3saRnwoa4VRwUHSdaaPp72NIz4UNcKo4KDpOtNH097GkZ8KGuFUcFB0nWmj6e9jSM+FDXCqOCg6TrTR9PexpGfChrhVHBQdJ1po+nvY0jPhQ1wqjgoOk600fT3saRnwoa4VRwUHSdaaPp72NIz4UNcKo4KDpOtNH097GkZ8KGuFUcFB0nWmj6e9jSM+FDXCqOCg6TrTR9PexpGfChrhVHBQdJ1po+nvY0jPhQ1wqjgoOk600fT3saRnwoa4VRwUHSdaaPp72NIz4UNcKo4KDpOtNH097GkZ8KGuFUcFB0nWmj6e9jSM+FDXCqOCg6TrTR9PexpGfChrhVHBQdJ1po+nvY0jPhQ1wqjgoOk600fT3saRnwoa4VRwUHSdaaPp72NIz4UNcKo4KDpOtNH097GkZ8KGuFUcFB0nWmj6e9jSM+FDXCqOCg6TrTR9PexpGfChrhVHBQdJ1po+nvY0jPhQ1wqjgoOk600fT3saRnwoa4VRwUHSdaaPp72NIz4UNcKo4KDpOtNH097GkZ8KGuHUcDB0nWmj6e9jSM+FGQwblDaSBUQ5oP4oyXAcrTp8xK1Tye0rwf5NlPKKbtONuRNKWpZIxskbg5jtLS03BVdKLi7NayxjJSV09R6SPDQXOIAaCSSbAAbZJ3lg9ELqsc3vIdTikigdfUpq+bUdWsbF0UY2Rbf8RU6OES+67feoq9ubIjxDeyyW9u1+R9mDcaXh8TKyOJrKg5lPUU0mrUsj9xhda7HHcvtrXPDqzcG9W1NWaPca7ulJbe9a0SjOUUkEXx/wANGCBsUZtLPcXG21gtnEcZuBzneUzBUVUnd7EQsbXdOGatrKturopBdALoBdALoBdALoBdALoBdALoBdALoBdALoBdALoBdALoBdALoBdALoBdALoBdALoBdALoBdALoBdALoCT4hYbMNQ2Bx+qnObbca89q4b19o8o3lCxtFThnrav0TcFXcJ5j2P9kxyhvIwZU2JAIY15G2I3SNEh9ElV+DS6aN/j7izxV+idvm8xWMdM/6Qoo6SGmkzaWYMZPfUQwOjAtYHSNFltoyXRSc21rWzb3niqn0kVFJ6nt8jD4PgZ9CYVMtmv1aofKwAMjhnZm5rYrHaBDbHjst82+s07bLLzXiaYJdBO+27/Jm/pDCHcu8yj5lLeSLy3mFynyHs2Nu4IGEc75L/AOIUvJ6+k34+yK7KL+ql4e7IhdT7EEXSwF0sBdLAXSwF0sBdLAXSwF0sBdLAXSwF0sBdLAXSwF0sBdLAXSwF0sBdLAXSwF0sBdLAXSwF0sBdLAXSwF0sBdLAXSwF0sBdLAXSwF0sD0ppCJGOG21zSOUEFeZK6aMxdpJl61VO2SN8UjQ5kjSx7TtFpFiFzcZOLujpmk1ZkQgwVWUkjDHDHWMgY6Gme6YwVMcTiDqbwdg8DNaAdvQpjqUqqd3m31vVdN7/AAIyhUpvUr22a7M4osWZZpS6piip6Z0vZUlPFI+Z08246Z52IboBzWix3VmWIjBWg7u1rvVZeBiNFyd5Kyve29+JNbKDYllWZUP9czxeP4kqucn9k+b/AEikyj23kv2yIXU4gi6AXQC6AXQC6AXQC6AXQC6AXQC6AXQC6AXQC6AXQC6AXQC6AXQC6AXQC6AXQC6AXQC6AXQC6AXQC6AXQHeI7JvKPej2GY7UbALmDqAgCAICqcqR+3s8Xj+JKrrJ3ZPn7IpMo9t5L9siF1OIIugF0AugF0BwXcaWMXGeN8LNmLoZ43wlmLoArAuc3QyLoDjO40MXGdxoLnN0Mi6AXQHGdxoYuM7jQXGdxoLnN0MnGchi4zuNBcZ3GguM7jQXGdxoLjO40FxdDJzdALoBdALoBdALoDtEdk3lHvWHsMx2o2DXMHUBAEAQFT5VD9vZ4vH8SVXWTuyfP2RSZR7Zcl+2Q+6nEAXQC6AXQC6AuXEihYMHU2dGwlzS8ktBOycXD2EKhxc300tZ0GEiuhjq7jOdhx8HH6LepR86W8kZq3DsOPg4/Rb1JnS3jNW4qHKFIDhGVrQAI2xssAAO1DjteH7Fd4JPoU333KPHNOs0u6xHLqWQyUZPsCdk1WqSNBhp7PeCLhzz2jePdJ5BvqHja3RwstrJuBo9JUu9i/Zaf0TT97werj6lTdLPif5Lro4bkPomn73g9XH1J0s+J/kdHDciqcodK2KvcGNa1ro43gNAa3aLToHG1XWBk5Udb72UmOio1tS7kRq6lkM5aCSGtF3OIa0bpJ0AedNmtjW9SLywbgCCOGKIwwuMbGsc50bC5xAALiSNsnSudnXnKTld6zpKdCEYqNth9H0TT97werj6l46WfE/ye+jhuQOCafveD1cfUnSz4n+R0cNyKar7Vde5sLWtbPKIogwBoDbhodYcQzvOr+H0qN5dyOfn9ataPe7fP2XHFgamDQ0U8NmgAXjYTo3zZULqzf8A0y/VKC7kdvomn73g9XH1LHSz4n+TPRw3IfRNP3vB6uPqTpZ8T/I6OG5D6Jp+94PVx9SdLPif5HRw3IfRNP3vB6uPqTpZ8T/I6OG5D6Jp+94PVx9SdLPif5HRw3I8p8X6R/bUtOf+tgPnAXpV6q2Sf5PMqFKW2K/BgMKZPKWQEwF8L9yxMkd+NrjfzEKTTx9SP3ayLUyfSl9ur5uK+w/i/PRutM0FhNmSMuY3cV9w8R9qtKOIhVX+fwVdbDzov/WzeYm63GgXQC6AXQHaI7JvK33rD2HqO1Gwy5g6gIAgCAqXKsft8fi8fxJVdZO7J8/ZFHlLtVy92Q26nkAXQC6AXQAuWQ2X7gCHMpKZncwxA8uYLrma0s6pJ+LOnoxzacV4I+9azYCgKGxmqdUrqp+/LIByNOaPY0LpMPHNpRXgc1iJZ1WT8f8AwxrASQALkkBoG2SdAAW16tZpV3qReeKmBhSUscOjPOzmI3ZHbfm0AcQC53EVulqOX45HSYaiqVNR/PMzC0G8ICq8rMdqqB/dxFvovPzK5ya702vEpspq04vwIPdWBWkjxAoNWwhFcbGG87vJ7T8xb5lFxtTMovx1EvBU8+svDWXSqA6AIDA474S7HoZng2e8ajHv5z9FxyC55lIwtPpKqXmRsXU6Oi35fkgmSzB2qVbpiNjTM2Phvu0flD/YrLKFTNp5u8rcnU86o5bvctlUpdhAEAQBAEAQBAeFZSMljdFK0OY8Wc07R/8At9eoycXdbTzKKkrSWopPGvAbqOpMWkxu2cLj+Ju8f7htHmO6ugw1dVoZ3f3nPYmg6M83u7jDXW8ji6AXQHeE7JvhN96w9jMx2o2JXLnVBAEAQFR5Wf8AXx+Lx/ElV3k3snz9kUWU+1XL3ZC7qeV4ugF0AugOdvRv6EBNRlBr2gDUIQALC8Uw0Dy1X9QoP/p/lFl1/EL/AJX4Z1OUqt3Y6bnjl+dZ0dR3s86Srbl+Gddc2s7il9CT+RZ0bS8fnkY0nW3L1/pD5JCSXHbcS48pNypyVlYgt3d2fTgvCBgmZOxrHPjOc0SAlt9wkAjSNteKkFUi4vv3HqnVdOSku7eSkZTazg6X0Jf5FD0bS3v55E3SdXcvX+nOubWcHSehN/ImjaW9/PIaTrbl+H/Rrm1nBUnoTfyJo2lvfzyGk625fh/0wmMeMstaYzOyJpizg3U2vbfOte+c49yFIoYaNG+a3r3keviZ1rZyWrcYW63kczOLmMktEZHQshc6UNDjK17iA2+gZrhbb9gWivho1rZzercSKGJlRvmpa95nNc2s4Ok9Cb+RR9G0t7+eRI0nW3L1/o1zazg6T0Jv5E0bS3v55DSdbcvX+mHxixsnrWsZMImtjJeBE17bki1znOO0L+crdQwsKLbjfXvNFfFzrJKVtW474vY3T0Ubo4I4CHuz3GRsjnE2AtcPAto3t0pXwkKzvJv55GaGMnRjmxS+eZldc2s4Ok9Cb+RadG0t7+eRu0nW3L1/o1zazg6T0Jv5E0bS3v55DSdbcvX+jXNrODpPQm/kTRtLe/nkNJ1ty9f6Nc2s4Ok9Cb+RNG0t7+eQ0nW3L1/oGU6s3YqX0Jh/7FjRtLe/nkZ0nV3L1/pIMA5SIpXCOqj1Eu0B4dnRX/u0XZ7RvkKNWyfKKvB3/ZKo5RhN2mrfonQKriyOUAQEQyn4OElCZQNnTOEg381xDXjk0g+Sp2AqZtXN3/EQcoU86lnbvjKeurwoBdALoDvCdk3wm+8LD2M9R2rmbGrljqwgCAICocrZ+3x+Lx/ElV3k3sXz9kUWU+1XL3ZCs5WBXXGcguM5BcZyC5kMXY8+tpGd1PDfkzxf2LVXdqUn4M3YdZ1WK8UbBBcydQcFoO2AgMNje5sdBVvzW3ETwDYbbhmj2lb8MnKrFeJoxLzaUn4FF08TnvbGwXe8hjANskmwC6NtRV3sOZinJqK2l5YGxWpoaeOF8EMjmtGe98bHOc46XG5F7XJtxLnauJqTm5JteZ0tLDU4QUbJn0Oxbozt0lN6qPqXnrFXif5PTw9J7YL8Hk7FOhP+zg5mAe5ZWKrL/tmOq0eBfg8nYl0B/wBrHzF49xXrrlbiZ5eDoP8A4REcouLNNTUrJqaEMdqrWuIc83aWu0WJ3wFNwOJqVKmbN31EHH4anTp50I21lcjToA0nQFalRtLdpMnFJqUeqiXVc1uqFryBnW2VhuaVRyyhVzna1i+jk6jmq618zs7JpRbjqgeW39WppGt4GdG0fH8njJkxpLX1aoAGk7KK3tavSylV3L55nl5Mo72VnSUgmqWwQ5xbLLqcZdbOzS6wc7jtpKtpTzIZ0u5FNGGfUzI979Cw3ZLI9yqk52MP6qr0nLhRbaLhxM8n5KxuVh54h8y9aT/+PU86LXH6Hk7JW/crG88JH71nSa4PX/w86LfH6f8Ap8GFsnckEMs7qqIsiaXnYPBNtwadsnRzrbTygpyUVHaa6mTnCLk57PAhF1YFbcZyC4uguXFkvwo6aiMbyS6mdqYJ28wgFnm0jmVFlCkoVbrvL/J9VzpWfdqJioJPCAxWNTAaCsB4CY+ZhIW7Du1WPNGnEK9KXJlA5y6U5a4zkM3Gcgud4Ds2+E33hYexmYfcjZBcqdaEAQBAU/ld+8I/F4/iSq8yb2T5+yKHKnarl7shN1YFaLoBdALoCRZPY87ClKN4vcfJjeR7QFFxrtQl87yZgFevHz/Rei506QICI5UqjNwa9vCvjZ7c4/4Kbk+N6y8LkLKErUH4kYyUYDz5XVsg2MN2Q33XkbJ3MDbldxKXlGvZdGu/byIWTKF26j8i1VTl0EBjcB4WbUtlfH2kcr4Wnusy2y5CSeay21aTptJ96ua6dRVE2t9jJLUbCK5TYs7Bkx7h0T/ztH6qZgHauvMh49XoS+d5WWImDtXwhAwi7WHVn8jNI87s0c6tsZUzKLe/UU2Cp59ZeGsvdc6dKEBGsoWE9QwfMQbPm+oZ5d863khxUrBU8+svDWRMbV6Oi3v1EFyT4O1SsfORsaZmjw33aPyh6scpVLU1HeVuTKWdUc9xb6pC9CAICB5W8J5lLHTA7KofnO8COx/yLfMVY5Np3qOe4rcp1M2nm7ypbq7KEXQC6AtTI7CRBUybjpGNHktuf8wqbKb/ANxXgXmS19NvxLCVYWgQGCx4qdTwbVuP4ozGOWSzB/kpGEjnVorxI+Llm0ZN7ihrrpDlxdALoDvAdmzwm+9YlsZ7h9yNk1yh1oQBAEBT2V37wj8Xj+JKrzJvZPn7IocqdquXuyEqwK0IAgCAmeSaLOwiTwcMjvzMb+4qBlF2o+ZZZMV6r5FyKiL4ICA5VWPlFFSRC8k8ri0cgDbniGeSeRWOT2o583sSK3KKc1GmtrZMMC4NZTU8VPH2sTQ2+647bnHjJuedQqtR1JuT7ydSpqnBRXcfctZsIxlBw52LRPzDaae8MW+LjZv5hfnIUvBUelqq+xa2RMbW6Kk2tr1Iw2R2X7LUM7mUO9JjR+0rflNfUT8CPkt/Ta8SwFWlmYXHSLOwdWD/AInu9EZ36LfhXatHmaMSr0ZcmRHI9g6zKiqI7YiBnI3ZP5iS30VNynU1xh5kDJdO0XPyLIVWWwQFTZXcKZ9RFStOiFue/ez37V+RoHpK5ybTtBzfeUmVKt5KG7WSvJjg3UcHseRsqhxmPg7TOawB8pQ8fUz61t2onYCnmUV46yXKETQgBQFH5RsJ6vhGUA3ZBaBu9dt8/wDMXDmC6DA08yivHWc7lCrn1mt2ojCmEEIDljC4hrQS5xDWgaSSdAAG+sNpa2ZSbdkX9ilgjsSjhgPbgZ0tu7dpd5trmXN4ir0tRyOow9LoqaiZhaDeEBXWWDClooKRp2UjtWk8FuhoPEXEnyFZ5Mp3k57tXz53lXlOraChvKtVyUYQBAd4O3Z4TfesS2M9w+5Gyi5Q60IAgCAp3K+f/wBCPxeP4kqvMm9k+fsiiyp2q5e7IRdWBWi6AXQC6AsXI1Feark7lkbPSc4/sVXlR/5ii2yUtcnyLUVOXIQGMkwYH1ral4B1GIxwjec8kyO5bBo5ytqqWp5i73rNbgnPOfcjJrUbAgKMyg4c7KrX5pvDBeGLeNjs3859gauhwVHo6avtes53HVukqWWxaiR5GZtlWR8UTx53g+8KJlRfa+ZLyU/uXItBVJbny4Vhz6eaM/jjkZ52kfqvUHaSfieZq8Wj4cUMG9j0NPCRZwYHSeG/ZP8Aa4jmWzEVOkqyka8PT6OmomYWk3HSWQNaXONg0FxO4ANJKJX1Buxr/O99fhAkXzquazd0ta51m+i23mXSq1CjyRzMr16/Nl/00LWMbGwWawBjQNwNFgPMFzbbk7s6VJJWR6LBkID4cOYQFPTTVDv6THOAO678LeckDnWylDPmorvPFWahByfca6vkLiXOJLnEucTtknSSV06VlZHKSd3dnF1kwLoLFo5OsTHMc2tq22eNNPG7bbf+o8d1vDc29u1qfG4xS+nB6u9+xdYHB5v1JrX3IshVZahAedTO2NjpHkNYwF7ydoAC5JWYpydkYbSV2a/Yy4YdV1UtQbgONowfwsGho82k8ZK6WhSVKmonMYmt0tRy+WMXdbjQLoBdAelOdmzwm+9YlsZ6h9yNlVyh1oQBAEBTuV/7wj8Xj+JMrzJvZPn7Io8p9quXuyD3VgVougF0AugLWyNQ/Z6qTupWs9Fl/wB6pspv/cV4F3kuP02/EsRVhZhAEAQEZygYd7FonlptNN9TFvgkbJ3ML89lKwdHpalnsW0i4yt0VNtbXqRRa6I5snWSCe1bKzu4XH0Xs6yq7Ka+mn4lnkuX1GvAuBUhdhAEAQEUyl4U1DB8gB2dQRA3kdcv/KHecKZgaefWXhrImNq5lF73qITkkwbqlY+oI2NMzR4cl2j8uf7FPyjUzaajvK7JlK83N9xcKpC8CAICFZUmzyUsdPTwyyao/Ol1Njn2azSAbb7iD5KnYBwjUcptK2wg49TlTzYJu5WkWKde7ao5/Kbmf5K2eKor/tFQsHWf/JlsG5OK6QjVGxwt3TI4Odbiay/tIWmeUKMdms3U8nVZfdqLAxaxFpqQiQ3lnG0+QCzT/YzaHLpPGqyvjalXVsRZ0MFTpa9r3kqUQmBAEBVWU/GwPJoad12NP2lw2nOH9MHeB2+PRuFXGAwtvqSXL+lPlDFX+nF8/wCFdXVoVIugF0AugO9Odmzwm+9YlsZ6p/cjZdcodYEAQBAU5lg+8I/Fo/iTK8yb2T5+yKPKfarl7sgysCtCAIAhkujJNBm4NDuElkf5rM/YqHKDvW8i/wAnxtRRNFBJwQBAcFAUblFw52VWuDDeKnvDHvEg7N3ORbkaF0GCo9HTu9r1nPY6t0lSy2IiymEIleTCbNwpCOEbKz8hd+1Qser0H5E7J8rVkt5eKoDoAgCAICnsrmFNUq46cHY0zLu8OSxN+RoZ5yrvJtO1Nzff+ikylUvNQXcTPJfgzUcHseRs6lxnPgnQz8oB8pQcfUz6zW7UT8DTzKK8dZLlCJgQBAEAQBAEAQBAVtj/AI+BodSUT9mbtmladDN9kZ7rfdubmnatMHgr/wC6i5Iq8Zjc3/FN6+9/O8qxXBTBDAQBAEB6U/bs8JvvXmWxnuH3I2YXKnVhAEAQFN5YPvCPxaP4kyvMm9k+fsikyn2q5f0g6sCtCAIAgL6yew5mC6Qb7XSem9zv1XOYx3rSOlwkc2jFEiUYkBAEBGsoGHexKJ7mm0031MO+C4bJ3M255bb6lYOj0tVJ7FrZGxdboqba29xQ66I5s5QGbxImzMJUbv8AlDfSBb+5R8Wr0ZciVg3atE2BXNnRhAEB51M7Y2PkebMY1z3HeDRcnzBZSbdkYbSV2a9bOurt3Pq5uXNz3e5o9gXS6qNLkjm9detzZsLTwhjGxtFmsAY0bwAsAuabbd2dIlZWPRYMhAEAQBAEAQGPwxhqClZqlRK1g3AdL3cTWjS7mWynSnUdoq5rqVYU1eTsVRjblBlqc6GmDooDoJv9bIP7iO1HEPPuK4w+BjT/ANT1v0KfE4+U/wDMNS9SFKwK4IAgCAIAgO9P27PCb71iWxnuH3I2ZXKHVBAEAQFNZYfvCPxaP4kyvMm9k+fsikyl2i5f0gysCuCAIAgLlwFj1g6Glp4XVDs6KKON31U50taAdpu+FRVcHXnOUlHa33ovqWLoxgo52xbj7tcXBvfDvU1Hyrx1Cvw+qNnXaHF6Ma4uDe+HepqPlTqFfh9UOu0OL0Y1xcG98O9TUfKnUK/D6ox12hxejKzygYxCtqs6Ik08LcyG4Lb3sXvsdIubDkaFa4PDujDXte0qsZXVWerYiMKWQwgPqwVUiOoglOgRSxSHd0NeCfcvFSOdBx3pmylJRmpPuZdOuLg3vh3qaj5VRdQr8Pqi967Q4vRjXFwb3w71NR8qdQr8PqjPXaHF6Ma4uDe+HepqPlTqFfh9UOu0OL0Zgcd8e6WailgpJXOkmzWHYSssy93m7gBpAt5SkYXBVI1VKa1Ij4rGU5U3GD1sh+T+vpqes7Iq35rY2O1KzHvu92x/CDazS7zqbjIVKlPNgtpBwU6cKmdNlna4uDe+HepqPlVV1Cvw+qLbrtDi9GNcXBvfDvU1Hyp1Cvw+qHXaHF6Ma4uDe+HepqPlTqFfh9UOu0OL0Y1xcG98O9TUfKnUK/D6oddocXoxri4N74d6mo+VOoV+H1Q67Q4vRnByjYN4dx/6Z/lTqFfh9UY69Q4jH1mVOkb/AOKOeQ7mhsbfOTf2LZHJtV7Wka5ZRpLZdkVwtlOq5QWwNjgad0fWyek4W/KplPJ1OP3O/p8/JDqZRqS+1W9SGVVS+R5kle973bbnuLnHnKnRioqyViBKcpO8nc8l6PIQBAEAQBAEB6U/bs8JvvWJbGeofcjZpcodUEAQBAU1lj+8YvFo/iTK8yb2T5+yKXKXaLl/SCqwK4IAgCAIAgCAIAgCAIAgCAIAgCAIAgCAIAgCAIAgCAIAgCAIAgCAIAgPSn7dnhN94XmWxnqH3I2bXKnUhAEAQFM5Y/vGLxaP4kyvMm9k+fsilyl2i5f0gt1YFeLoBdALoBdALoBdALoBdALoBdALoBdALoBdALoBdALoBdALoBdALoBdALoBdALoBdALoBdALoBdALoBdAelOdmzwm+8LzLYz1D7kbOLlTqAgCAICmssjT9IROtoNOwDmklv7wrvJj+k+fsimyj2i5EDViVwQBAEAQBAEAQBAEAQBAEAQBAEAQBAEAQBAEAQBAEAQBAEAQBAEAQBAe1GwuljaNtz2NHKXABeZu0We6f3LmbNrlTpwgCAICDZVcX3VFM2oiaTLS5xLRtujdbOtvkWB5LqfgK6pzzXsf7IOOoucLraillelIEMBAEAQBAEAQBAEAQBAEAQBAEAQBAEAQBAEAQBAEAQBAEAQBAEAQBATLJji+6orGzuadQpXCRxO06QaWMG+b2ceIcYUHHV1Tp5q2v9E7A0XOec9iLvCoS8OUAQBAcFAQPG3J3TzZ9RC4wSaXvDWh8Tjtk5lxmk8RtxKww+OnC0Za0Qa+ChP/S1Mp+qhzHuZe+aSL7V1dRldXKacc2TR5L0eAgCAIAgCAIAgCAIAgCAIAgCAIAgCAIAgCAIAgCAIAgCAIAgCAnmJGIcdWwTzTPEYteNjQHHizydA0b3mVdisa6bzYossNg4zSlJlu4OoIoImwwMDI2aGtbtcZO+Tuk6Sqac5TlnSd2W0YKKtFaj6V5PQQBAEB//2Q=="/>
        <xdr:cNvSpPr>
          <a:spLocks noChangeAspect="1" noChangeArrowheads="1"/>
        </xdr:cNvSpPr>
      </xdr:nvSpPr>
      <xdr:spPr bwMode="auto">
        <a:xfrm>
          <a:off x="236220" y="1965960"/>
          <a:ext cx="304800" cy="3007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</xdr:row>
      <xdr:rowOff>27214</xdr:rowOff>
    </xdr:from>
    <xdr:to>
      <xdr:col>3</xdr:col>
      <xdr:colOff>730988</xdr:colOff>
      <xdr:row>2</xdr:row>
      <xdr:rowOff>27213</xdr:rowOff>
    </xdr:to>
    <xdr:pic>
      <xdr:nvPicPr>
        <xdr:cNvPr id="8" name="Picture 7" descr="File:Nvidia Logo Horizontal.sv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1321" y="258535"/>
          <a:ext cx="4853953" cy="9252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40821</xdr:colOff>
      <xdr:row>1</xdr:row>
      <xdr:rowOff>81644</xdr:rowOff>
    </xdr:from>
    <xdr:to>
      <xdr:col>5</xdr:col>
      <xdr:colOff>190499</xdr:colOff>
      <xdr:row>1</xdr:row>
      <xdr:rowOff>571884</xdr:rowOff>
    </xdr:to>
    <xdr:pic>
      <xdr:nvPicPr>
        <xdr:cNvPr id="4" name="Picture 3" descr="File:Nvidia Logo Horizontal.sv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2142" y="312965"/>
          <a:ext cx="2571750" cy="4902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1</xdr:row>
      <xdr:rowOff>47625</xdr:rowOff>
    </xdr:from>
    <xdr:to>
      <xdr:col>5</xdr:col>
      <xdr:colOff>552920</xdr:colOff>
      <xdr:row>1</xdr:row>
      <xdr:rowOff>514350</xdr:rowOff>
    </xdr:to>
    <xdr:pic>
      <xdr:nvPicPr>
        <xdr:cNvPr id="4" name="Picture 3" descr="File:Nvidia Logo Horizontal.sv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225" y="276225"/>
          <a:ext cx="2448395" cy="466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autoPageBreaks="0"/>
  </sheetPr>
  <dimension ref="A1:I14"/>
  <sheetViews>
    <sheetView showGridLines="0" zoomScaleNormal="100" zoomScalePageLayoutView="70" workbookViewId="0">
      <selection activeCell="G13" sqref="G13"/>
    </sheetView>
  </sheetViews>
  <sheetFormatPr defaultColWidth="8.6640625" defaultRowHeight="14.4"/>
  <cols>
    <col min="1" max="1" width="3.33203125" style="373" customWidth="1"/>
    <col min="2" max="2" width="14.6640625" customWidth="1"/>
    <col min="3" max="3" width="0.88671875" style="76" customWidth="1"/>
    <col min="4" max="4" width="1.109375" style="76" customWidth="1"/>
    <col min="5" max="5" width="10.6640625" bestFit="1" customWidth="1"/>
    <col min="6" max="6" width="24.44140625" customWidth="1"/>
    <col min="9" max="9" width="8.6640625" style="455"/>
  </cols>
  <sheetData>
    <row r="1" spans="1:9" s="380" customFormat="1" ht="18" customHeight="1">
      <c r="A1" s="396"/>
      <c r="B1" s="366"/>
      <c r="C1" s="366"/>
      <c r="D1" s="366"/>
      <c r="E1" s="366"/>
    </row>
    <row r="2" spans="1:9" ht="78.75" customHeight="1">
      <c r="A2" s="396"/>
      <c r="B2" s="2"/>
      <c r="C2" s="2"/>
      <c r="D2" s="2"/>
      <c r="E2" s="2"/>
      <c r="F2" s="2"/>
      <c r="G2" s="2"/>
    </row>
    <row r="3" spans="1:9" ht="3.75" customHeight="1">
      <c r="A3" s="396"/>
      <c r="B3" s="365"/>
      <c r="C3" s="365"/>
      <c r="D3" s="365"/>
      <c r="E3" s="365"/>
      <c r="F3" s="365"/>
      <c r="G3" s="365"/>
    </row>
    <row r="4" spans="1:9">
      <c r="A4" s="396"/>
      <c r="B4" s="2" t="s">
        <v>30</v>
      </c>
      <c r="C4" s="2"/>
      <c r="D4" s="2"/>
      <c r="E4" s="2"/>
      <c r="F4" s="2"/>
      <c r="G4" s="2"/>
    </row>
    <row r="5" spans="1:9">
      <c r="B5" s="2"/>
      <c r="C5" s="2"/>
      <c r="D5" s="2"/>
      <c r="E5" s="2" t="s">
        <v>30</v>
      </c>
      <c r="F5" s="86" t="s">
        <v>57</v>
      </c>
      <c r="G5" s="4" t="s">
        <v>4</v>
      </c>
    </row>
    <row r="6" spans="1:9">
      <c r="B6" s="80" t="s">
        <v>58</v>
      </c>
      <c r="C6" s="328"/>
      <c r="D6" s="80"/>
      <c r="E6" s="326">
        <f>DCF!E48</f>
        <v>72.674245751194348</v>
      </c>
      <c r="F6" s="324">
        <f>(E6/F10)</f>
        <v>1.087124095006647</v>
      </c>
      <c r="G6" s="360">
        <v>0.8</v>
      </c>
      <c r="H6" s="14"/>
    </row>
    <row r="7" spans="1:9">
      <c r="B7" s="80" t="s">
        <v>59</v>
      </c>
      <c r="C7" s="329"/>
      <c r="D7" s="80"/>
      <c r="E7" s="327">
        <f>Comparable!V29</f>
        <v>67.079276339294836</v>
      </c>
      <c r="F7" s="87">
        <f>(E7/F10)</f>
        <v>1.0034297133776342</v>
      </c>
      <c r="G7" s="361">
        <v>0.2</v>
      </c>
      <c r="H7" s="14"/>
    </row>
    <row r="8" spans="1:9">
      <c r="B8" s="80" t="s">
        <v>60</v>
      </c>
      <c r="C8" s="330"/>
      <c r="D8" s="80"/>
      <c r="E8" s="325">
        <f>Historical!E21</f>
        <v>23.859840667588919</v>
      </c>
      <c r="F8" s="323">
        <f>(E8/F10)</f>
        <v>0.3569160907642322</v>
      </c>
      <c r="G8" s="362">
        <v>0</v>
      </c>
      <c r="H8" s="14"/>
    </row>
    <row r="9" spans="1:9" ht="9" customHeight="1">
      <c r="B9" s="80"/>
      <c r="C9" s="80"/>
      <c r="D9" s="80"/>
      <c r="E9" s="82"/>
      <c r="F9" s="82"/>
      <c r="G9" s="2"/>
    </row>
    <row r="10" spans="1:9">
      <c r="B10" s="80" t="s">
        <v>61</v>
      </c>
      <c r="C10" s="80"/>
      <c r="D10" s="80"/>
      <c r="E10" s="82"/>
      <c r="F10" s="89">
        <v>66.849999999999994</v>
      </c>
      <c r="G10" s="2"/>
    </row>
    <row r="11" spans="1:9">
      <c r="B11" s="80" t="s">
        <v>62</v>
      </c>
      <c r="C11" s="80"/>
      <c r="D11" s="80"/>
      <c r="E11" s="82"/>
      <c r="F11" s="89">
        <f>(E6*G6)+(E7*G7)+(E8*G8)</f>
        <v>71.555251868814452</v>
      </c>
      <c r="G11" s="2"/>
    </row>
    <row r="12" spans="1:9" s="76" customFormat="1">
      <c r="A12" s="373"/>
      <c r="B12" s="80" t="s">
        <v>63</v>
      </c>
      <c r="C12" s="80"/>
      <c r="D12" s="80"/>
      <c r="E12" s="85"/>
      <c r="F12" s="88">
        <f>(F11-F10)/F10</f>
        <v>7.0385218680844547E-2</v>
      </c>
      <c r="G12" s="2"/>
      <c r="I12" s="455"/>
    </row>
    <row r="13" spans="1:9" ht="47.85" customHeight="1">
      <c r="B13" s="2"/>
      <c r="C13" s="2"/>
      <c r="D13" s="2"/>
      <c r="E13" s="17"/>
      <c r="F13" s="17"/>
      <c r="G13" s="2"/>
    </row>
    <row r="14" spans="1:9" s="456" customFormat="1" ht="47.85" customHeight="1">
      <c r="A14" s="373"/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autoPageBreaks="0"/>
  </sheetPr>
  <dimension ref="A1:M24"/>
  <sheetViews>
    <sheetView showGridLines="0" zoomScaleNormal="100" zoomScalePageLayoutView="70" workbookViewId="0">
      <selection activeCell="Q19" sqref="Q19"/>
    </sheetView>
  </sheetViews>
  <sheetFormatPr defaultColWidth="8.6640625" defaultRowHeight="14.4"/>
  <cols>
    <col min="1" max="1" width="3.44140625" style="373" customWidth="1"/>
    <col min="2" max="2" width="16.6640625" customWidth="1"/>
    <col min="3" max="3" width="0.88671875" style="76" customWidth="1"/>
    <col min="4" max="4" width="1.44140625" style="76" customWidth="1"/>
    <col min="5" max="6" width="10.109375" bestFit="1" customWidth="1"/>
    <col min="9" max="10" width="8.6640625" style="169"/>
    <col min="13" max="13" width="8.6640625" style="455"/>
  </cols>
  <sheetData>
    <row r="1" spans="1:12" s="390" customFormat="1" ht="18" customHeight="1">
      <c r="A1" s="373"/>
    </row>
    <row r="2" spans="1:12" ht="42.75" customHeight="1">
      <c r="B2" s="2"/>
      <c r="C2" s="2"/>
      <c r="D2" s="2"/>
      <c r="E2" s="2"/>
      <c r="F2" s="2"/>
      <c r="G2" s="2"/>
      <c r="H2" s="2"/>
      <c r="I2" s="170"/>
      <c r="J2" s="170"/>
      <c r="K2" s="2"/>
      <c r="L2" s="2"/>
    </row>
    <row r="3" spans="1:12" ht="3.75" customHeight="1">
      <c r="B3" s="365"/>
      <c r="C3" s="365"/>
      <c r="D3" s="365"/>
      <c r="E3" s="365"/>
      <c r="F3" s="365"/>
      <c r="G3" s="365"/>
      <c r="H3" s="365"/>
      <c r="I3" s="365"/>
      <c r="J3" s="365"/>
      <c r="K3" s="365"/>
      <c r="L3" s="2"/>
    </row>
    <row r="4" spans="1:12">
      <c r="B4" s="2" t="s">
        <v>32</v>
      </c>
      <c r="C4" s="2"/>
      <c r="D4" s="2"/>
      <c r="E4" s="2"/>
      <c r="F4" s="2"/>
      <c r="G4" s="2"/>
      <c r="H4" s="2"/>
      <c r="I4" s="170"/>
      <c r="J4" s="170"/>
      <c r="K4" s="2"/>
      <c r="L4" s="2"/>
    </row>
    <row r="5" spans="1:12">
      <c r="B5" s="2"/>
      <c r="C5" s="2"/>
      <c r="D5" s="2"/>
      <c r="E5" s="2"/>
      <c r="F5" s="2"/>
      <c r="G5" s="2"/>
      <c r="H5" s="2"/>
      <c r="I5" s="170"/>
      <c r="J5" s="170"/>
      <c r="K5" s="2"/>
      <c r="L5" s="2"/>
    </row>
    <row r="6" spans="1:12">
      <c r="B6" s="304"/>
      <c r="C6" s="304"/>
      <c r="D6" s="304"/>
      <c r="E6" s="213">
        <v>2011</v>
      </c>
      <c r="F6" s="303">
        <v>2012</v>
      </c>
      <c r="G6" s="213">
        <v>2013</v>
      </c>
      <c r="H6" s="303">
        <v>2014</v>
      </c>
      <c r="I6" s="213">
        <v>2015</v>
      </c>
      <c r="J6" s="303">
        <v>2016</v>
      </c>
      <c r="K6" s="303" t="s">
        <v>261</v>
      </c>
      <c r="L6" s="2"/>
    </row>
    <row r="7" spans="1:12">
      <c r="B7" s="2" t="s">
        <v>33</v>
      </c>
      <c r="C7" s="2"/>
      <c r="D7" s="2"/>
      <c r="E7" s="148">
        <f>IS!C19</f>
        <v>0.43</v>
      </c>
      <c r="F7" s="148">
        <f>IS!D19</f>
        <v>0.94</v>
      </c>
      <c r="G7" s="148">
        <f>IS!E19</f>
        <v>0.9</v>
      </c>
      <c r="H7" s="148">
        <f>IS!F19</f>
        <v>0.74</v>
      </c>
      <c r="I7" s="148">
        <f>IS!G19</f>
        <v>1.1200000000000001</v>
      </c>
      <c r="J7" s="148">
        <f>IS!H19</f>
        <v>1.08</v>
      </c>
      <c r="K7" s="387">
        <f>DCF!K24</f>
        <v>1.4244806449283214</v>
      </c>
      <c r="L7" s="2"/>
    </row>
    <row r="8" spans="1:12">
      <c r="B8" s="2" t="s">
        <v>34</v>
      </c>
      <c r="C8" s="2"/>
      <c r="D8" s="2"/>
      <c r="E8" s="20">
        <v>18.96</v>
      </c>
      <c r="F8" s="20">
        <v>26.17</v>
      </c>
      <c r="G8" s="2">
        <v>16.899999999999999</v>
      </c>
      <c r="H8" s="2">
        <v>16.32</v>
      </c>
      <c r="I8" s="172">
        <v>21.25</v>
      </c>
      <c r="J8" s="172">
        <v>33.94</v>
      </c>
      <c r="K8" s="172"/>
      <c r="L8" s="2"/>
    </row>
    <row r="9" spans="1:12">
      <c r="B9" s="2" t="s">
        <v>35</v>
      </c>
      <c r="C9" s="2"/>
      <c r="D9" s="2"/>
      <c r="E9" s="16">
        <v>8.65</v>
      </c>
      <c r="F9" s="16">
        <v>11.47</v>
      </c>
      <c r="G9" s="8">
        <v>11.15</v>
      </c>
      <c r="H9" s="2">
        <v>11.91</v>
      </c>
      <c r="I9" s="170">
        <v>15.32</v>
      </c>
      <c r="J9" s="170">
        <v>18.940000000000001</v>
      </c>
      <c r="K9" s="172"/>
      <c r="L9" s="2"/>
    </row>
    <row r="10" spans="1:12">
      <c r="B10" s="302"/>
      <c r="C10" s="302"/>
      <c r="D10" s="302"/>
      <c r="E10" s="302"/>
      <c r="F10" s="302"/>
      <c r="G10" s="302"/>
      <c r="H10" s="302"/>
      <c r="I10" s="302"/>
      <c r="J10" s="302"/>
      <c r="K10" s="302"/>
      <c r="L10" s="2"/>
    </row>
    <row r="11" spans="1:12">
      <c r="B11" s="2" t="s">
        <v>36</v>
      </c>
      <c r="C11" s="2"/>
      <c r="D11" s="2"/>
      <c r="E11" s="9"/>
      <c r="F11" s="173">
        <f>F8/F7</f>
        <v>27.840425531914896</v>
      </c>
      <c r="G11" s="9">
        <f>G8/G7</f>
        <v>18.777777777777775</v>
      </c>
      <c r="H11" s="9">
        <f>H8/H7</f>
        <v>22.054054054054056</v>
      </c>
      <c r="I11" s="173">
        <f>I8/I7</f>
        <v>18.973214285714285</v>
      </c>
      <c r="J11" s="173">
        <f>J8/J7</f>
        <v>31.42592592592592</v>
      </c>
      <c r="K11" s="174"/>
      <c r="L11" s="2"/>
    </row>
    <row r="12" spans="1:12">
      <c r="B12" s="1" t="s">
        <v>37</v>
      </c>
      <c r="C12" s="1"/>
      <c r="D12" s="1"/>
      <c r="E12" s="112"/>
      <c r="F12" s="214">
        <f>F9/F7</f>
        <v>12.202127659574469</v>
      </c>
      <c r="G12" s="112">
        <f>G9/G7</f>
        <v>12.388888888888889</v>
      </c>
      <c r="H12" s="112">
        <f>H9/H7</f>
        <v>16.094594594594597</v>
      </c>
      <c r="I12" s="214">
        <f>I9/I7</f>
        <v>13.678571428571427</v>
      </c>
      <c r="J12" s="214">
        <f>J9/J7</f>
        <v>17.537037037037038</v>
      </c>
      <c r="K12" s="246"/>
      <c r="L12" s="2"/>
    </row>
    <row r="13" spans="1:12">
      <c r="B13" s="8"/>
      <c r="C13" s="8"/>
      <c r="D13" s="8"/>
      <c r="E13" s="79"/>
      <c r="F13" s="530"/>
      <c r="G13" s="530"/>
      <c r="H13" s="530"/>
      <c r="I13" s="530"/>
      <c r="J13" s="530"/>
      <c r="K13" s="530"/>
    </row>
    <row r="14" spans="1:12">
      <c r="B14" s="2"/>
      <c r="C14" s="2"/>
      <c r="D14" s="2"/>
      <c r="E14" s="531" t="s">
        <v>167</v>
      </c>
      <c r="F14" s="531"/>
      <c r="G14" s="8"/>
      <c r="H14" s="531" t="s">
        <v>168</v>
      </c>
      <c r="I14" s="531"/>
      <c r="J14" s="172"/>
      <c r="K14" s="8"/>
    </row>
    <row r="15" spans="1:12" ht="15" thickBot="1">
      <c r="B15" s="2"/>
      <c r="C15" s="2"/>
      <c r="D15" s="2"/>
      <c r="E15" s="309" t="s">
        <v>38</v>
      </c>
      <c r="F15" s="309" t="s">
        <v>39</v>
      </c>
      <c r="G15" s="10"/>
      <c r="H15" s="309" t="s">
        <v>38</v>
      </c>
      <c r="I15" s="309" t="s">
        <v>39</v>
      </c>
      <c r="J15" s="174"/>
      <c r="K15" s="10"/>
    </row>
    <row r="16" spans="1:12">
      <c r="B16" s="2" t="s">
        <v>40</v>
      </c>
      <c r="C16" s="298"/>
      <c r="D16" s="170"/>
      <c r="E16" s="331">
        <f>AVERAGE(F11:J11)</f>
        <v>23.814279515077384</v>
      </c>
      <c r="F16" s="331">
        <f>MEDIAN(F11:J11)</f>
        <v>22.054054054054056</v>
      </c>
      <c r="G16" s="10"/>
      <c r="H16" s="331">
        <f>AVERAGE(H11:J11)</f>
        <v>24.15106475523142</v>
      </c>
      <c r="I16" s="331">
        <f>MEDIAN(H11:J11)</f>
        <v>22.054054054054056</v>
      </c>
      <c r="J16" s="174"/>
      <c r="K16" s="10"/>
      <c r="L16" s="2"/>
    </row>
    <row r="17" spans="1:12">
      <c r="B17" s="2" t="s">
        <v>41</v>
      </c>
      <c r="C17" s="334"/>
      <c r="D17" s="170"/>
      <c r="E17" s="331">
        <f>AVERAGE(F12:J12)</f>
        <v>14.380243921733285</v>
      </c>
      <c r="F17" s="331">
        <f>MEDIAN(F12:J12)</f>
        <v>13.678571428571427</v>
      </c>
      <c r="G17" s="10"/>
      <c r="H17" s="331">
        <f>AVERAGE(H12:J12)</f>
        <v>15.770067686734356</v>
      </c>
      <c r="I17" s="331">
        <f>MEDIAN(H12:J12)</f>
        <v>16.094594594594597</v>
      </c>
      <c r="J17" s="172"/>
      <c r="K17" s="8"/>
      <c r="L17" s="2"/>
    </row>
    <row r="18" spans="1:12" ht="15" thickBot="1">
      <c r="B18" s="2" t="s">
        <v>38</v>
      </c>
      <c r="C18" s="333"/>
      <c r="D18" s="170"/>
      <c r="E18" s="332">
        <f>AVERAGE(E16:E17)</f>
        <v>19.097261718405335</v>
      </c>
      <c r="F18" s="332">
        <f>AVERAGE(F16:F17)</f>
        <v>17.86631274131274</v>
      </c>
      <c r="G18" s="10"/>
      <c r="H18" s="332">
        <f>AVERAGE(H16:H17)</f>
        <v>19.960566220982887</v>
      </c>
      <c r="I18" s="332">
        <f>AVERAGE(I16:I17)</f>
        <v>19.074324324324326</v>
      </c>
      <c r="J18" s="172"/>
      <c r="K18" s="8"/>
      <c r="L18" s="2"/>
    </row>
    <row r="19" spans="1:12">
      <c r="B19" s="80" t="s">
        <v>2</v>
      </c>
      <c r="C19" s="80"/>
      <c r="D19" s="80"/>
      <c r="E19" s="110">
        <f>K7*E18</f>
        <v>27.203679688998974</v>
      </c>
      <c r="F19" s="110">
        <f>K7*F18</f>
        <v>25.450216696236257</v>
      </c>
      <c r="G19" s="2"/>
      <c r="H19" s="110">
        <f>K7*H18</f>
        <v>28.43344024360017</v>
      </c>
      <c r="I19" s="110">
        <f>K7*I18</f>
        <v>27.171005815085483</v>
      </c>
      <c r="J19" s="172"/>
      <c r="K19" s="2"/>
      <c r="L19" s="2"/>
    </row>
    <row r="20" spans="1:12">
      <c r="B20" s="80" t="s">
        <v>170</v>
      </c>
      <c r="C20" s="80"/>
      <c r="D20" s="80"/>
      <c r="E20" s="363">
        <f>AVERAGE(E19:F19)</f>
        <v>26.326948192617614</v>
      </c>
      <c r="F20" s="172"/>
      <c r="G20" s="172"/>
      <c r="H20" s="363">
        <f>AVERAGE(H19:I19)</f>
        <v>27.802223029342827</v>
      </c>
      <c r="I20" s="172"/>
      <c r="J20" s="172"/>
      <c r="K20" s="2"/>
      <c r="L20" s="2"/>
    </row>
    <row r="21" spans="1:12">
      <c r="B21" s="111" t="s">
        <v>42</v>
      </c>
      <c r="C21" s="111"/>
      <c r="D21" s="111"/>
      <c r="E21" s="364">
        <f>E20/(1+DCF!L46)^DCF!K36</f>
        <v>23.859840667588919</v>
      </c>
      <c r="F21" s="172"/>
      <c r="G21" s="172"/>
      <c r="H21" s="364">
        <f>H20/(1+DCF!L46)^DCF!K36</f>
        <v>25.196866983272457</v>
      </c>
      <c r="I21" s="172"/>
      <c r="J21" s="172"/>
      <c r="K21" s="2"/>
      <c r="L21" s="2"/>
    </row>
    <row r="22" spans="1:12">
      <c r="B22" s="212" t="s">
        <v>43</v>
      </c>
      <c r="C22" s="2"/>
      <c r="D22" s="2"/>
      <c r="E22" s="177">
        <f>(E21-Valuation!F10)/Valuation!F10</f>
        <v>-0.64308390923576786</v>
      </c>
      <c r="F22" s="2"/>
      <c r="G22" s="8"/>
      <c r="H22" s="361">
        <f>(H21-Valuation!F10)/Valuation!F10</f>
        <v>-0.62308351558305974</v>
      </c>
      <c r="I22" s="172"/>
      <c r="J22" s="172"/>
      <c r="K22" s="2"/>
      <c r="L22" s="2"/>
    </row>
    <row r="23" spans="1:12" ht="47.85" customHeight="1">
      <c r="B23" s="15"/>
      <c r="C23" s="15"/>
      <c r="D23" s="15"/>
      <c r="E23" s="15"/>
      <c r="F23" s="15"/>
      <c r="G23" s="8"/>
      <c r="H23" s="8"/>
      <c r="I23" s="172"/>
      <c r="J23" s="172"/>
      <c r="K23" s="8"/>
      <c r="L23" s="2"/>
    </row>
    <row r="24" spans="1:12" s="464" customFormat="1" ht="47.85" customHeight="1">
      <c r="A24" s="373"/>
    </row>
  </sheetData>
  <mergeCells count="3">
    <mergeCell ref="F13:K13"/>
    <mergeCell ref="E14:F14"/>
    <mergeCell ref="H14:I14"/>
  </mergeCells>
  <pageMargins left="0.7" right="0.7" top="0.75" bottom="0.75" header="0.3" footer="0.3"/>
  <pageSetup orientation="portrait" horizont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autoPageBreaks="0"/>
  </sheetPr>
  <dimension ref="A1:W52"/>
  <sheetViews>
    <sheetView showGridLines="0" zoomScale="90" zoomScaleNormal="90" zoomScalePageLayoutView="90" workbookViewId="0">
      <pane xSplit="1" ySplit="1" topLeftCell="B2" activePane="bottomRight" state="frozen"/>
      <selection pane="topRight" activeCell="B1" sqref="B1"/>
      <selection pane="bottomLeft" activeCell="A7" sqref="A7"/>
      <selection pane="bottomRight" activeCell="M17" sqref="M17"/>
    </sheetView>
  </sheetViews>
  <sheetFormatPr defaultRowHeight="14.4"/>
  <cols>
    <col min="1" max="1" width="3.44140625" style="367" customWidth="1"/>
    <col min="2" max="2" width="45.44140625" bestFit="1" customWidth="1"/>
    <col min="3" max="3" width="7.5546875" bestFit="1" customWidth="1"/>
    <col min="4" max="8" width="11.44140625" bestFit="1" customWidth="1"/>
    <col min="9" max="9" width="8.88671875" style="457"/>
    <col min="10" max="10" width="8.6640625" style="455" customWidth="1"/>
  </cols>
  <sheetData>
    <row r="1" spans="1:23" s="367" customFormat="1">
      <c r="A1" s="365"/>
      <c r="B1" s="394"/>
      <c r="C1" s="385"/>
      <c r="D1" s="385"/>
      <c r="E1" s="385"/>
      <c r="F1" s="385"/>
      <c r="G1" s="386"/>
      <c r="I1" s="369"/>
    </row>
    <row r="2" spans="1:23" s="220" customFormat="1">
      <c r="A2" s="365"/>
      <c r="B2" s="406" t="s">
        <v>241</v>
      </c>
      <c r="C2" s="424">
        <v>2011</v>
      </c>
      <c r="D2" s="424">
        <v>2012</v>
      </c>
      <c r="E2" s="424">
        <v>2013</v>
      </c>
      <c r="F2" s="424">
        <v>2014</v>
      </c>
      <c r="G2" s="424">
        <v>2015</v>
      </c>
      <c r="H2" s="424">
        <v>2016</v>
      </c>
      <c r="I2" s="457"/>
      <c r="J2" s="455"/>
    </row>
    <row r="3" spans="1:23">
      <c r="A3" s="365"/>
      <c r="B3" s="405"/>
      <c r="C3" s="423"/>
      <c r="D3" s="423"/>
      <c r="E3" s="423"/>
      <c r="F3" s="423"/>
      <c r="G3" s="425"/>
      <c r="H3" s="425"/>
      <c r="L3" s="424"/>
      <c r="M3" s="424"/>
      <c r="N3" s="424"/>
      <c r="O3" s="424"/>
      <c r="P3" s="424"/>
      <c r="Q3" s="424"/>
      <c r="R3" s="424"/>
    </row>
    <row r="4" spans="1:23">
      <c r="A4" s="365"/>
      <c r="B4" s="374" t="s">
        <v>138</v>
      </c>
      <c r="C4" s="425">
        <v>665</v>
      </c>
      <c r="D4" s="425">
        <v>668</v>
      </c>
      <c r="E4" s="425">
        <v>733</v>
      </c>
      <c r="F4" s="425">
        <v>1152</v>
      </c>
      <c r="G4" s="425">
        <v>497</v>
      </c>
      <c r="H4" s="415">
        <v>596</v>
      </c>
      <c r="K4" s="76"/>
      <c r="L4" s="423"/>
      <c r="M4" s="423"/>
      <c r="N4" s="423"/>
      <c r="O4" s="423"/>
      <c r="P4" s="423"/>
      <c r="Q4" s="425"/>
      <c r="R4" s="425"/>
    </row>
    <row r="5" spans="1:23">
      <c r="A5" s="365"/>
      <c r="B5" s="406" t="s">
        <v>171</v>
      </c>
      <c r="C5" s="426">
        <v>1825</v>
      </c>
      <c r="D5" s="426">
        <v>2461</v>
      </c>
      <c r="E5" s="426">
        <v>2995</v>
      </c>
      <c r="F5" s="426">
        <v>3520</v>
      </c>
      <c r="G5" s="426">
        <v>4126</v>
      </c>
      <c r="H5" s="426">
        <v>4441</v>
      </c>
      <c r="I5" s="458"/>
      <c r="J5" s="466"/>
      <c r="K5" s="129"/>
      <c r="L5" s="425"/>
      <c r="M5" s="425"/>
      <c r="N5" s="425"/>
      <c r="O5" s="425"/>
      <c r="P5" s="425"/>
      <c r="Q5" s="425"/>
      <c r="R5" s="425"/>
    </row>
    <row r="6" spans="1:23">
      <c r="A6" s="365"/>
      <c r="B6" s="406" t="s">
        <v>172</v>
      </c>
      <c r="C6" s="426">
        <v>349</v>
      </c>
      <c r="D6" s="426">
        <v>336</v>
      </c>
      <c r="E6" s="426">
        <v>454</v>
      </c>
      <c r="F6" s="426">
        <v>426</v>
      </c>
      <c r="G6" s="424">
        <v>474</v>
      </c>
      <c r="H6" s="424">
        <v>505</v>
      </c>
      <c r="I6" s="458"/>
      <c r="J6" s="467"/>
      <c r="K6" s="131"/>
      <c r="L6" s="426"/>
      <c r="M6" s="426"/>
      <c r="N6" s="426"/>
      <c r="O6" s="426"/>
      <c r="P6" s="426"/>
      <c r="Q6" s="426"/>
      <c r="R6" s="426"/>
    </row>
    <row r="7" spans="1:23">
      <c r="A7" s="365"/>
      <c r="B7" s="406" t="s">
        <v>173</v>
      </c>
      <c r="C7" s="426">
        <v>346</v>
      </c>
      <c r="D7" s="426">
        <v>340</v>
      </c>
      <c r="E7" s="426">
        <v>412</v>
      </c>
      <c r="F7" s="426">
        <v>388</v>
      </c>
      <c r="G7" s="424">
        <v>483</v>
      </c>
      <c r="H7" s="424">
        <v>418</v>
      </c>
      <c r="I7" s="458"/>
      <c r="J7" s="468"/>
      <c r="K7" s="133"/>
      <c r="L7" s="426"/>
      <c r="M7" s="426"/>
      <c r="N7" s="426"/>
      <c r="O7" s="426"/>
      <c r="P7" s="426"/>
      <c r="Q7" s="424"/>
      <c r="R7" s="424"/>
    </row>
    <row r="8" spans="1:23">
      <c r="A8" s="365"/>
      <c r="B8" s="406" t="s">
        <v>174</v>
      </c>
      <c r="C8" s="426">
        <v>33</v>
      </c>
      <c r="D8" s="426">
        <v>49</v>
      </c>
      <c r="E8" s="426">
        <v>77</v>
      </c>
      <c r="F8" s="426">
        <v>70</v>
      </c>
      <c r="G8" s="424">
        <v>70</v>
      </c>
      <c r="H8" s="424">
        <v>93</v>
      </c>
      <c r="I8" s="458"/>
      <c r="J8" s="468"/>
      <c r="K8" s="133"/>
      <c r="L8" s="426"/>
      <c r="M8" s="426"/>
      <c r="N8" s="426"/>
      <c r="O8" s="426"/>
      <c r="P8" s="426"/>
      <c r="Q8" s="424"/>
      <c r="R8" s="424"/>
    </row>
    <row r="9" spans="1:23">
      <c r="A9" s="365"/>
      <c r="B9" s="406" t="s">
        <v>175</v>
      </c>
      <c r="C9" s="426">
        <v>9</v>
      </c>
      <c r="D9" s="426">
        <v>50</v>
      </c>
      <c r="E9" s="426">
        <v>104</v>
      </c>
      <c r="F9" s="426">
        <v>68</v>
      </c>
      <c r="G9" s="424">
        <v>63</v>
      </c>
      <c r="H9" s="424">
        <v>0</v>
      </c>
      <c r="I9" s="458"/>
      <c r="J9" s="468"/>
      <c r="K9" s="133"/>
      <c r="L9" s="426"/>
      <c r="M9" s="426"/>
      <c r="N9" s="426"/>
      <c r="O9" s="426"/>
      <c r="P9" s="426"/>
      <c r="Q9" s="424"/>
      <c r="R9" s="424"/>
    </row>
    <row r="10" spans="1:23">
      <c r="A10" s="365"/>
      <c r="B10" s="416" t="s">
        <v>139</v>
      </c>
      <c r="C10" s="426">
        <v>3227</v>
      </c>
      <c r="D10" s="426">
        <v>3905</v>
      </c>
      <c r="E10" s="426">
        <v>4775</v>
      </c>
      <c r="F10" s="426">
        <v>5625</v>
      </c>
      <c r="G10" s="426">
        <v>5713</v>
      </c>
      <c r="H10" s="391">
        <v>6053</v>
      </c>
      <c r="I10" s="458"/>
      <c r="J10" s="468"/>
      <c r="K10" s="133"/>
      <c r="L10" s="426"/>
      <c r="M10" s="426"/>
      <c r="N10" s="426"/>
      <c r="O10" s="426"/>
      <c r="P10" s="426"/>
      <c r="Q10" s="424"/>
      <c r="R10" s="424"/>
    </row>
    <row r="11" spans="1:23">
      <c r="A11" s="365"/>
      <c r="B11" s="406" t="s">
        <v>140</v>
      </c>
      <c r="C11" s="426">
        <v>589</v>
      </c>
      <c r="D11" s="426">
        <v>560</v>
      </c>
      <c r="E11" s="426">
        <v>576</v>
      </c>
      <c r="F11" s="426">
        <v>583</v>
      </c>
      <c r="G11" s="424">
        <v>557</v>
      </c>
      <c r="H11" s="424">
        <v>466</v>
      </c>
      <c r="I11" s="458"/>
      <c r="J11" s="468"/>
      <c r="K11" s="133"/>
      <c r="L11" s="426"/>
      <c r="M11" s="426"/>
      <c r="N11" s="426"/>
      <c r="O11" s="426"/>
      <c r="P11" s="426"/>
      <c r="Q11" s="426"/>
      <c r="R11" s="426"/>
    </row>
    <row r="12" spans="1:23">
      <c r="A12" s="365"/>
      <c r="B12" s="406" t="s">
        <v>176</v>
      </c>
      <c r="C12" s="426">
        <v>370</v>
      </c>
      <c r="D12" s="426">
        <v>641</v>
      </c>
      <c r="E12" s="426">
        <v>641</v>
      </c>
      <c r="F12" s="426">
        <v>643</v>
      </c>
      <c r="G12" s="424">
        <v>618</v>
      </c>
      <c r="H12" s="424">
        <v>618</v>
      </c>
      <c r="I12" s="458"/>
      <c r="J12" s="468"/>
      <c r="K12" s="292"/>
      <c r="L12" s="460"/>
      <c r="M12" s="460"/>
      <c r="N12" s="460"/>
      <c r="O12" s="460"/>
      <c r="P12" s="460"/>
      <c r="Q12" s="461"/>
      <c r="R12" s="461"/>
      <c r="S12" s="170"/>
      <c r="T12" s="170"/>
      <c r="U12" s="170"/>
      <c r="V12" s="170"/>
      <c r="W12" s="170"/>
    </row>
    <row r="13" spans="1:23">
      <c r="A13" s="365"/>
      <c r="B13" s="406" t="s">
        <v>177</v>
      </c>
      <c r="C13" s="426">
        <v>289</v>
      </c>
      <c r="D13" s="426">
        <v>326</v>
      </c>
      <c r="E13" s="426">
        <v>312</v>
      </c>
      <c r="F13" s="426">
        <v>296</v>
      </c>
      <c r="G13" s="424">
        <v>222</v>
      </c>
      <c r="H13" s="424">
        <v>166</v>
      </c>
      <c r="I13" s="458"/>
      <c r="J13" s="468"/>
      <c r="K13" s="292"/>
      <c r="L13" s="460"/>
      <c r="M13" s="460"/>
      <c r="N13" s="460"/>
      <c r="O13" s="460"/>
      <c r="P13" s="460"/>
      <c r="Q13" s="461"/>
      <c r="R13" s="461"/>
      <c r="S13" s="170"/>
      <c r="T13" s="170"/>
      <c r="U13" s="170"/>
      <c r="V13" s="170"/>
      <c r="W13" s="170"/>
    </row>
    <row r="14" spans="1:23">
      <c r="A14" s="365"/>
      <c r="B14" s="406" t="s">
        <v>148</v>
      </c>
      <c r="C14" s="426">
        <v>41</v>
      </c>
      <c r="D14" s="426">
        <v>120</v>
      </c>
      <c r="E14" s="426">
        <v>107</v>
      </c>
      <c r="F14" s="426">
        <v>104</v>
      </c>
      <c r="G14" s="424">
        <v>91</v>
      </c>
      <c r="H14" s="424">
        <v>67</v>
      </c>
      <c r="I14" s="458"/>
      <c r="J14" s="468"/>
      <c r="K14" s="292"/>
      <c r="L14" s="460"/>
      <c r="M14" s="460"/>
      <c r="N14" s="460"/>
      <c r="O14" s="460"/>
      <c r="P14" s="460"/>
      <c r="Q14" s="461"/>
      <c r="R14" s="461"/>
      <c r="S14" s="170"/>
      <c r="T14" s="170"/>
      <c r="U14" s="170"/>
      <c r="V14" s="170"/>
      <c r="W14" s="170"/>
    </row>
    <row r="15" spans="1:23">
      <c r="A15" s="365"/>
      <c r="B15" s="406" t="s">
        <v>141</v>
      </c>
      <c r="C15" s="426">
        <v>4495</v>
      </c>
      <c r="D15" s="426">
        <v>5553</v>
      </c>
      <c r="E15" s="426">
        <v>6412</v>
      </c>
      <c r="F15" s="426">
        <v>7251</v>
      </c>
      <c r="G15" s="426">
        <v>7201</v>
      </c>
      <c r="H15" s="426">
        <v>7370</v>
      </c>
      <c r="I15" s="458"/>
      <c r="J15" s="466"/>
      <c r="K15" s="462"/>
      <c r="L15" s="460"/>
      <c r="M15" s="460"/>
      <c r="N15" s="460"/>
      <c r="O15" s="460"/>
      <c r="P15" s="460"/>
      <c r="Q15" s="461"/>
      <c r="R15" s="461"/>
      <c r="S15" s="170"/>
      <c r="T15" s="170"/>
      <c r="U15" s="170"/>
      <c r="V15" s="170"/>
      <c r="W15" s="170"/>
    </row>
    <row r="16" spans="1:23">
      <c r="A16" s="365"/>
      <c r="B16" s="407" t="s">
        <v>142</v>
      </c>
      <c r="C16" s="428"/>
      <c r="D16" s="428"/>
      <c r="E16" s="428"/>
      <c r="F16" s="428"/>
      <c r="G16" s="428"/>
      <c r="H16" s="428"/>
      <c r="I16" s="458"/>
      <c r="J16" s="468"/>
      <c r="K16" s="292"/>
      <c r="L16" s="460"/>
      <c r="M16" s="460"/>
      <c r="N16" s="460"/>
      <c r="O16" s="460"/>
      <c r="P16" s="460"/>
      <c r="Q16" s="460"/>
      <c r="R16" s="460"/>
      <c r="S16" s="170"/>
      <c r="T16" s="170"/>
      <c r="U16" s="170"/>
      <c r="V16" s="170"/>
      <c r="W16" s="170"/>
    </row>
    <row r="17" spans="1:23">
      <c r="A17" s="365"/>
      <c r="B17" s="406" t="s">
        <v>143</v>
      </c>
      <c r="C17" s="426">
        <v>286</v>
      </c>
      <c r="D17" s="426">
        <v>335</v>
      </c>
      <c r="E17" s="426">
        <v>356</v>
      </c>
      <c r="F17" s="426">
        <v>324</v>
      </c>
      <c r="G17" s="424">
        <v>293</v>
      </c>
      <c r="H17" s="424">
        <v>296</v>
      </c>
      <c r="I17" s="458"/>
      <c r="J17" s="468"/>
      <c r="K17" s="292"/>
      <c r="L17" s="461"/>
      <c r="M17" s="461"/>
      <c r="N17" s="461"/>
      <c r="O17" s="461"/>
      <c r="P17" s="461"/>
      <c r="Q17" s="461"/>
      <c r="R17" s="461"/>
      <c r="S17" s="170"/>
      <c r="T17" s="170"/>
      <c r="U17" s="170"/>
      <c r="V17" s="170"/>
      <c r="W17" s="170"/>
    </row>
    <row r="18" spans="1:23">
      <c r="A18" s="365"/>
      <c r="B18" s="406" t="s">
        <v>178</v>
      </c>
      <c r="C18" s="426">
        <v>657</v>
      </c>
      <c r="D18" s="426">
        <v>595</v>
      </c>
      <c r="E18" s="426">
        <v>620</v>
      </c>
      <c r="F18" s="426">
        <v>621</v>
      </c>
      <c r="G18" s="424">
        <v>603</v>
      </c>
      <c r="H18" s="424">
        <v>642</v>
      </c>
      <c r="I18" s="458"/>
      <c r="J18" s="468"/>
      <c r="K18" s="292"/>
      <c r="L18" s="460"/>
      <c r="M18" s="460"/>
      <c r="N18" s="460"/>
      <c r="O18" s="460"/>
      <c r="P18" s="460"/>
      <c r="Q18" s="461"/>
      <c r="R18" s="461"/>
      <c r="S18" s="170"/>
      <c r="T18" s="170"/>
      <c r="U18" s="170"/>
      <c r="V18" s="170"/>
      <c r="W18" s="170"/>
    </row>
    <row r="19" spans="1:23">
      <c r="A19" s="365"/>
      <c r="B19" s="376" t="s">
        <v>179</v>
      </c>
      <c r="C19" s="424">
        <v>0</v>
      </c>
      <c r="D19" s="424">
        <v>0</v>
      </c>
      <c r="E19" s="424">
        <v>0</v>
      </c>
      <c r="F19" s="424">
        <v>0</v>
      </c>
      <c r="G19" s="424">
        <v>0</v>
      </c>
      <c r="H19" s="391">
        <v>1413</v>
      </c>
      <c r="I19" s="458"/>
      <c r="J19" s="468"/>
      <c r="K19" s="292"/>
      <c r="L19" s="460"/>
      <c r="M19" s="460"/>
      <c r="N19" s="460"/>
      <c r="O19" s="460"/>
      <c r="P19" s="460"/>
      <c r="Q19" s="461"/>
      <c r="R19" s="461"/>
      <c r="S19" s="170"/>
      <c r="T19" s="170"/>
      <c r="U19" s="170"/>
      <c r="V19" s="170"/>
      <c r="W19" s="170"/>
    </row>
    <row r="20" spans="1:23">
      <c r="A20" s="365"/>
      <c r="B20" s="374" t="s">
        <v>144</v>
      </c>
      <c r="C20" s="426">
        <v>943</v>
      </c>
      <c r="D20" s="426">
        <v>930</v>
      </c>
      <c r="E20" s="426">
        <v>976</v>
      </c>
      <c r="F20" s="426">
        <v>945</v>
      </c>
      <c r="G20" s="424">
        <v>896</v>
      </c>
      <c r="H20" s="391">
        <v>2351</v>
      </c>
      <c r="I20" s="458"/>
      <c r="J20" s="468"/>
      <c r="K20" s="292"/>
      <c r="L20" s="461"/>
      <c r="M20" s="461"/>
      <c r="N20" s="461"/>
      <c r="O20" s="461"/>
      <c r="P20" s="461"/>
      <c r="Q20" s="461"/>
      <c r="R20" s="460"/>
      <c r="S20" s="170"/>
      <c r="T20" s="170"/>
      <c r="U20" s="170"/>
      <c r="V20" s="170"/>
      <c r="W20" s="170"/>
    </row>
    <row r="21" spans="1:23">
      <c r="A21" s="365"/>
      <c r="B21" s="406" t="s">
        <v>151</v>
      </c>
      <c r="C21" s="426">
        <v>348</v>
      </c>
      <c r="D21" s="426">
        <v>456</v>
      </c>
      <c r="E21" s="424">
        <v>0</v>
      </c>
      <c r="F21" s="426">
        <v>1356</v>
      </c>
      <c r="G21" s="426">
        <v>1384</v>
      </c>
      <c r="H21" s="424">
        <v>0</v>
      </c>
      <c r="I21" s="458"/>
      <c r="J21" s="468"/>
      <c r="K21" s="292"/>
      <c r="L21" s="460"/>
      <c r="M21" s="460"/>
      <c r="N21" s="460"/>
      <c r="O21" s="460"/>
      <c r="P21" s="460"/>
      <c r="Q21" s="461"/>
      <c r="R21" s="460"/>
      <c r="S21" s="170"/>
      <c r="T21" s="170"/>
      <c r="U21" s="170"/>
      <c r="V21" s="170"/>
      <c r="W21" s="170"/>
    </row>
    <row r="22" spans="1:23">
      <c r="A22" s="365"/>
      <c r="B22" s="406" t="s">
        <v>180</v>
      </c>
      <c r="C22" s="426">
        <v>348</v>
      </c>
      <c r="D22" s="426">
        <v>456</v>
      </c>
      <c r="E22" s="426">
        <v>589</v>
      </c>
      <c r="F22" s="426">
        <v>475</v>
      </c>
      <c r="G22" s="424">
        <v>489</v>
      </c>
      <c r="H22" s="424">
        <v>453</v>
      </c>
      <c r="I22" s="458"/>
      <c r="J22" s="468"/>
      <c r="K22" s="292"/>
      <c r="L22" s="460"/>
      <c r="M22" s="460"/>
      <c r="N22" s="460"/>
      <c r="O22" s="461"/>
      <c r="P22" s="460"/>
      <c r="Q22" s="460"/>
      <c r="R22" s="461"/>
      <c r="S22" s="170"/>
      <c r="T22" s="170"/>
      <c r="U22" s="170"/>
      <c r="V22" s="170"/>
      <c r="W22" s="170"/>
    </row>
    <row r="23" spans="1:23">
      <c r="A23" s="365"/>
      <c r="B23" s="406" t="s">
        <v>181</v>
      </c>
      <c r="C23" s="426">
        <v>23</v>
      </c>
      <c r="D23" s="426">
        <v>21</v>
      </c>
      <c r="E23" s="426">
        <v>19</v>
      </c>
      <c r="F23" s="426">
        <v>18</v>
      </c>
      <c r="G23" s="424">
        <v>14</v>
      </c>
      <c r="H23" s="424">
        <v>10</v>
      </c>
      <c r="I23" s="458"/>
      <c r="J23" s="468"/>
      <c r="K23" s="292"/>
      <c r="L23" s="460"/>
      <c r="M23" s="460"/>
      <c r="N23" s="460"/>
      <c r="O23" s="460"/>
      <c r="P23" s="460"/>
      <c r="Q23" s="461"/>
      <c r="R23" s="461"/>
      <c r="S23" s="170"/>
      <c r="T23" s="170"/>
      <c r="U23" s="170"/>
      <c r="V23" s="170"/>
      <c r="W23" s="170"/>
    </row>
    <row r="24" spans="1:23">
      <c r="A24" s="365"/>
      <c r="B24" s="406" t="s">
        <v>182</v>
      </c>
      <c r="C24" s="424" t="s">
        <v>132</v>
      </c>
      <c r="D24" s="424" t="s">
        <v>132</v>
      </c>
      <c r="E24" s="424" t="s">
        <v>132</v>
      </c>
      <c r="F24" s="424" t="s">
        <v>132</v>
      </c>
      <c r="G24" s="425">
        <v>2783</v>
      </c>
      <c r="H24" s="425">
        <v>2814</v>
      </c>
      <c r="I24" s="458"/>
      <c r="J24" s="468"/>
      <c r="K24" s="292"/>
      <c r="L24" s="460"/>
      <c r="M24" s="460"/>
      <c r="N24" s="460"/>
      <c r="O24" s="460"/>
      <c r="P24" s="460"/>
      <c r="Q24" s="461"/>
      <c r="R24" s="461"/>
      <c r="S24" s="170"/>
      <c r="T24" s="170"/>
      <c r="U24" s="170"/>
      <c r="V24" s="170"/>
      <c r="W24" s="170"/>
    </row>
    <row r="25" spans="1:23">
      <c r="A25" s="365"/>
      <c r="B25" s="406" t="s">
        <v>183</v>
      </c>
      <c r="C25" s="424" t="s">
        <v>132</v>
      </c>
      <c r="D25" s="424">
        <v>0</v>
      </c>
      <c r="E25" s="424">
        <v>0</v>
      </c>
      <c r="F25" s="424">
        <v>0</v>
      </c>
      <c r="G25" s="423"/>
      <c r="H25" s="423"/>
      <c r="I25" s="458"/>
      <c r="J25" s="466"/>
      <c r="K25" s="462"/>
      <c r="L25" s="461"/>
      <c r="M25" s="461"/>
      <c r="N25" s="461"/>
      <c r="O25" s="461"/>
      <c r="P25" s="461"/>
      <c r="Q25" s="463"/>
      <c r="R25" s="463"/>
      <c r="S25" s="170"/>
      <c r="T25" s="170"/>
      <c r="U25" s="170"/>
      <c r="V25" s="170"/>
      <c r="W25" s="170"/>
    </row>
    <row r="26" spans="1:23">
      <c r="A26" s="365"/>
      <c r="B26" s="406" t="s">
        <v>184</v>
      </c>
      <c r="C26" s="423"/>
      <c r="D26" s="423"/>
      <c r="E26" s="423"/>
      <c r="F26" s="424">
        <v>0</v>
      </c>
      <c r="G26" s="425">
        <v>0</v>
      </c>
      <c r="H26" s="425">
        <v>87</v>
      </c>
      <c r="I26" s="458"/>
      <c r="J26" s="466"/>
      <c r="K26" s="462"/>
      <c r="L26" s="461"/>
      <c r="M26" s="461"/>
      <c r="N26" s="461"/>
      <c r="O26" s="461"/>
      <c r="P26" s="461"/>
      <c r="Q26" s="170"/>
      <c r="R26" s="170"/>
      <c r="S26" s="170"/>
      <c r="T26" s="170"/>
      <c r="U26" s="170"/>
      <c r="V26" s="170"/>
      <c r="W26" s="170"/>
    </row>
    <row r="27" spans="1:23">
      <c r="A27" s="365"/>
      <c r="B27" s="408" t="s">
        <v>185</v>
      </c>
      <c r="C27" s="431"/>
      <c r="D27" s="431"/>
      <c r="E27" s="431"/>
      <c r="F27" s="431"/>
      <c r="G27" s="431"/>
      <c r="H27" s="431"/>
      <c r="I27" s="458"/>
      <c r="J27" s="466"/>
      <c r="K27" s="462"/>
      <c r="L27" s="170"/>
      <c r="M27" s="170"/>
      <c r="N27" s="170"/>
      <c r="O27" s="170"/>
      <c r="P27" s="461"/>
      <c r="Q27" s="463"/>
      <c r="R27" s="463"/>
      <c r="S27" s="170"/>
      <c r="T27" s="170"/>
      <c r="U27" s="170"/>
      <c r="V27" s="170"/>
      <c r="W27" s="170"/>
    </row>
    <row r="28" spans="1:23">
      <c r="A28" s="365"/>
      <c r="B28" s="406" t="s">
        <v>186</v>
      </c>
      <c r="C28" s="424">
        <v>0</v>
      </c>
      <c r="D28" s="424">
        <v>0</v>
      </c>
      <c r="E28" s="424">
        <v>0</v>
      </c>
      <c r="F28" s="424">
        <v>0</v>
      </c>
      <c r="G28" s="424">
        <v>0</v>
      </c>
      <c r="H28" s="424">
        <v>0</v>
      </c>
      <c r="I28" s="458"/>
      <c r="J28" s="468"/>
      <c r="K28" s="292"/>
      <c r="L28" s="430"/>
      <c r="M28" s="430"/>
      <c r="N28" s="430"/>
      <c r="O28" s="430"/>
      <c r="P28" s="430"/>
      <c r="Q28" s="430"/>
      <c r="R28" s="430"/>
      <c r="S28" s="170"/>
      <c r="T28" s="170"/>
      <c r="U28" s="170"/>
      <c r="V28" s="170"/>
      <c r="W28" s="170"/>
    </row>
    <row r="29" spans="1:23">
      <c r="A29" s="365"/>
      <c r="B29" s="406" t="s">
        <v>187</v>
      </c>
      <c r="C29" s="424">
        <v>1</v>
      </c>
      <c r="D29" s="424">
        <v>1</v>
      </c>
      <c r="E29" s="424">
        <v>1</v>
      </c>
      <c r="F29" s="424">
        <v>1</v>
      </c>
      <c r="G29" s="424">
        <v>1</v>
      </c>
      <c r="H29" s="424">
        <v>1</v>
      </c>
      <c r="I29" s="458"/>
      <c r="J29" s="468"/>
      <c r="K29" s="292"/>
      <c r="L29" s="461"/>
      <c r="M29" s="461"/>
      <c r="N29" s="461"/>
      <c r="O29" s="461"/>
      <c r="P29" s="461"/>
      <c r="Q29" s="461"/>
      <c r="R29" s="461"/>
      <c r="S29" s="170"/>
      <c r="T29" s="170"/>
      <c r="U29" s="170"/>
      <c r="V29" s="170"/>
      <c r="W29" s="170"/>
    </row>
    <row r="30" spans="1:23">
      <c r="A30" s="365"/>
      <c r="B30" s="406" t="s">
        <v>145</v>
      </c>
      <c r="C30" s="426">
        <v>2501</v>
      </c>
      <c r="D30" s="426">
        <v>2901</v>
      </c>
      <c r="E30" s="426">
        <v>3194</v>
      </c>
      <c r="F30" s="426">
        <v>3483</v>
      </c>
      <c r="G30" s="426">
        <v>3855</v>
      </c>
      <c r="H30" s="426">
        <v>4170</v>
      </c>
      <c r="I30" s="458"/>
      <c r="J30" s="468"/>
      <c r="K30" s="292"/>
      <c r="L30" s="461"/>
      <c r="M30" s="461"/>
      <c r="N30" s="461"/>
      <c r="O30" s="461"/>
      <c r="P30" s="461"/>
      <c r="Q30" s="461"/>
      <c r="R30" s="461"/>
      <c r="S30" s="170"/>
      <c r="T30" s="170"/>
      <c r="U30" s="170"/>
      <c r="V30" s="170"/>
      <c r="W30" s="170"/>
    </row>
    <row r="31" spans="1:23">
      <c r="A31" s="365"/>
      <c r="B31" s="406" t="s">
        <v>188</v>
      </c>
      <c r="C31" s="426">
        <v>-1479</v>
      </c>
      <c r="D31" s="426">
        <v>-1497</v>
      </c>
      <c r="E31" s="426">
        <v>-1623</v>
      </c>
      <c r="F31" s="426">
        <v>-2537</v>
      </c>
      <c r="G31" s="426">
        <v>-3395</v>
      </c>
      <c r="H31" s="426">
        <v>-4048</v>
      </c>
      <c r="I31" s="458"/>
      <c r="J31" s="468"/>
      <c r="K31" s="292"/>
      <c r="L31" s="460"/>
      <c r="M31" s="460"/>
      <c r="N31" s="460"/>
      <c r="O31" s="460"/>
      <c r="P31" s="460"/>
      <c r="Q31" s="460"/>
      <c r="R31" s="460"/>
      <c r="S31" s="170"/>
      <c r="T31" s="170"/>
      <c r="U31" s="170"/>
      <c r="V31" s="170"/>
      <c r="W31" s="170"/>
    </row>
    <row r="32" spans="1:23" s="15" customFormat="1">
      <c r="A32" s="367"/>
      <c r="B32" s="406" t="s">
        <v>189</v>
      </c>
      <c r="C32" s="426">
        <v>10</v>
      </c>
      <c r="D32" s="426">
        <v>11</v>
      </c>
      <c r="E32" s="426">
        <v>10</v>
      </c>
      <c r="F32" s="426">
        <v>5</v>
      </c>
      <c r="G32" s="424">
        <v>8</v>
      </c>
      <c r="H32" s="424">
        <v>-4</v>
      </c>
      <c r="I32" s="458"/>
      <c r="J32" s="467"/>
      <c r="K32" s="131"/>
      <c r="L32" s="426"/>
      <c r="M32" s="426"/>
      <c r="N32" s="426"/>
      <c r="O32" s="426"/>
      <c r="P32" s="426"/>
      <c r="Q32" s="426"/>
      <c r="R32" s="426"/>
    </row>
    <row r="33" spans="1:18">
      <c r="B33" s="406" t="s">
        <v>146</v>
      </c>
      <c r="C33" s="426">
        <v>2149</v>
      </c>
      <c r="D33" s="426">
        <v>2730</v>
      </c>
      <c r="E33" s="426">
        <v>3246</v>
      </c>
      <c r="F33" s="426">
        <v>3505</v>
      </c>
      <c r="G33" s="426">
        <v>3949</v>
      </c>
      <c r="H33" s="426">
        <v>4350</v>
      </c>
      <c r="L33" s="426"/>
      <c r="M33" s="426"/>
      <c r="N33" s="426"/>
      <c r="O33" s="426"/>
      <c r="P33" s="426"/>
      <c r="Q33" s="424"/>
      <c r="R33" s="424"/>
    </row>
    <row r="34" spans="1:18" s="175" customFormat="1">
      <c r="A34" s="367"/>
      <c r="B34" s="374" t="s">
        <v>190</v>
      </c>
      <c r="C34" s="459">
        <v>3181</v>
      </c>
      <c r="D34" s="459">
        <v>4146</v>
      </c>
      <c r="E34" s="459">
        <v>4828</v>
      </c>
      <c r="F34" s="459">
        <v>4456</v>
      </c>
      <c r="G34" s="459">
        <v>4418</v>
      </c>
      <c r="H34" s="459">
        <v>4469</v>
      </c>
      <c r="I34" s="457"/>
      <c r="J34" s="455"/>
      <c r="L34" s="459"/>
      <c r="M34" s="459"/>
      <c r="N34" s="459"/>
      <c r="O34" s="459"/>
      <c r="P34" s="459"/>
      <c r="Q34" s="459"/>
      <c r="R34" s="459"/>
    </row>
    <row r="35" spans="1:18" ht="28.8">
      <c r="B35" s="406" t="s">
        <v>191</v>
      </c>
      <c r="C35" s="425">
        <v>4495</v>
      </c>
      <c r="D35" s="425">
        <v>5553</v>
      </c>
      <c r="E35" s="425">
        <v>6412</v>
      </c>
      <c r="F35" s="425">
        <v>7251</v>
      </c>
      <c r="G35" s="425">
        <v>7201</v>
      </c>
      <c r="H35" s="425">
        <v>7370</v>
      </c>
      <c r="L35" s="426"/>
      <c r="M35" s="426"/>
      <c r="N35" s="426"/>
      <c r="O35" s="426"/>
      <c r="P35" s="426"/>
      <c r="Q35" s="426"/>
      <c r="R35" s="426"/>
    </row>
    <row r="36" spans="1:18" ht="44.25" customHeight="1">
      <c r="B36" s="8"/>
      <c r="C36" s="75"/>
      <c r="D36" s="8"/>
      <c r="E36" s="8"/>
      <c r="F36" s="8"/>
      <c r="G36" s="8"/>
      <c r="H36" s="8"/>
      <c r="L36" s="425"/>
      <c r="M36" s="425"/>
      <c r="N36" s="425"/>
      <c r="O36" s="425"/>
      <c r="P36" s="425"/>
      <c r="Q36" s="425"/>
      <c r="R36" s="425"/>
    </row>
    <row r="37" spans="1:18" s="464" customFormat="1" ht="45.75" customHeight="1">
      <c r="A37" s="367"/>
      <c r="B37" s="470"/>
      <c r="C37" s="471"/>
      <c r="D37" s="472"/>
      <c r="E37" s="472"/>
      <c r="F37" s="472"/>
      <c r="G37" s="470"/>
      <c r="H37" s="470"/>
      <c r="I37" s="473"/>
      <c r="L37" s="470"/>
      <c r="P37" s="470"/>
    </row>
    <row r="38" spans="1:18">
      <c r="C38" s="73"/>
      <c r="D38" s="71"/>
      <c r="E38" s="71"/>
      <c r="F38" s="71"/>
      <c r="L38" s="172"/>
    </row>
    <row r="39" spans="1:18">
      <c r="C39" s="73"/>
      <c r="L39" s="423"/>
    </row>
    <row r="40" spans="1:18">
      <c r="C40" s="73"/>
      <c r="F40" s="36"/>
    </row>
    <row r="41" spans="1:18">
      <c r="C41" s="73"/>
    </row>
    <row r="42" spans="1:18">
      <c r="C42" s="73"/>
    </row>
    <row r="43" spans="1:18">
      <c r="C43" s="73"/>
      <c r="D43" s="36"/>
    </row>
    <row r="44" spans="1:18">
      <c r="C44" s="73"/>
    </row>
    <row r="45" spans="1:18">
      <c r="C45" s="73"/>
    </row>
    <row r="46" spans="1:18">
      <c r="C46" s="74"/>
      <c r="D46" s="72"/>
      <c r="E46" s="72"/>
      <c r="F46" s="72"/>
    </row>
    <row r="47" spans="1:18">
      <c r="C47" s="73"/>
      <c r="D47" s="71"/>
      <c r="E47" s="71"/>
      <c r="F47" s="71"/>
    </row>
    <row r="48" spans="1:18">
      <c r="C48" s="74"/>
      <c r="D48" s="72"/>
      <c r="E48" s="72"/>
      <c r="F48" s="72"/>
    </row>
    <row r="49" spans="3:6">
      <c r="C49" s="73"/>
    </row>
    <row r="50" spans="3:6">
      <c r="C50" s="73"/>
      <c r="D50" s="71"/>
      <c r="E50" s="71"/>
      <c r="F50" s="71"/>
    </row>
    <row r="51" spans="3:6">
      <c r="C51" s="73"/>
      <c r="D51" s="71"/>
      <c r="E51" s="71"/>
      <c r="F51" s="71"/>
    </row>
    <row r="52" spans="3:6">
      <c r="C52" s="7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autoPageBreaks="0"/>
  </sheetPr>
  <dimension ref="A1:S39"/>
  <sheetViews>
    <sheetView showGridLines="0" workbookViewId="0">
      <pane xSplit="1" ySplit="1" topLeftCell="B2" activePane="bottomRight" state="frozen"/>
      <selection pane="topRight" activeCell="B1" sqref="B1"/>
      <selection pane="bottomLeft" activeCell="A7" sqref="A7"/>
      <selection pane="bottomRight" activeCell="I18" sqref="I18"/>
    </sheetView>
  </sheetViews>
  <sheetFormatPr defaultRowHeight="14.4"/>
  <cols>
    <col min="1" max="1" width="3.44140625" style="367" customWidth="1"/>
    <col min="2" max="2" width="67.88671875" customWidth="1"/>
    <col min="3" max="5" width="10.44140625" bestFit="1" customWidth="1"/>
    <col min="6" max="8" width="11.44140625" bestFit="1" customWidth="1"/>
    <col min="9" max="9" width="8.33203125" customWidth="1"/>
    <col min="11" max="11" width="8.88671875" style="455"/>
    <col min="12" max="12" width="25.88671875" customWidth="1"/>
  </cols>
  <sheetData>
    <row r="1" spans="1:19" s="367" customFormat="1">
      <c r="B1" s="394"/>
      <c r="C1" s="385"/>
      <c r="D1" s="385"/>
      <c r="E1" s="385"/>
      <c r="F1" s="385"/>
      <c r="G1" s="385"/>
      <c r="H1" s="398"/>
    </row>
    <row r="2" spans="1:19" s="222" customFormat="1">
      <c r="A2" s="367"/>
      <c r="B2" s="409" t="s">
        <v>242</v>
      </c>
      <c r="C2" s="429">
        <v>2011</v>
      </c>
      <c r="D2" s="429">
        <v>2012</v>
      </c>
      <c r="E2" s="429">
        <v>2013</v>
      </c>
      <c r="F2" s="429">
        <v>2014</v>
      </c>
      <c r="G2" s="429">
        <v>2015</v>
      </c>
      <c r="H2" s="429">
        <v>2016</v>
      </c>
      <c r="I2" s="476"/>
      <c r="J2" s="175"/>
      <c r="K2" s="455"/>
    </row>
    <row r="3" spans="1:19">
      <c r="B3" s="436" t="s">
        <v>86</v>
      </c>
      <c r="C3" s="432">
        <v>3543</v>
      </c>
      <c r="D3" s="432">
        <v>3998</v>
      </c>
      <c r="E3" s="432">
        <v>4280</v>
      </c>
      <c r="F3" s="432">
        <v>4130</v>
      </c>
      <c r="G3" s="432">
        <v>4682</v>
      </c>
      <c r="H3" s="379">
        <v>5010</v>
      </c>
      <c r="I3" s="127"/>
      <c r="K3" s="496"/>
      <c r="L3" s="429"/>
      <c r="M3" s="429"/>
      <c r="N3" s="429"/>
      <c r="O3" s="429"/>
      <c r="P3" s="429"/>
      <c r="Q3" s="429"/>
    </row>
    <row r="4" spans="1:19">
      <c r="B4" s="436" t="s">
        <v>192</v>
      </c>
      <c r="C4" s="433">
        <v>2134</v>
      </c>
      <c r="D4" s="433">
        <v>1941</v>
      </c>
      <c r="E4" s="433">
        <v>2053</v>
      </c>
      <c r="F4" s="433">
        <v>1862</v>
      </c>
      <c r="G4" s="433">
        <v>2083</v>
      </c>
      <c r="H4" s="381">
        <v>2199</v>
      </c>
      <c r="I4" s="127"/>
      <c r="K4" s="497"/>
      <c r="L4" s="432"/>
      <c r="M4" s="432"/>
      <c r="N4" s="432"/>
      <c r="O4" s="432"/>
      <c r="P4" s="432"/>
      <c r="Q4" s="432"/>
    </row>
    <row r="5" spans="1:19">
      <c r="B5" s="409" t="s">
        <v>193</v>
      </c>
      <c r="C5" s="433">
        <v>1409</v>
      </c>
      <c r="D5" s="433">
        <v>2056</v>
      </c>
      <c r="E5" s="433">
        <v>2226</v>
      </c>
      <c r="F5" s="433">
        <v>2268</v>
      </c>
      <c r="G5" s="433">
        <v>2599</v>
      </c>
      <c r="H5" s="433">
        <v>2811</v>
      </c>
      <c r="I5" s="127"/>
      <c r="K5" s="497"/>
      <c r="L5" s="433"/>
      <c r="M5" s="433"/>
      <c r="N5" s="433"/>
      <c r="O5" s="433"/>
      <c r="P5" s="433"/>
      <c r="Q5" s="433"/>
    </row>
    <row r="6" spans="1:19">
      <c r="B6" s="436" t="s">
        <v>78</v>
      </c>
      <c r="C6" s="433">
        <v>849</v>
      </c>
      <c r="D6" s="433">
        <v>102</v>
      </c>
      <c r="E6" s="433">
        <v>1002</v>
      </c>
      <c r="F6" s="433">
        <v>1336</v>
      </c>
      <c r="G6" s="433">
        <v>1360</v>
      </c>
      <c r="H6" s="381">
        <v>1331</v>
      </c>
      <c r="I6" s="127"/>
      <c r="L6" s="433"/>
      <c r="M6" s="433"/>
      <c r="N6" s="433"/>
      <c r="O6" s="433"/>
      <c r="P6" s="433"/>
      <c r="Q6" s="433"/>
    </row>
    <row r="7" spans="1:19">
      <c r="B7" s="436" t="s">
        <v>194</v>
      </c>
      <c r="C7" s="433">
        <v>362</v>
      </c>
      <c r="D7" s="433">
        <v>406</v>
      </c>
      <c r="E7" s="433">
        <v>431</v>
      </c>
      <c r="F7" s="429">
        <v>436</v>
      </c>
      <c r="G7" s="429">
        <v>480</v>
      </c>
      <c r="H7" s="383">
        <v>602</v>
      </c>
      <c r="I7" s="128"/>
      <c r="L7" s="433"/>
      <c r="M7" s="433"/>
      <c r="N7" s="433"/>
      <c r="O7" s="433"/>
      <c r="P7" s="433"/>
      <c r="Q7" s="433"/>
    </row>
    <row r="8" spans="1:19" hidden="1">
      <c r="B8" s="410" t="s">
        <v>195</v>
      </c>
      <c r="C8" s="433">
        <v>0</v>
      </c>
      <c r="D8" s="433">
        <v>0</v>
      </c>
      <c r="E8" s="433">
        <v>0</v>
      </c>
      <c r="F8" s="429">
        <v>0</v>
      </c>
      <c r="G8" s="429">
        <v>0</v>
      </c>
      <c r="H8" s="429">
        <v>131</v>
      </c>
      <c r="I8" s="127"/>
      <c r="L8" s="433"/>
      <c r="M8" s="433"/>
      <c r="N8" s="433"/>
      <c r="O8" s="429"/>
      <c r="P8" s="429"/>
      <c r="Q8" s="429"/>
    </row>
    <row r="9" spans="1:19" s="169" customFormat="1">
      <c r="A9" s="367"/>
      <c r="B9" s="409" t="s">
        <v>196</v>
      </c>
      <c r="C9" s="433">
        <v>-57</v>
      </c>
      <c r="D9" s="434">
        <v>0</v>
      </c>
      <c r="E9" s="434">
        <v>0</v>
      </c>
      <c r="F9" s="434">
        <v>0</v>
      </c>
      <c r="G9" s="434">
        <v>0</v>
      </c>
      <c r="H9" s="434">
        <v>0</v>
      </c>
      <c r="I9" s="153"/>
      <c r="K9" s="455"/>
      <c r="L9" s="433"/>
      <c r="M9" s="433"/>
      <c r="N9" s="433"/>
      <c r="O9" s="429"/>
      <c r="P9" s="429"/>
      <c r="Q9" s="429"/>
    </row>
    <row r="10" spans="1:19">
      <c r="B10" s="436" t="s">
        <v>197</v>
      </c>
      <c r="C10" s="433">
        <v>1153</v>
      </c>
      <c r="D10" s="433">
        <v>1408</v>
      </c>
      <c r="E10" s="433">
        <v>1578</v>
      </c>
      <c r="F10" s="433">
        <v>1772</v>
      </c>
      <c r="G10" s="433">
        <v>1840</v>
      </c>
      <c r="H10" s="381">
        <v>2064</v>
      </c>
      <c r="I10" s="127"/>
      <c r="L10" s="433"/>
      <c r="M10" s="434"/>
      <c r="N10" s="434"/>
      <c r="O10" s="434"/>
      <c r="P10" s="434"/>
      <c r="Q10" s="434"/>
      <c r="R10" s="129"/>
      <c r="S10" s="129"/>
    </row>
    <row r="11" spans="1:19" ht="16.350000000000001" customHeight="1">
      <c r="B11" s="409" t="s">
        <v>198</v>
      </c>
      <c r="C11" s="433">
        <v>256</v>
      </c>
      <c r="D11" s="433">
        <v>648</v>
      </c>
      <c r="E11" s="433">
        <v>648</v>
      </c>
      <c r="F11" s="429">
        <v>496</v>
      </c>
      <c r="G11" s="429">
        <v>759</v>
      </c>
      <c r="H11" s="429">
        <v>747</v>
      </c>
      <c r="I11" s="127"/>
      <c r="L11" s="433"/>
      <c r="M11" s="433"/>
      <c r="N11" s="433"/>
      <c r="O11" s="433"/>
      <c r="P11" s="433"/>
      <c r="Q11" s="433"/>
      <c r="R11" s="131"/>
      <c r="S11" s="131"/>
    </row>
    <row r="12" spans="1:19">
      <c r="B12" s="436" t="s">
        <v>91</v>
      </c>
      <c r="C12" s="433">
        <v>19</v>
      </c>
      <c r="D12" s="433">
        <v>19</v>
      </c>
      <c r="E12" s="433">
        <v>20</v>
      </c>
      <c r="F12" s="429">
        <v>17</v>
      </c>
      <c r="G12" s="429">
        <v>28</v>
      </c>
      <c r="H12" s="383">
        <v>39</v>
      </c>
      <c r="I12" s="127"/>
      <c r="L12" s="433"/>
      <c r="M12" s="433"/>
      <c r="N12" s="433"/>
      <c r="O12" s="429"/>
      <c r="P12" s="429"/>
      <c r="Q12" s="429"/>
      <c r="R12" s="129"/>
      <c r="S12" s="129"/>
    </row>
    <row r="13" spans="1:19">
      <c r="B13" s="384" t="s">
        <v>152</v>
      </c>
      <c r="C13" s="433">
        <v>-3</v>
      </c>
      <c r="D13" s="433">
        <v>-3</v>
      </c>
      <c r="E13" s="433">
        <v>-3</v>
      </c>
      <c r="F13" s="429">
        <v>-10</v>
      </c>
      <c r="G13" s="429">
        <v>-46</v>
      </c>
      <c r="H13" s="383">
        <v>-47</v>
      </c>
      <c r="I13" s="127"/>
      <c r="L13" s="433"/>
      <c r="M13" s="433"/>
      <c r="N13" s="433"/>
      <c r="O13" s="429"/>
      <c r="P13" s="429"/>
      <c r="Q13" s="429"/>
      <c r="R13" s="133"/>
      <c r="S13" s="129"/>
    </row>
    <row r="14" spans="1:19">
      <c r="B14" s="409" t="s">
        <v>199</v>
      </c>
      <c r="C14" s="429">
        <v>-1</v>
      </c>
      <c r="D14" s="429">
        <v>-1</v>
      </c>
      <c r="E14" s="433">
        <v>-3</v>
      </c>
      <c r="F14" s="429">
        <v>7</v>
      </c>
      <c r="G14" s="429">
        <v>14</v>
      </c>
      <c r="H14" s="429">
        <v>4</v>
      </c>
      <c r="I14" s="127"/>
      <c r="L14" s="433"/>
      <c r="M14" s="433"/>
      <c r="N14" s="433"/>
      <c r="O14" s="429"/>
      <c r="P14" s="429"/>
      <c r="Q14" s="429"/>
      <c r="R14" s="129"/>
      <c r="S14" s="129"/>
    </row>
    <row r="15" spans="1:19">
      <c r="B15" s="436" t="s">
        <v>200</v>
      </c>
      <c r="C15" s="433">
        <v>271</v>
      </c>
      <c r="D15" s="433">
        <v>663</v>
      </c>
      <c r="E15" s="433">
        <v>662</v>
      </c>
      <c r="F15" s="429">
        <v>510</v>
      </c>
      <c r="G15" s="429">
        <v>755</v>
      </c>
      <c r="H15" s="383">
        <v>743</v>
      </c>
      <c r="I15" s="127"/>
      <c r="L15" s="429"/>
      <c r="M15" s="429"/>
      <c r="N15" s="433"/>
      <c r="O15" s="429"/>
      <c r="P15" s="429"/>
      <c r="Q15" s="429"/>
      <c r="R15" s="133"/>
      <c r="S15" s="129"/>
    </row>
    <row r="16" spans="1:19" s="169" customFormat="1">
      <c r="A16" s="367"/>
      <c r="B16" s="436" t="s">
        <v>201</v>
      </c>
      <c r="C16" s="433">
        <v>18</v>
      </c>
      <c r="D16" s="433">
        <v>82</v>
      </c>
      <c r="E16" s="433">
        <v>100</v>
      </c>
      <c r="F16" s="429">
        <v>70</v>
      </c>
      <c r="G16" s="429">
        <v>124</v>
      </c>
      <c r="H16" s="383">
        <v>129</v>
      </c>
      <c r="I16" s="153"/>
      <c r="K16" s="455"/>
      <c r="L16" s="433"/>
      <c r="M16" s="433"/>
      <c r="N16" s="433"/>
      <c r="O16" s="429"/>
      <c r="P16" s="429"/>
      <c r="Q16" s="429"/>
      <c r="R16" s="218"/>
      <c r="S16" s="160"/>
    </row>
    <row r="17" spans="1:19">
      <c r="B17" s="436" t="s">
        <v>147</v>
      </c>
      <c r="C17" s="432">
        <v>253</v>
      </c>
      <c r="D17" s="432">
        <v>581</v>
      </c>
      <c r="E17" s="432">
        <v>563</v>
      </c>
      <c r="F17" s="432">
        <v>440</v>
      </c>
      <c r="G17" s="432">
        <v>631</v>
      </c>
      <c r="H17" s="379">
        <v>614</v>
      </c>
      <c r="I17" s="127"/>
      <c r="K17" s="496"/>
      <c r="L17" s="433"/>
      <c r="M17" s="433"/>
      <c r="N17" s="433"/>
      <c r="O17" s="429"/>
      <c r="P17" s="429"/>
      <c r="Q17" s="429"/>
      <c r="R17" s="131"/>
      <c r="S17" s="131"/>
    </row>
    <row r="18" spans="1:19">
      <c r="B18" s="436" t="s">
        <v>202</v>
      </c>
      <c r="C18" s="435">
        <v>0.44</v>
      </c>
      <c r="D18" s="435">
        <v>0.96</v>
      </c>
      <c r="E18" s="435">
        <v>0.91</v>
      </c>
      <c r="F18" s="435">
        <v>0.75</v>
      </c>
      <c r="G18" s="435">
        <v>1.1399999999999999</v>
      </c>
      <c r="H18" s="435">
        <v>1.1299999999999999</v>
      </c>
      <c r="I18" s="127"/>
      <c r="K18" s="498"/>
      <c r="L18" s="432"/>
      <c r="M18" s="432"/>
      <c r="N18" s="432"/>
      <c r="O18" s="432"/>
      <c r="P18" s="432"/>
      <c r="Q18" s="432"/>
    </row>
    <row r="19" spans="1:19">
      <c r="B19" s="409" t="s">
        <v>203</v>
      </c>
      <c r="C19" s="435">
        <v>0.43</v>
      </c>
      <c r="D19" s="435">
        <v>0.94</v>
      </c>
      <c r="E19" s="435">
        <v>0.9</v>
      </c>
      <c r="F19" s="435">
        <v>0.74</v>
      </c>
      <c r="G19" s="435">
        <v>1.1200000000000001</v>
      </c>
      <c r="H19" s="435">
        <v>1.08</v>
      </c>
      <c r="I19" s="127"/>
      <c r="L19" s="435"/>
      <c r="M19" s="435"/>
      <c r="N19" s="435"/>
      <c r="O19" s="435"/>
      <c r="P19" s="435"/>
      <c r="Q19" s="435"/>
    </row>
    <row r="20" spans="1:19">
      <c r="B20" s="436" t="s">
        <v>254</v>
      </c>
      <c r="C20" s="401">
        <v>575</v>
      </c>
      <c r="D20" s="433">
        <v>604</v>
      </c>
      <c r="E20" s="433">
        <v>619</v>
      </c>
      <c r="F20" s="429">
        <v>588</v>
      </c>
      <c r="G20" s="429">
        <v>552</v>
      </c>
      <c r="H20" s="383">
        <v>543</v>
      </c>
      <c r="I20" s="127"/>
      <c r="L20" s="433"/>
      <c r="M20" s="435"/>
      <c r="N20" s="435"/>
      <c r="O20" s="435"/>
      <c r="P20" s="435"/>
      <c r="Q20" s="435"/>
    </row>
    <row r="21" spans="1:19">
      <c r="B21" s="409" t="s">
        <v>255</v>
      </c>
      <c r="C21" s="433">
        <v>589</v>
      </c>
      <c r="D21" s="433">
        <v>616</v>
      </c>
      <c r="E21" s="433">
        <v>624</v>
      </c>
      <c r="F21" s="429">
        <v>595</v>
      </c>
      <c r="G21" s="429">
        <v>563</v>
      </c>
      <c r="H21" s="429">
        <v>569</v>
      </c>
      <c r="I21" s="127"/>
      <c r="L21" s="435"/>
      <c r="M21" s="433"/>
      <c r="N21" s="433"/>
      <c r="O21" s="429"/>
      <c r="P21" s="429"/>
      <c r="Q21" s="429"/>
    </row>
    <row r="22" spans="1:19">
      <c r="B22" s="409" t="s">
        <v>204</v>
      </c>
      <c r="C22" s="435">
        <v>0</v>
      </c>
      <c r="D22" s="432">
        <v>0</v>
      </c>
      <c r="E22" s="435">
        <v>7.4999999999999997E-2</v>
      </c>
      <c r="F22" s="435">
        <v>0.31</v>
      </c>
      <c r="G22" s="435">
        <v>0.34</v>
      </c>
      <c r="H22" s="435">
        <v>0.39500000000000002</v>
      </c>
      <c r="I22" s="127"/>
      <c r="L22" s="433"/>
      <c r="M22" s="433"/>
      <c r="N22" s="433"/>
      <c r="O22" s="429"/>
      <c r="P22" s="429"/>
      <c r="Q22" s="429"/>
    </row>
    <row r="23" spans="1:19">
      <c r="B23" s="77"/>
      <c r="C23" s="108"/>
      <c r="D23" s="127"/>
      <c r="E23" s="127"/>
      <c r="F23" s="127"/>
      <c r="G23" s="127"/>
      <c r="H23" s="127"/>
      <c r="I23" s="127"/>
      <c r="L23" s="435"/>
      <c r="M23" s="432"/>
      <c r="N23" s="435"/>
      <c r="O23" s="435"/>
      <c r="P23" s="435"/>
      <c r="Q23" s="435"/>
    </row>
    <row r="24" spans="1:19">
      <c r="B24" s="77" t="s">
        <v>133</v>
      </c>
      <c r="C24" s="108"/>
      <c r="D24" s="127"/>
      <c r="E24" s="127"/>
      <c r="F24" s="127"/>
      <c r="G24" s="127"/>
      <c r="H24" s="127"/>
      <c r="I24" s="127"/>
    </row>
    <row r="25" spans="1:19">
      <c r="C25" s="36"/>
      <c r="D25" s="71"/>
      <c r="E25" s="71"/>
      <c r="F25" s="71"/>
      <c r="G25" s="71"/>
      <c r="H25" s="71"/>
      <c r="I25" s="127"/>
    </row>
    <row r="26" spans="1:19" s="175" customFormat="1" ht="48.6" customHeight="1">
      <c r="A26" s="367"/>
      <c r="C26" s="474"/>
      <c r="D26" s="475"/>
      <c r="E26" s="475"/>
      <c r="F26" s="475"/>
      <c r="G26" s="475"/>
      <c r="H26" s="475"/>
      <c r="I26" s="475"/>
      <c r="K26" s="455"/>
    </row>
    <row r="27" spans="1:19" s="464" customFormat="1" ht="48.6" customHeight="1">
      <c r="A27" s="367"/>
      <c r="C27" s="499"/>
      <c r="D27" s="500"/>
      <c r="E27" s="500"/>
      <c r="F27" s="500"/>
      <c r="G27" s="500"/>
      <c r="H27" s="500"/>
      <c r="I27" s="500"/>
    </row>
    <row r="28" spans="1:19">
      <c r="C28" s="36"/>
      <c r="I28" s="71"/>
    </row>
    <row r="29" spans="1:19">
      <c r="C29" s="36"/>
      <c r="D29" s="72"/>
      <c r="E29" s="72"/>
      <c r="F29" s="72"/>
      <c r="G29" s="72"/>
      <c r="H29" s="72"/>
    </row>
    <row r="30" spans="1:19">
      <c r="C30" s="36"/>
      <c r="I30" s="72"/>
    </row>
    <row r="31" spans="1:19">
      <c r="C31" s="36"/>
      <c r="D31" s="71"/>
      <c r="E31" s="71"/>
      <c r="F31" s="71"/>
      <c r="G31" s="71"/>
      <c r="H31" s="83"/>
    </row>
    <row r="32" spans="1:19">
      <c r="C32" s="36"/>
      <c r="H32" s="2"/>
      <c r="I32" s="83"/>
    </row>
    <row r="33" spans="3:9">
      <c r="C33" s="36"/>
      <c r="D33" s="72"/>
      <c r="E33" s="72"/>
      <c r="F33" s="72"/>
      <c r="G33" s="72"/>
      <c r="H33" s="84"/>
      <c r="I33" s="2"/>
    </row>
    <row r="34" spans="3:9">
      <c r="C34" s="36"/>
      <c r="H34" s="2"/>
      <c r="I34" s="84"/>
    </row>
    <row r="35" spans="3:9">
      <c r="C35" s="36"/>
      <c r="D35" s="71"/>
      <c r="E35" s="71"/>
      <c r="F35" s="71"/>
      <c r="G35" s="71"/>
      <c r="H35" s="83"/>
      <c r="I35" s="2"/>
    </row>
    <row r="36" spans="3:9">
      <c r="C36" s="36"/>
      <c r="D36" s="71"/>
      <c r="E36" s="71"/>
      <c r="F36" s="71"/>
      <c r="G36" s="71"/>
      <c r="H36" s="83"/>
      <c r="I36" s="83"/>
    </row>
    <row r="37" spans="3:9">
      <c r="C37" s="36"/>
      <c r="D37" s="72"/>
      <c r="E37" s="72"/>
      <c r="F37" s="72"/>
      <c r="G37" s="72"/>
      <c r="H37" s="72"/>
      <c r="I37" s="83"/>
    </row>
    <row r="38" spans="3:9">
      <c r="C38" s="36"/>
      <c r="D38" s="36"/>
      <c r="E38" s="36"/>
      <c r="F38" s="36"/>
      <c r="G38" s="72"/>
      <c r="H38" s="36"/>
      <c r="I38" s="72"/>
    </row>
    <row r="39" spans="3:9">
      <c r="I39" s="3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autoPageBreaks="0"/>
  </sheetPr>
  <dimension ref="A1:R52"/>
  <sheetViews>
    <sheetView showGridLines="0" zoomScale="60" zoomScaleNormal="60" zoomScalePageLayoutView="60" workbookViewId="0">
      <pane xSplit="1" ySplit="1" topLeftCell="B2" activePane="bottomRight" state="frozen"/>
      <selection pane="topRight" activeCell="B1" sqref="B1"/>
      <selection pane="bottomLeft" activeCell="A9" sqref="A9"/>
      <selection pane="bottomRight" activeCell="E50" sqref="E50"/>
    </sheetView>
  </sheetViews>
  <sheetFormatPr defaultRowHeight="14.4"/>
  <cols>
    <col min="1" max="1" width="3.44140625" style="367" customWidth="1"/>
    <col min="2" max="2" width="48.88671875" customWidth="1"/>
    <col min="3" max="3" width="13.88671875" customWidth="1"/>
    <col min="4" max="4" width="12.6640625" style="76" customWidth="1"/>
    <col min="5" max="5" width="13.33203125" style="76" customWidth="1"/>
    <col min="6" max="6" width="12.88671875" style="15" customWidth="1"/>
    <col min="7" max="7" width="12.6640625" style="76" customWidth="1"/>
    <col min="8" max="8" width="13" style="76" customWidth="1"/>
    <col min="9" max="9" width="11.33203125" style="15" customWidth="1"/>
    <col min="10" max="10" width="11.33203125" style="455" bestFit="1" customWidth="1"/>
    <col min="11" max="11" width="11.33203125" style="15" bestFit="1" customWidth="1"/>
    <col min="13" max="13" width="39.6640625" customWidth="1"/>
  </cols>
  <sheetData>
    <row r="1" spans="1:18" s="402" customFormat="1" ht="14.4" customHeight="1">
      <c r="A1" s="371"/>
      <c r="B1" s="404"/>
      <c r="J1" s="488"/>
    </row>
    <row r="2" spans="1:18" s="224" customFormat="1">
      <c r="A2" s="365"/>
      <c r="B2" s="427" t="s">
        <v>243</v>
      </c>
      <c r="C2" s="424">
        <v>2011</v>
      </c>
      <c r="D2" s="424">
        <v>2012</v>
      </c>
      <c r="E2" s="424">
        <v>2013</v>
      </c>
      <c r="F2" s="424">
        <v>2014</v>
      </c>
      <c r="G2" s="424">
        <v>2015</v>
      </c>
      <c r="H2" s="424">
        <v>2016</v>
      </c>
      <c r="I2" s="264"/>
      <c r="J2" s="455"/>
      <c r="M2" s="427"/>
      <c r="N2" s="427"/>
      <c r="O2" s="427"/>
      <c r="P2" s="427"/>
      <c r="Q2" s="427"/>
      <c r="R2" s="427"/>
    </row>
    <row r="3" spans="1:18">
      <c r="A3" s="365"/>
      <c r="B3" s="411" t="s">
        <v>205</v>
      </c>
      <c r="C3" s="426">
        <v>253</v>
      </c>
      <c r="D3" s="424">
        <v>581</v>
      </c>
      <c r="E3" s="424">
        <v>563</v>
      </c>
      <c r="F3" s="424">
        <v>440</v>
      </c>
      <c r="G3" s="424">
        <v>631</v>
      </c>
      <c r="H3" s="424">
        <v>614</v>
      </c>
      <c r="I3" s="264"/>
      <c r="M3" s="426"/>
      <c r="N3" s="424"/>
      <c r="O3" s="424"/>
      <c r="P3" s="424"/>
      <c r="Q3" s="424"/>
      <c r="R3" s="424"/>
    </row>
    <row r="4" spans="1:18" ht="15" customHeight="1">
      <c r="A4" s="365"/>
      <c r="B4" s="374" t="s">
        <v>206</v>
      </c>
      <c r="C4" s="426">
        <v>187</v>
      </c>
      <c r="D4" s="424">
        <v>204</v>
      </c>
      <c r="E4" s="424">
        <v>226</v>
      </c>
      <c r="F4" s="424">
        <v>239</v>
      </c>
      <c r="G4" s="424">
        <v>220</v>
      </c>
      <c r="H4" s="427">
        <v>197</v>
      </c>
      <c r="I4" s="264"/>
      <c r="M4" s="426"/>
      <c r="N4" s="424"/>
      <c r="O4" s="424"/>
      <c r="P4" s="424"/>
      <c r="Q4" s="424"/>
      <c r="R4" s="424"/>
    </row>
    <row r="5" spans="1:18" ht="15" customHeight="1">
      <c r="A5" s="365"/>
      <c r="B5" s="411" t="s">
        <v>207</v>
      </c>
      <c r="C5" s="424">
        <v>157</v>
      </c>
      <c r="D5" s="424">
        <v>145</v>
      </c>
      <c r="E5" s="424">
        <v>158</v>
      </c>
      <c r="F5" s="424">
        <v>164</v>
      </c>
      <c r="G5" s="424">
        <v>143</v>
      </c>
      <c r="H5" s="424">
        <v>124</v>
      </c>
      <c r="I5" s="264"/>
      <c r="M5" s="424"/>
      <c r="N5" s="424"/>
      <c r="O5" s="424"/>
      <c r="P5" s="424"/>
      <c r="Q5" s="424"/>
      <c r="R5" s="424"/>
    </row>
    <row r="6" spans="1:18" ht="15" customHeight="1">
      <c r="A6" s="365"/>
      <c r="B6" s="411" t="s">
        <v>208</v>
      </c>
      <c r="C6" s="424">
        <v>30</v>
      </c>
      <c r="D6" s="424">
        <v>59</v>
      </c>
      <c r="E6" s="424">
        <v>69</v>
      </c>
      <c r="F6" s="424">
        <v>75</v>
      </c>
      <c r="G6" s="424">
        <v>77</v>
      </c>
      <c r="H6" s="424">
        <v>73</v>
      </c>
      <c r="I6" s="264"/>
      <c r="M6" s="424"/>
      <c r="N6" s="424"/>
      <c r="O6" s="424"/>
      <c r="P6" s="424"/>
      <c r="Q6" s="424"/>
      <c r="R6" s="424"/>
    </row>
    <row r="7" spans="1:18" ht="15" customHeight="1">
      <c r="A7" s="365"/>
      <c r="B7" s="411" t="s">
        <v>209</v>
      </c>
      <c r="C7" s="424">
        <v>-3</v>
      </c>
      <c r="D7" s="424">
        <v>19</v>
      </c>
      <c r="E7" s="424">
        <v>32</v>
      </c>
      <c r="F7" s="424">
        <v>15</v>
      </c>
      <c r="G7" s="424">
        <v>83</v>
      </c>
      <c r="H7" s="424">
        <v>134</v>
      </c>
      <c r="I7" s="264"/>
      <c r="M7" s="424"/>
      <c r="N7" s="424"/>
      <c r="O7" s="424"/>
      <c r="P7" s="424"/>
      <c r="Q7" s="424"/>
      <c r="R7" s="424"/>
    </row>
    <row r="8" spans="1:18" ht="15" customHeight="1">
      <c r="A8" s="365"/>
      <c r="B8" s="411" t="s">
        <v>210</v>
      </c>
      <c r="C8" s="424">
        <v>-3</v>
      </c>
      <c r="D8" s="424">
        <v>19</v>
      </c>
      <c r="E8" s="424">
        <v>32</v>
      </c>
      <c r="F8" s="424">
        <v>15</v>
      </c>
      <c r="G8" s="424">
        <v>83</v>
      </c>
      <c r="H8" s="424">
        <v>134</v>
      </c>
      <c r="I8" s="264"/>
      <c r="M8" s="424"/>
      <c r="N8" s="424"/>
      <c r="O8" s="424"/>
      <c r="P8" s="424"/>
      <c r="Q8" s="424"/>
      <c r="R8" s="424"/>
    </row>
    <row r="9" spans="1:18" ht="15" customHeight="1">
      <c r="A9" s="365"/>
      <c r="B9" s="411" t="s">
        <v>211</v>
      </c>
      <c r="C9" s="424">
        <v>87</v>
      </c>
      <c r="D9" s="424">
        <v>103</v>
      </c>
      <c r="E9" s="424">
        <v>116</v>
      </c>
      <c r="F9" s="424">
        <v>128</v>
      </c>
      <c r="G9" s="424">
        <v>175</v>
      </c>
      <c r="H9" s="424">
        <v>281</v>
      </c>
      <c r="I9" s="264"/>
      <c r="M9" s="424"/>
      <c r="N9" s="424"/>
      <c r="O9" s="424"/>
      <c r="P9" s="424"/>
      <c r="Q9" s="424"/>
      <c r="R9" s="424"/>
    </row>
    <row r="10" spans="1:18" ht="15" customHeight="1">
      <c r="A10" s="365"/>
      <c r="B10" s="411" t="s">
        <v>212</v>
      </c>
      <c r="C10" s="424">
        <v>524</v>
      </c>
      <c r="D10" s="424">
        <v>907</v>
      </c>
      <c r="E10" s="424">
        <v>936</v>
      </c>
      <c r="F10" s="424">
        <v>823</v>
      </c>
      <c r="G10" s="426">
        <v>1108</v>
      </c>
      <c r="H10" s="426">
        <v>1226</v>
      </c>
      <c r="I10" s="264"/>
      <c r="M10" s="424"/>
      <c r="N10" s="424"/>
      <c r="O10" s="424"/>
      <c r="P10" s="424"/>
      <c r="Q10" s="426"/>
      <c r="R10" s="426"/>
    </row>
    <row r="11" spans="1:18" ht="15" customHeight="1">
      <c r="A11" s="365"/>
      <c r="B11" s="411" t="s">
        <v>213</v>
      </c>
      <c r="C11" s="424">
        <v>152</v>
      </c>
      <c r="D11" s="424">
        <v>2</v>
      </c>
      <c r="E11" s="424">
        <v>-112</v>
      </c>
      <c r="F11" s="424">
        <v>12</v>
      </c>
      <c r="G11" s="424">
        <v>-203</v>
      </c>
      <c r="H11" s="424">
        <v>-51</v>
      </c>
      <c r="I11" s="264"/>
      <c r="M11" s="424"/>
      <c r="N11" s="424"/>
      <c r="O11" s="424"/>
      <c r="P11" s="424"/>
      <c r="Q11" s="424"/>
      <c r="R11" s="424"/>
    </row>
    <row r="12" spans="1:18" ht="15" customHeight="1">
      <c r="A12" s="365"/>
      <c r="B12" s="411" t="s">
        <v>214</v>
      </c>
      <c r="C12" s="424">
        <v>26</v>
      </c>
      <c r="D12" s="424">
        <v>26</v>
      </c>
      <c r="E12" s="424">
        <v>-119</v>
      </c>
      <c r="F12" s="424">
        <v>29</v>
      </c>
      <c r="G12" s="424">
        <v>-49</v>
      </c>
      <c r="H12" s="424">
        <v>-32</v>
      </c>
      <c r="I12" s="264"/>
      <c r="M12" s="424"/>
      <c r="N12" s="424"/>
      <c r="O12" s="424"/>
      <c r="P12" s="424"/>
      <c r="Q12" s="424"/>
      <c r="R12" s="424"/>
    </row>
    <row r="13" spans="1:18" ht="15" customHeight="1">
      <c r="A13" s="365"/>
      <c r="B13" s="411" t="s">
        <v>173</v>
      </c>
      <c r="C13" s="424">
        <v>-14</v>
      </c>
      <c r="D13" s="424">
        <v>19</v>
      </c>
      <c r="E13" s="424">
        <v>-79</v>
      </c>
      <c r="F13" s="424">
        <v>25</v>
      </c>
      <c r="G13" s="424">
        <v>-95</v>
      </c>
      <c r="H13" s="424">
        <v>66</v>
      </c>
      <c r="I13" s="264"/>
      <c r="M13" s="424"/>
      <c r="N13" s="424"/>
      <c r="O13" s="424"/>
      <c r="P13" s="424"/>
      <c r="Q13" s="424"/>
      <c r="R13" s="424"/>
    </row>
    <row r="14" spans="1:18" ht="15" customHeight="1">
      <c r="A14" s="365"/>
      <c r="B14" s="411" t="s">
        <v>215</v>
      </c>
      <c r="C14" s="424">
        <v>-70</v>
      </c>
      <c r="D14" s="424">
        <v>36</v>
      </c>
      <c r="E14" s="424">
        <v>11</v>
      </c>
      <c r="F14" s="424">
        <v>-20</v>
      </c>
      <c r="G14" s="424">
        <v>-27</v>
      </c>
      <c r="H14" s="424">
        <v>-11</v>
      </c>
      <c r="I14" s="264"/>
      <c r="M14" s="424"/>
      <c r="N14" s="424"/>
      <c r="O14" s="424"/>
      <c r="P14" s="424"/>
      <c r="Q14" s="424"/>
      <c r="R14" s="424"/>
    </row>
    <row r="15" spans="1:18" ht="15" customHeight="1">
      <c r="A15" s="365"/>
      <c r="B15" s="411" t="s">
        <v>216</v>
      </c>
      <c r="C15" s="424">
        <v>196</v>
      </c>
      <c r="D15" s="424">
        <v>7</v>
      </c>
      <c r="E15" s="424">
        <v>86</v>
      </c>
      <c r="F15" s="424">
        <v>-32</v>
      </c>
      <c r="G15" s="424">
        <v>5</v>
      </c>
      <c r="H15" s="424">
        <v>39</v>
      </c>
      <c r="I15" s="264"/>
      <c r="M15" s="424"/>
      <c r="N15" s="424"/>
      <c r="O15" s="424"/>
      <c r="P15" s="424"/>
      <c r="Q15" s="424"/>
      <c r="R15" s="424"/>
    </row>
    <row r="16" spans="1:18" ht="15" customHeight="1">
      <c r="A16" s="365"/>
      <c r="B16" s="411" t="s">
        <v>217</v>
      </c>
      <c r="C16" s="424">
        <v>13</v>
      </c>
      <c r="D16" s="424">
        <v>-85</v>
      </c>
      <c r="E16" s="424">
        <v>-12</v>
      </c>
      <c r="F16" s="424">
        <v>12</v>
      </c>
      <c r="G16" s="424">
        <v>-37</v>
      </c>
      <c r="H16" s="424">
        <v>-113</v>
      </c>
      <c r="I16" s="264"/>
      <c r="M16" s="424"/>
      <c r="N16" s="424"/>
      <c r="O16" s="424"/>
      <c r="P16" s="424"/>
      <c r="Q16" s="424"/>
      <c r="R16" s="424"/>
    </row>
    <row r="17" spans="1:18" ht="15" customHeight="1">
      <c r="A17" s="365"/>
      <c r="B17" s="411" t="s">
        <v>218</v>
      </c>
      <c r="C17" s="424">
        <v>676</v>
      </c>
      <c r="D17" s="424">
        <v>909</v>
      </c>
      <c r="E17" s="424">
        <v>824</v>
      </c>
      <c r="F17" s="424">
        <v>835</v>
      </c>
      <c r="G17" s="424">
        <v>906</v>
      </c>
      <c r="H17" s="426">
        <v>1175</v>
      </c>
      <c r="I17" s="264"/>
      <c r="M17" s="424"/>
      <c r="N17" s="424"/>
      <c r="O17" s="424"/>
      <c r="P17" s="424"/>
      <c r="Q17" s="424"/>
      <c r="R17" s="426"/>
    </row>
    <row r="18" spans="1:18" ht="15" customHeight="1">
      <c r="A18" s="365"/>
      <c r="B18" s="374" t="s">
        <v>102</v>
      </c>
      <c r="C18" s="424">
        <v>-98</v>
      </c>
      <c r="D18" s="424">
        <v>-139</v>
      </c>
      <c r="E18" s="424">
        <v>-183</v>
      </c>
      <c r="F18" s="424">
        <v>-255</v>
      </c>
      <c r="G18" s="424">
        <v>-122</v>
      </c>
      <c r="H18" s="427">
        <v>-86</v>
      </c>
      <c r="I18" s="264"/>
      <c r="M18" s="424"/>
      <c r="N18" s="424"/>
      <c r="O18" s="424"/>
      <c r="P18" s="424"/>
      <c r="Q18" s="424"/>
      <c r="R18" s="424"/>
    </row>
    <row r="19" spans="1:18" ht="15" customHeight="1">
      <c r="A19" s="365"/>
      <c r="B19" s="411" t="s">
        <v>219</v>
      </c>
      <c r="C19" s="424">
        <v>-98</v>
      </c>
      <c r="D19" s="424">
        <v>-139</v>
      </c>
      <c r="E19" s="424">
        <v>-183</v>
      </c>
      <c r="F19" s="424">
        <v>-255</v>
      </c>
      <c r="G19" s="424">
        <v>-122</v>
      </c>
      <c r="H19" s="424">
        <v>-86</v>
      </c>
      <c r="I19" s="264"/>
      <c r="M19" s="424"/>
      <c r="N19" s="424"/>
      <c r="O19" s="424"/>
      <c r="P19" s="424"/>
      <c r="Q19" s="424"/>
      <c r="R19" s="424"/>
    </row>
    <row r="20" spans="1:18" ht="15" customHeight="1">
      <c r="A20" s="365"/>
      <c r="B20" s="411" t="s">
        <v>220</v>
      </c>
      <c r="C20" s="424">
        <v>0</v>
      </c>
      <c r="D20" s="424">
        <v>-349</v>
      </c>
      <c r="E20" s="424" t="s">
        <v>132</v>
      </c>
      <c r="F20" s="424">
        <v>-17</v>
      </c>
      <c r="G20" s="424" t="s">
        <v>132</v>
      </c>
      <c r="H20" s="424" t="s">
        <v>132</v>
      </c>
      <c r="I20" s="264"/>
      <c r="M20" s="424"/>
      <c r="N20" s="424"/>
      <c r="O20" s="424"/>
      <c r="P20" s="424"/>
      <c r="Q20" s="424"/>
      <c r="R20" s="424"/>
    </row>
    <row r="21" spans="1:18" ht="15" customHeight="1">
      <c r="A21" s="365"/>
      <c r="B21" s="411" t="s">
        <v>221</v>
      </c>
      <c r="C21" s="424">
        <v>0</v>
      </c>
      <c r="D21" s="424" t="s">
        <v>132</v>
      </c>
      <c r="E21" s="424" t="s">
        <v>132</v>
      </c>
      <c r="F21" s="424" t="s">
        <v>132</v>
      </c>
      <c r="G21" s="424" t="s">
        <v>132</v>
      </c>
      <c r="H21" s="424">
        <v>7</v>
      </c>
      <c r="I21" s="264"/>
      <c r="M21" s="424"/>
      <c r="N21" s="424"/>
      <c r="O21" s="424"/>
      <c r="P21" s="424"/>
      <c r="Q21" s="424"/>
      <c r="R21" s="424"/>
    </row>
    <row r="22" spans="1:18" ht="15" customHeight="1">
      <c r="A22" s="365"/>
      <c r="B22" s="411" t="s">
        <v>222</v>
      </c>
      <c r="C22" s="424">
        <v>-550</v>
      </c>
      <c r="D22" s="424">
        <v>-654</v>
      </c>
      <c r="E22" s="424">
        <v>-561</v>
      </c>
      <c r="F22" s="424">
        <v>-553</v>
      </c>
      <c r="G22" s="424">
        <v>-625</v>
      </c>
      <c r="H22" s="424">
        <v>-339</v>
      </c>
      <c r="I22" s="264"/>
      <c r="M22" s="424"/>
      <c r="N22" s="424"/>
      <c r="O22" s="424"/>
      <c r="P22" s="424"/>
      <c r="Q22" s="424"/>
      <c r="R22" s="424"/>
    </row>
    <row r="23" spans="1:18" ht="15" customHeight="1">
      <c r="A23" s="365"/>
      <c r="B23" s="411" t="s">
        <v>223</v>
      </c>
      <c r="C23" s="424">
        <v>-1720</v>
      </c>
      <c r="D23" s="426">
        <v>-1965</v>
      </c>
      <c r="E23" s="426">
        <v>-2378</v>
      </c>
      <c r="F23" s="426">
        <v>-3065</v>
      </c>
      <c r="G23" s="426">
        <v>-2862</v>
      </c>
      <c r="H23" s="426">
        <v>-3477</v>
      </c>
      <c r="I23" s="264"/>
      <c r="M23" s="424"/>
      <c r="N23" s="426"/>
      <c r="O23" s="426"/>
      <c r="P23" s="426"/>
      <c r="Q23" s="426"/>
      <c r="R23" s="426"/>
    </row>
    <row r="24" spans="1:18" ht="15" customHeight="1">
      <c r="A24" s="365"/>
      <c r="B24" s="411" t="s">
        <v>224</v>
      </c>
      <c r="C24" s="424">
        <v>1170</v>
      </c>
      <c r="D24" s="426">
        <v>1311</v>
      </c>
      <c r="E24" s="426">
        <v>1817</v>
      </c>
      <c r="F24" s="426">
        <v>2512</v>
      </c>
      <c r="G24" s="426">
        <v>2237</v>
      </c>
      <c r="H24" s="426">
        <v>3138</v>
      </c>
      <c r="I24" s="264"/>
      <c r="M24" s="424"/>
      <c r="N24" s="426"/>
      <c r="O24" s="426"/>
      <c r="P24" s="426"/>
      <c r="Q24" s="426"/>
      <c r="R24" s="426"/>
    </row>
    <row r="25" spans="1:18" ht="15" customHeight="1">
      <c r="A25" s="365"/>
      <c r="B25" s="411" t="s">
        <v>225</v>
      </c>
      <c r="C25" s="424">
        <v>-2</v>
      </c>
      <c r="D25" s="424">
        <v>-2</v>
      </c>
      <c r="E25" s="424" t="s">
        <v>132</v>
      </c>
      <c r="F25" s="424">
        <v>-5</v>
      </c>
      <c r="G25" s="424">
        <v>-1</v>
      </c>
      <c r="H25" s="424">
        <v>-6</v>
      </c>
      <c r="I25" s="264"/>
      <c r="M25" s="424"/>
      <c r="N25" s="424"/>
      <c r="O25" s="424"/>
      <c r="P25" s="424"/>
      <c r="Q25" s="424"/>
      <c r="R25" s="424"/>
    </row>
    <row r="26" spans="1:18" ht="15.6" customHeight="1">
      <c r="A26" s="365"/>
      <c r="B26" s="411" t="s">
        <v>226</v>
      </c>
      <c r="C26" s="424">
        <v>0</v>
      </c>
      <c r="D26" s="424" t="s">
        <v>132</v>
      </c>
      <c r="E26" s="424">
        <v>0</v>
      </c>
      <c r="F26" s="424">
        <v>25</v>
      </c>
      <c r="G26" s="424">
        <v>21</v>
      </c>
      <c r="H26" s="424">
        <v>24</v>
      </c>
      <c r="I26" s="264"/>
      <c r="M26" s="424"/>
      <c r="N26" s="424"/>
      <c r="O26" s="424"/>
      <c r="P26" s="424"/>
      <c r="Q26" s="424"/>
      <c r="R26" s="424"/>
    </row>
    <row r="27" spans="1:18" ht="15.6" customHeight="1">
      <c r="A27" s="365"/>
      <c r="B27" s="411" t="s">
        <v>227</v>
      </c>
      <c r="C27" s="424">
        <v>-650</v>
      </c>
      <c r="D27" s="426">
        <v>-1143</v>
      </c>
      <c r="E27" s="424">
        <v>-744</v>
      </c>
      <c r="F27" s="424">
        <v>-806</v>
      </c>
      <c r="G27" s="424">
        <v>-727</v>
      </c>
      <c r="H27" s="424">
        <v>-400</v>
      </c>
      <c r="I27" s="264"/>
      <c r="M27" s="424"/>
      <c r="N27" s="426"/>
      <c r="O27" s="424"/>
      <c r="P27" s="424"/>
      <c r="Q27" s="424"/>
      <c r="R27" s="424"/>
    </row>
    <row r="28" spans="1:18" ht="18" customHeight="1">
      <c r="A28" s="365"/>
      <c r="B28" s="411" t="s">
        <v>228</v>
      </c>
      <c r="C28" s="424">
        <v>0</v>
      </c>
      <c r="D28" s="424" t="s">
        <v>132</v>
      </c>
      <c r="E28" s="424">
        <v>-47</v>
      </c>
      <c r="F28" s="424">
        <v>-181</v>
      </c>
      <c r="G28" s="424">
        <v>-186</v>
      </c>
      <c r="H28" s="424">
        <v>-213</v>
      </c>
      <c r="I28" s="264"/>
      <c r="M28" s="424"/>
      <c r="N28" s="424"/>
      <c r="O28" s="424"/>
      <c r="P28" s="424"/>
      <c r="Q28" s="424"/>
      <c r="R28" s="424"/>
    </row>
    <row r="29" spans="1:18" ht="16.350000000000001" customHeight="1">
      <c r="A29" s="365"/>
      <c r="B29" s="411" t="s">
        <v>229</v>
      </c>
      <c r="C29" s="424">
        <v>0</v>
      </c>
      <c r="D29" s="424" t="s">
        <v>132</v>
      </c>
      <c r="E29" s="424">
        <v>-47</v>
      </c>
      <c r="F29" s="424">
        <v>-181</v>
      </c>
      <c r="G29" s="424">
        <v>-186</v>
      </c>
      <c r="H29" s="424">
        <v>-213</v>
      </c>
      <c r="I29" s="264"/>
      <c r="M29" s="424"/>
      <c r="N29" s="424"/>
      <c r="O29" s="424"/>
      <c r="P29" s="424"/>
      <c r="Q29" s="424"/>
      <c r="R29" s="424"/>
    </row>
    <row r="30" spans="1:18" ht="17.399999999999999" customHeight="1">
      <c r="A30" s="365"/>
      <c r="B30" s="411" t="s">
        <v>230</v>
      </c>
      <c r="C30" s="424">
        <v>177</v>
      </c>
      <c r="D30" s="424">
        <v>196</v>
      </c>
      <c r="E30" s="424">
        <v>-35</v>
      </c>
      <c r="F30" s="424">
        <v>-758</v>
      </c>
      <c r="G30" s="424">
        <v>-660</v>
      </c>
      <c r="H30" s="424">
        <v>-467</v>
      </c>
      <c r="I30" s="264"/>
      <c r="M30" s="424"/>
      <c r="N30" s="424"/>
      <c r="O30" s="424"/>
      <c r="P30" s="424"/>
      <c r="Q30" s="424"/>
      <c r="R30" s="424"/>
    </row>
    <row r="31" spans="1:18" ht="15" customHeight="1">
      <c r="A31" s="365"/>
      <c r="B31" s="411" t="s">
        <v>231</v>
      </c>
      <c r="C31" s="424">
        <v>0</v>
      </c>
      <c r="D31" s="424" t="s">
        <v>132</v>
      </c>
      <c r="E31" s="424">
        <v>-100</v>
      </c>
      <c r="F31" s="424">
        <v>-887</v>
      </c>
      <c r="G31" s="424">
        <v>-814</v>
      </c>
      <c r="H31" s="424">
        <v>-587</v>
      </c>
      <c r="I31" s="264"/>
      <c r="M31" s="424"/>
      <c r="N31" s="424"/>
      <c r="O31" s="424"/>
      <c r="P31" s="424"/>
      <c r="Q31" s="424"/>
      <c r="R31" s="424"/>
    </row>
    <row r="32" spans="1:18" ht="15" customHeight="1">
      <c r="B32" s="411" t="s">
        <v>232</v>
      </c>
      <c r="C32" s="424">
        <v>177</v>
      </c>
      <c r="D32" s="424">
        <v>196</v>
      </c>
      <c r="E32" s="424">
        <v>65</v>
      </c>
      <c r="F32" s="424">
        <v>129</v>
      </c>
      <c r="G32" s="424">
        <v>153</v>
      </c>
      <c r="H32" s="424">
        <v>120</v>
      </c>
      <c r="I32" s="264"/>
      <c r="M32" s="424"/>
      <c r="N32" s="424"/>
      <c r="O32" s="424"/>
      <c r="P32" s="424"/>
      <c r="Q32" s="424"/>
      <c r="R32" s="424"/>
    </row>
    <row r="33" spans="1:18" ht="15" customHeight="1">
      <c r="B33" s="411" t="s">
        <v>233</v>
      </c>
      <c r="C33" s="424">
        <v>177</v>
      </c>
      <c r="D33" s="424">
        <v>196</v>
      </c>
      <c r="E33" s="424">
        <v>65</v>
      </c>
      <c r="F33" s="424">
        <v>129</v>
      </c>
      <c r="G33" s="424">
        <v>153</v>
      </c>
      <c r="H33" s="424">
        <v>120</v>
      </c>
      <c r="I33" s="264"/>
      <c r="M33" s="424"/>
      <c r="N33" s="424"/>
      <c r="O33" s="424"/>
      <c r="P33" s="424"/>
      <c r="Q33" s="424"/>
      <c r="R33" s="424"/>
    </row>
    <row r="34" spans="1:18" ht="15" customHeight="1">
      <c r="B34" s="411" t="s">
        <v>234</v>
      </c>
      <c r="C34" s="424">
        <v>0</v>
      </c>
      <c r="D34" s="424">
        <v>-2</v>
      </c>
      <c r="E34" s="424">
        <v>-2</v>
      </c>
      <c r="F34" s="426">
        <v>1475</v>
      </c>
      <c r="G34" s="424">
        <v>-3</v>
      </c>
      <c r="H34" s="424">
        <v>-3</v>
      </c>
      <c r="I34" s="264"/>
      <c r="M34" s="424"/>
      <c r="N34" s="424"/>
      <c r="O34" s="424"/>
      <c r="P34" s="426"/>
      <c r="Q34" s="424"/>
      <c r="R34" s="424"/>
    </row>
    <row r="35" spans="1:18" ht="15" customHeight="1">
      <c r="B35" s="411" t="s">
        <v>235</v>
      </c>
      <c r="C35" s="424">
        <v>0</v>
      </c>
      <c r="D35" s="424">
        <v>-2</v>
      </c>
      <c r="E35" s="424">
        <v>-2</v>
      </c>
      <c r="F35" s="426">
        <v>1475</v>
      </c>
      <c r="G35" s="424">
        <v>-3</v>
      </c>
      <c r="H35" s="424">
        <v>-3</v>
      </c>
      <c r="I35" s="264"/>
      <c r="M35" s="424"/>
      <c r="N35" s="424"/>
      <c r="O35" s="424"/>
      <c r="P35" s="426"/>
      <c r="Q35" s="424"/>
      <c r="R35" s="424"/>
    </row>
    <row r="36" spans="1:18" ht="15" customHeight="1">
      <c r="B36" s="411" t="s">
        <v>236</v>
      </c>
      <c r="C36" s="424">
        <v>0</v>
      </c>
      <c r="D36" s="424" t="s">
        <v>132</v>
      </c>
      <c r="E36" s="424" t="s">
        <v>132</v>
      </c>
      <c r="F36" s="426">
        <v>1478</v>
      </c>
      <c r="G36" s="424" t="s">
        <v>132</v>
      </c>
      <c r="H36" s="424" t="s">
        <v>132</v>
      </c>
      <c r="I36" s="264"/>
      <c r="M36" s="424"/>
      <c r="N36" s="424"/>
      <c r="O36" s="424"/>
      <c r="P36" s="426"/>
      <c r="Q36" s="424"/>
      <c r="R36" s="424"/>
    </row>
    <row r="37" spans="1:18" ht="15" customHeight="1">
      <c r="B37" s="411" t="s">
        <v>237</v>
      </c>
      <c r="C37" s="424">
        <v>0</v>
      </c>
      <c r="D37" s="424">
        <v>-2</v>
      </c>
      <c r="E37" s="424">
        <v>-2</v>
      </c>
      <c r="F37" s="424">
        <v>-2</v>
      </c>
      <c r="G37" s="424">
        <v>-3</v>
      </c>
      <c r="H37" s="424">
        <v>-3</v>
      </c>
      <c r="I37" s="264"/>
      <c r="M37" s="424"/>
      <c r="N37" s="424"/>
      <c r="O37" s="424"/>
      <c r="P37" s="424"/>
      <c r="Q37" s="424"/>
      <c r="R37" s="424"/>
    </row>
    <row r="38" spans="1:18">
      <c r="B38" s="411" t="s">
        <v>211</v>
      </c>
      <c r="C38" s="424">
        <v>15</v>
      </c>
      <c r="D38" s="424">
        <v>42</v>
      </c>
      <c r="E38" s="424">
        <v>69</v>
      </c>
      <c r="F38" s="424">
        <v>-146</v>
      </c>
      <c r="G38" s="424">
        <v>16</v>
      </c>
      <c r="H38" s="424">
        <v>7</v>
      </c>
      <c r="I38" s="264"/>
      <c r="M38" s="424"/>
      <c r="N38" s="424"/>
      <c r="O38" s="424"/>
      <c r="P38" s="424"/>
      <c r="Q38" s="424"/>
      <c r="R38" s="424"/>
    </row>
    <row r="39" spans="1:18" ht="21" customHeight="1">
      <c r="B39" s="411" t="s">
        <v>225</v>
      </c>
      <c r="C39" s="424">
        <v>-1</v>
      </c>
      <c r="D39" s="424">
        <v>-10</v>
      </c>
      <c r="E39" s="424" t="s">
        <v>132</v>
      </c>
      <c r="F39" s="424">
        <v>-172</v>
      </c>
      <c r="G39" s="424">
        <v>-3</v>
      </c>
      <c r="H39" s="424">
        <v>-3</v>
      </c>
      <c r="I39" s="264"/>
      <c r="M39" s="424"/>
      <c r="N39" s="424"/>
      <c r="O39" s="424"/>
      <c r="P39" s="424"/>
      <c r="Q39" s="424"/>
      <c r="R39" s="424"/>
    </row>
    <row r="40" spans="1:18" s="175" customFormat="1" ht="22.5" customHeight="1">
      <c r="A40" s="367"/>
      <c r="B40" s="411" t="s">
        <v>226</v>
      </c>
      <c r="C40" s="424">
        <v>15</v>
      </c>
      <c r="D40" s="424">
        <v>53</v>
      </c>
      <c r="E40" s="424">
        <v>69</v>
      </c>
      <c r="F40" s="424">
        <v>26</v>
      </c>
      <c r="G40" s="424">
        <v>18</v>
      </c>
      <c r="H40" s="424">
        <v>10</v>
      </c>
      <c r="I40" s="264"/>
      <c r="J40" s="455"/>
      <c r="M40" s="424"/>
      <c r="N40" s="424"/>
      <c r="O40" s="424"/>
      <c r="P40" s="424"/>
      <c r="Q40" s="424"/>
      <c r="R40" s="424"/>
    </row>
    <row r="41" spans="1:18" ht="15" customHeight="1">
      <c r="B41" s="411" t="s">
        <v>238</v>
      </c>
      <c r="C41" s="424">
        <v>192</v>
      </c>
      <c r="D41" s="424">
        <v>237</v>
      </c>
      <c r="E41" s="424">
        <v>-15</v>
      </c>
      <c r="F41" s="424">
        <v>390</v>
      </c>
      <c r="G41" s="424">
        <v>-834</v>
      </c>
      <c r="H41" s="424">
        <v>-676</v>
      </c>
      <c r="I41" s="264"/>
      <c r="M41" s="424"/>
      <c r="N41" s="424"/>
      <c r="O41" s="424"/>
      <c r="P41" s="424"/>
      <c r="Q41" s="424"/>
      <c r="R41" s="424"/>
    </row>
    <row r="42" spans="1:18">
      <c r="B42" s="411" t="s">
        <v>239</v>
      </c>
      <c r="C42" s="423"/>
      <c r="D42" s="424">
        <v>3</v>
      </c>
      <c r="E42" s="424">
        <v>65</v>
      </c>
      <c r="F42" s="424">
        <v>419</v>
      </c>
      <c r="G42" s="424">
        <v>-655</v>
      </c>
      <c r="H42" s="424">
        <v>99</v>
      </c>
      <c r="I42" s="264"/>
      <c r="M42" s="423"/>
      <c r="N42" s="424"/>
      <c r="O42" s="424"/>
      <c r="P42" s="424"/>
      <c r="Q42" s="424"/>
      <c r="R42" s="424"/>
    </row>
    <row r="43" spans="1:18">
      <c r="B43" s="411" t="s">
        <v>103</v>
      </c>
      <c r="C43" s="424">
        <v>578</v>
      </c>
      <c r="D43" s="424">
        <v>770</v>
      </c>
      <c r="E43" s="424">
        <v>641</v>
      </c>
      <c r="F43" s="424">
        <v>580</v>
      </c>
      <c r="G43" s="424">
        <v>783</v>
      </c>
      <c r="H43" s="426">
        <v>1089</v>
      </c>
      <c r="I43" s="264"/>
      <c r="M43" s="424"/>
      <c r="N43" s="424"/>
      <c r="O43" s="424"/>
      <c r="P43" s="424"/>
      <c r="Q43" s="424"/>
      <c r="R43" s="426"/>
    </row>
    <row r="44" spans="1:18" ht="45" customHeight="1">
      <c r="B44" s="260"/>
      <c r="C44" s="261"/>
      <c r="D44" s="262"/>
      <c r="E44" s="262"/>
      <c r="F44" s="263"/>
      <c r="G44" s="263"/>
      <c r="H44" s="263"/>
      <c r="I44" s="264"/>
      <c r="M44" s="130"/>
      <c r="N44" s="129"/>
      <c r="O44" s="263"/>
      <c r="P44" s="134"/>
      <c r="Q44" s="262"/>
      <c r="R44" s="134"/>
    </row>
    <row r="45" spans="1:18" s="464" customFormat="1" ht="45" customHeight="1">
      <c r="B45" s="489"/>
      <c r="C45" s="490"/>
      <c r="D45" s="491"/>
      <c r="E45" s="491"/>
      <c r="F45" s="492"/>
      <c r="G45" s="492"/>
      <c r="H45" s="492"/>
      <c r="I45" s="493"/>
      <c r="M45" s="494"/>
      <c r="N45" s="465"/>
      <c r="O45" s="465"/>
      <c r="P45" s="495"/>
      <c r="Q45" s="495"/>
      <c r="R45" s="495"/>
    </row>
    <row r="46" spans="1:18">
      <c r="B46" s="260"/>
      <c r="C46" s="144"/>
      <c r="D46" s="265"/>
      <c r="E46" s="265"/>
      <c r="F46" s="266"/>
      <c r="G46" s="266"/>
      <c r="H46" s="266"/>
      <c r="I46" s="264"/>
      <c r="M46" s="130"/>
      <c r="N46" s="133"/>
      <c r="O46" s="133"/>
      <c r="P46" s="134"/>
      <c r="Q46" s="134"/>
      <c r="R46" s="134"/>
    </row>
    <row r="47" spans="1:18">
      <c r="B47" s="265"/>
      <c r="C47" s="144"/>
      <c r="D47" s="265"/>
      <c r="E47" s="265"/>
      <c r="F47" s="264"/>
      <c r="G47" s="265"/>
      <c r="H47" s="265"/>
      <c r="I47" s="264"/>
      <c r="M47" s="130"/>
      <c r="N47" s="133"/>
      <c r="O47" s="133"/>
      <c r="P47" s="134"/>
      <c r="Q47" s="134"/>
      <c r="R47" s="134"/>
    </row>
    <row r="48" spans="1:18">
      <c r="B48" s="267"/>
      <c r="C48" s="265"/>
      <c r="D48" s="265"/>
      <c r="E48" s="265"/>
      <c r="F48" s="264"/>
      <c r="G48" s="265"/>
      <c r="H48" s="265"/>
      <c r="I48" s="264"/>
      <c r="M48" s="135"/>
      <c r="N48" s="129"/>
      <c r="O48" s="129"/>
      <c r="P48" s="129"/>
      <c r="Q48" s="129"/>
      <c r="R48" s="129"/>
    </row>
    <row r="49" spans="1:18" ht="18" customHeight="1">
      <c r="B49" s="265"/>
      <c r="C49" s="265"/>
      <c r="D49" s="265"/>
      <c r="E49" s="265"/>
      <c r="F49" s="264"/>
      <c r="G49" s="265"/>
      <c r="H49" s="265"/>
      <c r="I49" s="264"/>
      <c r="M49" s="130"/>
      <c r="N49" s="133"/>
      <c r="O49" s="133"/>
      <c r="P49" s="134"/>
      <c r="Q49" s="134"/>
      <c r="R49" s="134"/>
    </row>
    <row r="50" spans="1:18" s="175" customFormat="1" ht="16.5" customHeight="1">
      <c r="A50" s="367"/>
      <c r="J50" s="455"/>
      <c r="M50" s="146"/>
      <c r="N50" s="227"/>
      <c r="O50" s="227"/>
      <c r="P50" s="145"/>
      <c r="Q50" s="145"/>
      <c r="R50" s="145"/>
    </row>
    <row r="51" spans="1:18">
      <c r="M51" s="130"/>
      <c r="N51" s="76"/>
      <c r="O51" s="76"/>
      <c r="P51" s="132"/>
      <c r="Q51" s="132"/>
      <c r="R51" s="132"/>
    </row>
    <row r="52" spans="1:18">
      <c r="M52" s="76"/>
      <c r="N52" s="76"/>
      <c r="O52" s="76"/>
      <c r="P52" s="76"/>
      <c r="Q52" s="76"/>
      <c r="R52" s="76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autoPageBreaks="0"/>
  </sheetPr>
  <dimension ref="A1:AE1268"/>
  <sheetViews>
    <sheetView showGridLines="0" zoomScale="70" zoomScaleNormal="70" zoomScalePageLayoutView="70" workbookViewId="0">
      <pane xSplit="1" ySplit="1" topLeftCell="C1220" activePane="bottomRight" state="frozen"/>
      <selection pane="topRight" activeCell="B1" sqref="B1"/>
      <selection pane="bottomLeft" activeCell="A9" sqref="A9"/>
      <selection pane="bottomRight" activeCell="C1257" sqref="C1257"/>
    </sheetView>
  </sheetViews>
  <sheetFormatPr defaultColWidth="9.109375" defaultRowHeight="14.4"/>
  <cols>
    <col min="1" max="1" width="3.44140625" style="367" customWidth="1"/>
    <col min="2" max="2" width="6.6640625" style="15" customWidth="1"/>
    <col min="3" max="3" width="12.6640625" style="15" customWidth="1"/>
    <col min="4" max="4" width="0.6640625" style="15" customWidth="1"/>
    <col min="5" max="5" width="1.44140625" style="15" customWidth="1"/>
    <col min="6" max="6" width="8.6640625" style="15" customWidth="1"/>
    <col min="7" max="8" width="8.44140625" style="15" customWidth="1"/>
    <col min="9" max="9" width="8.6640625" style="15" customWidth="1"/>
    <col min="10" max="10" width="21.88671875" style="242" bestFit="1" customWidth="1"/>
    <col min="11" max="11" width="9.33203125" style="238" bestFit="1" customWidth="1"/>
    <col min="12" max="12" width="7.44140625" style="76" bestFit="1" customWidth="1"/>
    <col min="13" max="13" width="9.33203125" style="76" bestFit="1" customWidth="1"/>
    <col min="14" max="14" width="7.44140625" style="76" bestFit="1" customWidth="1"/>
    <col min="15" max="15" width="8.88671875" style="76"/>
    <col min="16" max="16" width="24.109375" style="242" bestFit="1" customWidth="1"/>
    <col min="17" max="20" width="8.88671875" style="76"/>
    <col min="21" max="21" width="7.44140625" style="76" customWidth="1"/>
    <col min="22" max="22" width="24.88671875" style="242" bestFit="1" customWidth="1"/>
    <col min="23" max="27" width="9.109375" style="76"/>
    <col min="28" max="28" width="9.109375" style="455"/>
    <col min="29" max="31" width="9.109375" style="170"/>
    <col min="32" max="16384" width="9.109375" style="76"/>
  </cols>
  <sheetData>
    <row r="1" spans="1:31" s="367" customFormat="1">
      <c r="A1" s="394"/>
      <c r="B1" s="394"/>
      <c r="C1" s="394"/>
      <c r="D1" s="394"/>
      <c r="E1" s="394"/>
      <c r="F1" s="394"/>
      <c r="G1" s="394"/>
      <c r="H1" s="394"/>
      <c r="I1" s="394"/>
      <c r="J1" s="382"/>
      <c r="K1" s="372"/>
      <c r="L1" s="365"/>
      <c r="M1" s="365"/>
      <c r="N1" s="365"/>
      <c r="O1" s="365"/>
      <c r="P1" s="382"/>
      <c r="V1" s="382"/>
      <c r="AC1" s="365"/>
      <c r="AD1" s="365"/>
      <c r="AE1" s="365"/>
    </row>
    <row r="2" spans="1:31" ht="21.6" customHeight="1">
      <c r="A2" s="388"/>
      <c r="B2" s="21"/>
      <c r="C2" s="21"/>
      <c r="D2" s="93"/>
      <c r="E2" s="93"/>
      <c r="F2" s="93"/>
      <c r="G2" s="93"/>
      <c r="H2" s="93"/>
      <c r="I2" s="21"/>
      <c r="K2" s="237"/>
      <c r="L2" s="25"/>
      <c r="M2" s="25"/>
      <c r="N2" s="25"/>
      <c r="O2" s="2"/>
      <c r="Q2" s="25"/>
      <c r="R2" s="25"/>
      <c r="S2" s="25"/>
      <c r="T2" s="25"/>
      <c r="U2" s="2"/>
      <c r="W2" s="25"/>
      <c r="X2" s="25"/>
      <c r="Y2" s="25"/>
      <c r="Z2" s="25"/>
      <c r="AA2" s="2"/>
    </row>
    <row r="3" spans="1:31" ht="5.4" customHeight="1">
      <c r="A3" s="389"/>
      <c r="B3" s="22"/>
      <c r="C3" s="23"/>
      <c r="D3" s="94"/>
      <c r="E3" s="94"/>
      <c r="F3" s="94"/>
      <c r="G3" s="94"/>
      <c r="H3" s="95"/>
      <c r="I3" s="22"/>
      <c r="K3" s="483"/>
      <c r="L3" s="484"/>
      <c r="M3" s="484"/>
      <c r="N3" s="485"/>
      <c r="O3" s="2"/>
      <c r="Q3" s="484"/>
      <c r="R3" s="484"/>
      <c r="S3" s="484"/>
      <c r="T3" s="485"/>
      <c r="W3" s="484"/>
      <c r="X3" s="484"/>
      <c r="Y3" s="484"/>
      <c r="Z3" s="485"/>
    </row>
    <row r="4" spans="1:31">
      <c r="A4" s="393"/>
      <c r="B4" s="24"/>
      <c r="C4" s="23"/>
      <c r="D4" s="94"/>
      <c r="E4" s="94"/>
      <c r="F4" s="92" t="s">
        <v>64</v>
      </c>
      <c r="G4" s="92" t="s">
        <v>65</v>
      </c>
      <c r="H4" s="96" t="s">
        <v>66</v>
      </c>
      <c r="I4" s="24"/>
      <c r="J4" s="245" t="s">
        <v>67</v>
      </c>
      <c r="K4" s="237"/>
      <c r="L4" s="25"/>
      <c r="M4" s="25"/>
      <c r="N4" s="26"/>
      <c r="O4" s="2"/>
      <c r="P4" s="245" t="s">
        <v>134</v>
      </c>
      <c r="Q4" s="25"/>
      <c r="R4" s="25"/>
      <c r="S4" s="25"/>
      <c r="T4" s="26"/>
      <c r="V4" s="245" t="s">
        <v>135</v>
      </c>
      <c r="W4" s="25"/>
      <c r="X4" s="25"/>
      <c r="Y4" s="25"/>
      <c r="Z4" s="26"/>
    </row>
    <row r="5" spans="1:31" ht="15" thickBot="1">
      <c r="A5" s="393"/>
      <c r="B5" s="24"/>
      <c r="C5" s="23" t="s">
        <v>68</v>
      </c>
      <c r="D5" s="283"/>
      <c r="E5" s="23"/>
      <c r="F5" s="392">
        <f>SLOPE(L8:L1264,N8:N1264)</f>
        <v>1.2382545667563094</v>
      </c>
      <c r="G5" s="282">
        <f>SLOPE(R8:R268,T8:T268)</f>
        <v>1.4483335781524784</v>
      </c>
      <c r="H5" s="282">
        <f>SLOPE(X8:X67,Z8:Z67)</f>
        <v>1.1392101521366429</v>
      </c>
      <c r="I5" s="24"/>
      <c r="K5" s="237"/>
      <c r="L5" s="25"/>
      <c r="M5" s="25"/>
      <c r="N5" s="26"/>
      <c r="O5" s="2"/>
      <c r="Q5" s="25"/>
      <c r="R5" s="25"/>
      <c r="S5" s="25"/>
      <c r="T5" s="26"/>
      <c r="W5" s="25"/>
      <c r="X5" s="25"/>
      <c r="Y5" s="25"/>
      <c r="Z5" s="26"/>
    </row>
    <row r="6" spans="1:31" ht="16.350000000000001" customHeight="1">
      <c r="A6" s="393"/>
      <c r="B6" s="24"/>
      <c r="C6" s="23" t="s">
        <v>69</v>
      </c>
      <c r="D6" s="284"/>
      <c r="E6" s="23"/>
      <c r="F6" s="400">
        <f>CORREL(L8:L1264,N8:N1264)</f>
        <v>0.56352157109243417</v>
      </c>
      <c r="G6" s="287">
        <f>CORREL(R8:R268,T8:T268)</f>
        <v>0.581315280733817</v>
      </c>
      <c r="H6" s="287">
        <f>CORREL(X8:X67,Z8:Z67)</f>
        <v>0.41742743269018739</v>
      </c>
      <c r="I6" s="24"/>
      <c r="K6" s="503" t="s">
        <v>240</v>
      </c>
      <c r="L6" s="503"/>
      <c r="M6" s="502" t="s">
        <v>70</v>
      </c>
      <c r="N6" s="502"/>
      <c r="O6" s="2"/>
      <c r="Q6" s="503" t="s">
        <v>240</v>
      </c>
      <c r="R6" s="503"/>
      <c r="S6" s="502" t="s">
        <v>70</v>
      </c>
      <c r="T6" s="502"/>
      <c r="W6" s="503" t="s">
        <v>240</v>
      </c>
      <c r="X6" s="503"/>
      <c r="Y6" s="502" t="s">
        <v>70</v>
      </c>
      <c r="Z6" s="502"/>
    </row>
    <row r="7" spans="1:31" ht="16.350000000000001" customHeight="1">
      <c r="A7" s="393"/>
      <c r="B7" s="24"/>
      <c r="C7" s="23" t="s">
        <v>71</v>
      </c>
      <c r="D7" s="285"/>
      <c r="E7" s="23"/>
      <c r="F7" s="288">
        <f>RSQ(L8:L1264,N8:N1264)</f>
        <v>0.31755656108648522</v>
      </c>
      <c r="G7" s="288">
        <f>RSQ(R8:R268,T8:T268)</f>
        <v>0.33792745561463633</v>
      </c>
      <c r="H7" s="288">
        <f>RSQ(X8:X67,Z8:Z67)</f>
        <v>0.17424566156232088</v>
      </c>
      <c r="I7" s="24"/>
      <c r="J7" s="412" t="s">
        <v>156</v>
      </c>
      <c r="K7" s="238" t="s">
        <v>73</v>
      </c>
      <c r="L7" s="27" t="s">
        <v>74</v>
      </c>
      <c r="M7" s="76" t="s">
        <v>73</v>
      </c>
      <c r="N7" s="28" t="s">
        <v>74</v>
      </c>
      <c r="O7" s="2"/>
      <c r="P7" s="217" t="s">
        <v>72</v>
      </c>
      <c r="Q7" s="76" t="s">
        <v>73</v>
      </c>
      <c r="R7" s="27" t="s">
        <v>74</v>
      </c>
      <c r="S7" s="76" t="s">
        <v>73</v>
      </c>
      <c r="T7" s="28" t="s">
        <v>74</v>
      </c>
      <c r="V7" s="217" t="s">
        <v>72</v>
      </c>
      <c r="W7" s="76" t="s">
        <v>73</v>
      </c>
      <c r="X7" s="27" t="s">
        <v>74</v>
      </c>
      <c r="Y7" s="76" t="s">
        <v>73</v>
      </c>
      <c r="Z7" s="28" t="s">
        <v>74</v>
      </c>
      <c r="AC7" s="243"/>
      <c r="AD7" s="243"/>
      <c r="AE7" s="243"/>
    </row>
    <row r="8" spans="1:31" ht="16.350000000000001" customHeight="1">
      <c r="A8" s="394"/>
      <c r="B8" s="29"/>
      <c r="C8" s="23" t="s">
        <v>75</v>
      </c>
      <c r="D8" s="286"/>
      <c r="E8" s="23"/>
      <c r="F8" s="289">
        <f>COUNT(L8:L1264)</f>
        <v>1257</v>
      </c>
      <c r="G8" s="289">
        <f>COUNT(R8:R268)</f>
        <v>261</v>
      </c>
      <c r="H8" s="289">
        <f>COUNT(X8:X67)</f>
        <v>60</v>
      </c>
      <c r="I8" s="29"/>
      <c r="J8" s="412">
        <v>40820</v>
      </c>
      <c r="K8" s="413">
        <v>12.024240000000001</v>
      </c>
      <c r="L8" s="30">
        <f>(K9-K10)/K10</f>
        <v>-3.8157010669087048E-2</v>
      </c>
      <c r="M8" s="414">
        <v>1123.9499510000001</v>
      </c>
      <c r="N8" s="31">
        <f>(M9-M10)/M10</f>
        <v>-1.7974662455913188E-2</v>
      </c>
      <c r="O8" s="2"/>
      <c r="P8" s="418">
        <v>40825</v>
      </c>
      <c r="Q8" s="417">
        <v>13.189379000000001</v>
      </c>
      <c r="R8" s="30">
        <f>(Q9-Q10)/Q10</f>
        <v>8.5635404552842007E-2</v>
      </c>
      <c r="S8" s="423">
        <v>1155.459961</v>
      </c>
      <c r="T8" s="30">
        <f>(S9-S10)/S10</f>
        <v>-1.1039809408439299E-2</v>
      </c>
      <c r="U8" s="30"/>
      <c r="V8" s="421">
        <v>40847</v>
      </c>
      <c r="W8" s="420">
        <v>13.795252</v>
      </c>
      <c r="X8" s="30">
        <f>(W9-W10)/W10</f>
        <v>0.12770566171690267</v>
      </c>
      <c r="Y8" s="422">
        <v>1253.3000489999999</v>
      </c>
      <c r="Z8" s="30">
        <f>(Y9-Y10)/Y10</f>
        <v>-8.4605718853798303E-3</v>
      </c>
      <c r="AC8" s="244"/>
      <c r="AD8" s="244"/>
      <c r="AE8" s="244"/>
    </row>
    <row r="9" spans="1:31" ht="16.350000000000001" customHeight="1">
      <c r="A9" s="394"/>
      <c r="B9" s="29"/>
      <c r="C9" s="23"/>
      <c r="D9" s="23"/>
      <c r="E9" s="23"/>
      <c r="F9" s="32"/>
      <c r="G9" s="32"/>
      <c r="H9" s="25"/>
      <c r="I9" s="29"/>
      <c r="J9" s="412">
        <v>40821</v>
      </c>
      <c r="K9" s="413">
        <v>12.453011</v>
      </c>
      <c r="L9" s="30">
        <f>(K9-K10)/K10</f>
        <v>-3.8157010669087048E-2</v>
      </c>
      <c r="M9" s="414">
        <v>1144.030029</v>
      </c>
      <c r="N9" s="31">
        <f>(M9-M10)/M10</f>
        <v>-1.7974662455913188E-2</v>
      </c>
      <c r="O9" s="2"/>
      <c r="P9" s="418">
        <v>40832</v>
      </c>
      <c r="Q9" s="417">
        <v>14.652794999999999</v>
      </c>
      <c r="R9" s="30">
        <f>(Q9-Q10)/Q10</f>
        <v>8.5635404552842007E-2</v>
      </c>
      <c r="S9" s="423">
        <v>1224.579956</v>
      </c>
      <c r="T9" s="30">
        <f>(S9-S10)/S10</f>
        <v>-1.1039809408439299E-2</v>
      </c>
      <c r="U9" s="30"/>
      <c r="V9" s="421">
        <v>40877</v>
      </c>
      <c r="W9" s="420">
        <v>14.568905000000001</v>
      </c>
      <c r="X9" s="30">
        <f>(W9-W10)/W10</f>
        <v>0.12770566171690267</v>
      </c>
      <c r="Y9" s="422">
        <v>1246.959961</v>
      </c>
      <c r="Z9" s="30">
        <f>(Y9-Y10)/Y10</f>
        <v>-8.4605718853798303E-3</v>
      </c>
      <c r="AC9" s="244"/>
      <c r="AD9" s="244"/>
      <c r="AE9" s="244"/>
    </row>
    <row r="10" spans="1:31" ht="16.350000000000001" customHeight="1">
      <c r="A10" s="394"/>
      <c r="B10" s="29"/>
      <c r="C10" s="29" t="s">
        <v>76</v>
      </c>
      <c r="D10" s="29"/>
      <c r="E10" s="29"/>
      <c r="F10" s="91"/>
      <c r="G10" s="126">
        <f>(F5+G5+H5)/3</f>
        <v>1.2752660990151437</v>
      </c>
      <c r="H10" s="29"/>
      <c r="I10" s="29"/>
      <c r="J10" s="412">
        <v>40822</v>
      </c>
      <c r="K10" s="413">
        <v>12.947031000000001</v>
      </c>
      <c r="L10" s="30">
        <f t="shared" ref="L10:L73" si="0">(K10-K11)/K11</f>
        <v>-1.8374481467247229E-2</v>
      </c>
      <c r="M10" s="414">
        <v>1164.969971</v>
      </c>
      <c r="N10" s="31">
        <f t="shared" ref="N10:N73" si="1">(M10-M11)/M11</f>
        <v>8.2304972227419011E-3</v>
      </c>
      <c r="O10" s="2"/>
      <c r="P10" s="418">
        <v>40839</v>
      </c>
      <c r="Q10" s="417">
        <v>13.496976</v>
      </c>
      <c r="R10" s="30">
        <f t="shared" ref="R10:R74" si="2">(Q10-Q11)/Q11</f>
        <v>-7.1794935981451494E-2</v>
      </c>
      <c r="S10" s="423">
        <v>1238.25</v>
      </c>
      <c r="T10" s="30">
        <f t="shared" ref="T10:T74" si="3">(S10-S11)/S11</f>
        <v>-3.6448783539875532E-2</v>
      </c>
      <c r="V10" s="421">
        <v>40908</v>
      </c>
      <c r="W10" s="420">
        <v>12.919067</v>
      </c>
      <c r="X10" s="30">
        <f t="shared" ref="X10:X67" si="4">(W10-W11)/W11</f>
        <v>-6.1611403668507272E-2</v>
      </c>
      <c r="Y10" s="422">
        <v>1257.599976</v>
      </c>
      <c r="Z10" s="30">
        <f t="shared" ref="Z10:Z67" si="5">(Y10-Y11)/Y11</f>
        <v>-4.1762906850802105E-2</v>
      </c>
      <c r="AC10" s="244"/>
      <c r="AD10" s="244"/>
      <c r="AE10" s="244"/>
    </row>
    <row r="11" spans="1:31" ht="15" customHeight="1">
      <c r="A11" s="394"/>
      <c r="B11" s="29"/>
      <c r="C11" s="29"/>
      <c r="D11" s="29"/>
      <c r="E11" s="29"/>
      <c r="F11" s="29"/>
      <c r="G11" s="29"/>
      <c r="H11" s="29"/>
      <c r="I11" s="29"/>
      <c r="J11" s="412">
        <v>40823</v>
      </c>
      <c r="K11" s="413">
        <v>13.189379000000001</v>
      </c>
      <c r="L11" s="30">
        <f t="shared" si="0"/>
        <v>-4.2625217669658877E-2</v>
      </c>
      <c r="M11" s="414">
        <v>1155.459961</v>
      </c>
      <c r="N11" s="31">
        <f t="shared" si="1"/>
        <v>-3.2998898229139463E-2</v>
      </c>
      <c r="O11" s="2"/>
      <c r="P11" s="418">
        <v>40846</v>
      </c>
      <c r="Q11" s="417">
        <v>14.540941999999999</v>
      </c>
      <c r="R11" s="30">
        <f t="shared" si="2"/>
        <v>5.2631647528206017E-2</v>
      </c>
      <c r="S11" s="423">
        <v>1285.089966</v>
      </c>
      <c r="T11" s="30">
        <f t="shared" si="3"/>
        <v>2.5422297988753773E-2</v>
      </c>
      <c r="V11" s="421">
        <v>40939</v>
      </c>
      <c r="W11" s="420">
        <v>13.767289</v>
      </c>
      <c r="X11" s="30">
        <f t="shared" si="4"/>
        <v>-2.5082478896881411E-2</v>
      </c>
      <c r="Y11" s="422">
        <v>1312.410034</v>
      </c>
      <c r="Z11" s="30">
        <f t="shared" si="5"/>
        <v>-3.900622246328856E-2</v>
      </c>
      <c r="AC11" s="244"/>
      <c r="AD11" s="244"/>
      <c r="AE11" s="244"/>
    </row>
    <row r="12" spans="1:31" ht="15" customHeight="1">
      <c r="A12" s="394"/>
      <c r="B12" s="29"/>
      <c r="C12" s="29"/>
      <c r="D12" s="29"/>
      <c r="E12" s="29"/>
      <c r="F12" s="29"/>
      <c r="G12" s="29"/>
      <c r="H12" s="29"/>
      <c r="I12" s="29"/>
      <c r="J12" s="412">
        <v>40826</v>
      </c>
      <c r="K12" s="413">
        <v>13.77661</v>
      </c>
      <c r="L12" s="30">
        <f t="shared" si="0"/>
        <v>1.0943922687935126E-2</v>
      </c>
      <c r="M12" s="414">
        <v>1194.8900149999999</v>
      </c>
      <c r="N12" s="31">
        <f t="shared" si="1"/>
        <v>-5.4370742827127548E-4</v>
      </c>
      <c r="O12" s="2"/>
      <c r="P12" s="418">
        <v>40853</v>
      </c>
      <c r="Q12" s="417">
        <v>13.813893999999999</v>
      </c>
      <c r="R12" s="30">
        <f t="shared" si="2"/>
        <v>-1.0680918012649449E-2</v>
      </c>
      <c r="S12" s="423">
        <v>1253.2299800000001</v>
      </c>
      <c r="T12" s="30">
        <f t="shared" si="3"/>
        <v>-8.4028929079157585E-3</v>
      </c>
      <c r="V12" s="421">
        <v>40968</v>
      </c>
      <c r="W12" s="420">
        <v>14.121491000000001</v>
      </c>
      <c r="X12" s="30">
        <f t="shared" si="4"/>
        <v>-1.6233772793083426E-2</v>
      </c>
      <c r="Y12" s="422">
        <v>1365.6800539999999</v>
      </c>
      <c r="Z12" s="30">
        <f t="shared" si="5"/>
        <v>-3.0380425483703878E-2</v>
      </c>
      <c r="AC12" s="244"/>
      <c r="AD12" s="244"/>
      <c r="AE12" s="244"/>
    </row>
    <row r="13" spans="1:31" ht="15" customHeight="1">
      <c r="A13" s="394"/>
      <c r="B13" s="29"/>
      <c r="C13" s="29"/>
      <c r="D13" s="29"/>
      <c r="E13" s="29"/>
      <c r="F13" s="29"/>
      <c r="G13" s="29"/>
      <c r="H13" s="29"/>
      <c r="I13" s="29"/>
      <c r="J13" s="412">
        <v>40827</v>
      </c>
      <c r="K13" s="413">
        <v>13.627471999999999</v>
      </c>
      <c r="L13" s="30">
        <f t="shared" si="0"/>
        <v>6.8452763407652023E-4</v>
      </c>
      <c r="M13" s="414">
        <v>1195.540039</v>
      </c>
      <c r="N13" s="31">
        <f t="shared" si="1"/>
        <v>-9.6996984882998724E-3</v>
      </c>
      <c r="O13" s="2"/>
      <c r="P13" s="418">
        <v>40860</v>
      </c>
      <c r="Q13" s="417">
        <v>13.963032</v>
      </c>
      <c r="R13" s="30">
        <f t="shared" si="2"/>
        <v>7.537686816747742E-2</v>
      </c>
      <c r="S13" s="423">
        <v>1263.849976</v>
      </c>
      <c r="T13" s="30">
        <f t="shared" si="3"/>
        <v>3.9649529920956869E-2</v>
      </c>
      <c r="V13" s="421">
        <v>40999</v>
      </c>
      <c r="W13" s="420">
        <v>14.354519</v>
      </c>
      <c r="X13" s="30">
        <f t="shared" si="4"/>
        <v>0.18461539477238231</v>
      </c>
      <c r="Y13" s="422">
        <v>1408.469971</v>
      </c>
      <c r="Z13" s="30">
        <f t="shared" si="5"/>
        <v>7.5540891353241338E-3</v>
      </c>
      <c r="AC13" s="244"/>
      <c r="AD13" s="244"/>
      <c r="AE13" s="244"/>
    </row>
    <row r="14" spans="1:31" ht="15" customHeight="1">
      <c r="A14" s="394"/>
      <c r="B14" s="29"/>
      <c r="C14" s="29"/>
      <c r="D14" s="29"/>
      <c r="E14" s="29"/>
      <c r="F14" s="29"/>
      <c r="G14" s="29"/>
      <c r="H14" s="29"/>
      <c r="I14" s="29"/>
      <c r="J14" s="412">
        <v>40828</v>
      </c>
      <c r="K14" s="413">
        <v>13.61815</v>
      </c>
      <c r="L14" s="30">
        <f t="shared" si="0"/>
        <v>-5.4980671659988892E-2</v>
      </c>
      <c r="M14" s="414">
        <v>1207.25</v>
      </c>
      <c r="N14" s="31">
        <f t="shared" si="1"/>
        <v>2.9825414972613471E-3</v>
      </c>
      <c r="O14" s="2"/>
      <c r="P14" s="418">
        <v>40867</v>
      </c>
      <c r="Q14" s="417">
        <v>12.984315</v>
      </c>
      <c r="R14" s="30">
        <f t="shared" si="2"/>
        <v>-7.8347366634606529E-3</v>
      </c>
      <c r="S14" s="423">
        <v>1215.650024</v>
      </c>
      <c r="T14" s="30">
        <f t="shared" si="3"/>
        <v>4.9177054585179271E-2</v>
      </c>
      <c r="V14" s="421">
        <v>41029</v>
      </c>
      <c r="W14" s="420">
        <v>12.117451000000001</v>
      </c>
      <c r="X14" s="30">
        <f t="shared" si="4"/>
        <v>4.5856742033676873E-2</v>
      </c>
      <c r="Y14" s="422">
        <v>1397.910034</v>
      </c>
      <c r="Z14" s="30">
        <f t="shared" si="5"/>
        <v>6.6838186518571777E-2</v>
      </c>
      <c r="AC14" s="244"/>
      <c r="AD14" s="244"/>
      <c r="AE14" s="244"/>
    </row>
    <row r="15" spans="1:31" ht="15" customHeight="1">
      <c r="A15" s="388"/>
      <c r="B15" s="21"/>
      <c r="C15" s="21"/>
      <c r="D15" s="21"/>
      <c r="E15" s="21"/>
      <c r="F15" s="21"/>
      <c r="G15" s="21"/>
      <c r="H15" s="21"/>
      <c r="I15" s="21"/>
      <c r="J15" s="412">
        <v>40829</v>
      </c>
      <c r="K15" s="413">
        <v>14.410446</v>
      </c>
      <c r="L15" s="30">
        <f t="shared" si="0"/>
        <v>-1.6539438380186105E-2</v>
      </c>
      <c r="M15" s="414">
        <v>1203.660034</v>
      </c>
      <c r="N15" s="31">
        <f t="shared" si="1"/>
        <v>-1.7083345107438655E-2</v>
      </c>
      <c r="O15" s="2"/>
      <c r="P15" s="418">
        <v>40874</v>
      </c>
      <c r="Q15" s="417">
        <v>13.086847000000001</v>
      </c>
      <c r="R15" s="30">
        <f t="shared" si="2"/>
        <v>-0.1068702592235815</v>
      </c>
      <c r="S15" s="423">
        <v>1158.670044</v>
      </c>
      <c r="T15" s="30">
        <f t="shared" si="3"/>
        <v>-6.8802828145367631E-2</v>
      </c>
      <c r="V15" s="421">
        <v>41060</v>
      </c>
      <c r="W15" s="420">
        <v>11.586148</v>
      </c>
      <c r="X15" s="30">
        <f t="shared" si="4"/>
        <v>-0.10057878638219463</v>
      </c>
      <c r="Y15" s="422">
        <v>1310.329956</v>
      </c>
      <c r="Z15" s="30">
        <f t="shared" si="5"/>
        <v>-3.8049918296163984E-2</v>
      </c>
      <c r="AC15" s="244"/>
      <c r="AD15" s="244"/>
      <c r="AE15" s="244"/>
    </row>
    <row r="16" spans="1:31" ht="15" customHeight="1">
      <c r="A16" s="389"/>
      <c r="B16" s="22"/>
      <c r="C16" s="22"/>
      <c r="D16" s="22"/>
      <c r="E16" s="22"/>
      <c r="F16" s="22"/>
      <c r="G16" s="22"/>
      <c r="H16" s="22"/>
      <c r="I16" s="22"/>
      <c r="J16" s="412">
        <v>40830</v>
      </c>
      <c r="K16" s="413">
        <v>14.652794999999999</v>
      </c>
      <c r="L16" s="30">
        <f t="shared" si="0"/>
        <v>5.2208904843668344E-2</v>
      </c>
      <c r="M16" s="414">
        <v>1224.579956</v>
      </c>
      <c r="N16" s="31">
        <f t="shared" si="1"/>
        <v>1.9752486798034149E-2</v>
      </c>
      <c r="O16" s="2"/>
      <c r="P16" s="418">
        <v>40881</v>
      </c>
      <c r="Q16" s="417">
        <v>14.652794999999999</v>
      </c>
      <c r="R16" s="30">
        <f t="shared" si="2"/>
        <v>5.5033591550051261E-2</v>
      </c>
      <c r="S16" s="423">
        <v>1244.280029</v>
      </c>
      <c r="T16" s="30">
        <f t="shared" si="3"/>
        <v>-8.6918414844117022E-3</v>
      </c>
      <c r="V16" s="421">
        <v>41090</v>
      </c>
      <c r="W16" s="420">
        <v>12.881781999999999</v>
      </c>
      <c r="X16" s="30">
        <f t="shared" si="4"/>
        <v>2.0679448696995208E-2</v>
      </c>
      <c r="Y16" s="422">
        <v>1362.160034</v>
      </c>
      <c r="Z16" s="30">
        <f t="shared" si="5"/>
        <v>-1.2440849601112108E-2</v>
      </c>
      <c r="AC16" s="244"/>
      <c r="AD16" s="244"/>
      <c r="AE16" s="244"/>
    </row>
    <row r="17" spans="1:31" ht="15" customHeight="1">
      <c r="A17" s="393"/>
      <c r="B17" s="24"/>
      <c r="C17" s="24"/>
      <c r="D17" s="24"/>
      <c r="E17" s="24"/>
      <c r="F17" s="24"/>
      <c r="G17" s="24"/>
      <c r="H17" s="24"/>
      <c r="I17" s="24"/>
      <c r="J17" s="412">
        <v>40833</v>
      </c>
      <c r="K17" s="413">
        <v>13.925746999999999</v>
      </c>
      <c r="L17" s="30">
        <f t="shared" si="0"/>
        <v>-3.4883704007051965E-2</v>
      </c>
      <c r="M17" s="414">
        <v>1200.8599850000001</v>
      </c>
      <c r="N17" s="31">
        <f t="shared" si="1"/>
        <v>-2.0010135549747225E-2</v>
      </c>
      <c r="O17" s="2"/>
      <c r="P17" s="418">
        <v>40888</v>
      </c>
      <c r="Q17" s="417">
        <v>13.888463</v>
      </c>
      <c r="R17" s="30">
        <f t="shared" si="2"/>
        <v>0.10288673838791405</v>
      </c>
      <c r="S17" s="423">
        <v>1255.1899410000001</v>
      </c>
      <c r="T17" s="30">
        <f t="shared" si="3"/>
        <v>2.9130992251567123E-2</v>
      </c>
      <c r="V17" s="421">
        <v>41121</v>
      </c>
      <c r="W17" s="420">
        <v>12.620791000000001</v>
      </c>
      <c r="X17" s="30">
        <f t="shared" si="4"/>
        <v>-3.4925183861228802E-2</v>
      </c>
      <c r="Y17" s="422">
        <v>1379.3199460000001</v>
      </c>
      <c r="Z17" s="30">
        <f t="shared" si="5"/>
        <v>-1.9380348684564907E-2</v>
      </c>
      <c r="AC17" s="244"/>
      <c r="AD17" s="244"/>
      <c r="AE17" s="244"/>
    </row>
    <row r="18" spans="1:31" ht="15" customHeight="1">
      <c r="A18" s="393"/>
      <c r="B18" s="24"/>
      <c r="C18" s="24"/>
      <c r="D18" s="24"/>
      <c r="E18" s="24"/>
      <c r="F18" s="24"/>
      <c r="G18" s="24"/>
      <c r="H18" s="24"/>
      <c r="I18" s="24"/>
      <c r="J18" s="412">
        <v>40834</v>
      </c>
      <c r="K18" s="413">
        <v>14.429087000000001</v>
      </c>
      <c r="L18" s="30">
        <f t="shared" si="0"/>
        <v>2.0435027025559122E-2</v>
      </c>
      <c r="M18" s="414">
        <v>1225.380005</v>
      </c>
      <c r="N18" s="31">
        <f t="shared" si="1"/>
        <v>1.2811187833457914E-2</v>
      </c>
      <c r="O18" s="2"/>
      <c r="P18" s="418">
        <v>40895</v>
      </c>
      <c r="Q18" s="417">
        <v>12.592828000000001</v>
      </c>
      <c r="R18" s="30">
        <f t="shared" si="2"/>
        <v>-4.6577299765248645E-2</v>
      </c>
      <c r="S18" s="423">
        <v>1219.660034</v>
      </c>
      <c r="T18" s="30">
        <f t="shared" si="3"/>
        <v>-3.6093290752692846E-2</v>
      </c>
      <c r="V18" s="421">
        <v>41152</v>
      </c>
      <c r="W18" s="420">
        <v>13.077526000000001</v>
      </c>
      <c r="X18" s="30">
        <f t="shared" si="4"/>
        <v>5.1724136544443904E-2</v>
      </c>
      <c r="Y18" s="422">
        <v>1406.579956</v>
      </c>
      <c r="Z18" s="30">
        <f t="shared" si="5"/>
        <v>-2.3662661788503132E-2</v>
      </c>
      <c r="AC18" s="244"/>
      <c r="AD18" s="244"/>
      <c r="AE18" s="244"/>
    </row>
    <row r="19" spans="1:31" ht="15" customHeight="1">
      <c r="A19" s="389"/>
      <c r="B19" s="22"/>
      <c r="C19" s="22"/>
      <c r="D19" s="22"/>
      <c r="E19" s="22"/>
      <c r="F19" s="22"/>
      <c r="G19" s="22"/>
      <c r="H19" s="22"/>
      <c r="I19" s="22"/>
      <c r="J19" s="412">
        <v>40835</v>
      </c>
      <c r="K19" s="413">
        <v>14.140133000000001</v>
      </c>
      <c r="L19" s="30">
        <f t="shared" si="0"/>
        <v>5.2741166289251899E-2</v>
      </c>
      <c r="M19" s="414">
        <v>1209.880005</v>
      </c>
      <c r="N19" s="31">
        <f t="shared" si="1"/>
        <v>-4.5335323904236334E-3</v>
      </c>
      <c r="O19" s="2"/>
      <c r="P19" s="418">
        <v>40902</v>
      </c>
      <c r="Q19" s="417">
        <v>13.208022</v>
      </c>
      <c r="R19" s="30">
        <f t="shared" si="2"/>
        <v>2.2366553250323697E-2</v>
      </c>
      <c r="S19" s="423">
        <v>1265.329956</v>
      </c>
      <c r="T19" s="30">
        <f t="shared" si="3"/>
        <v>6.1466127127216717E-3</v>
      </c>
      <c r="V19" s="421">
        <v>41182</v>
      </c>
      <c r="W19" s="420">
        <v>12.434369</v>
      </c>
      <c r="X19" s="30">
        <f t="shared" si="4"/>
        <v>0.11352255729693402</v>
      </c>
      <c r="Y19" s="422">
        <v>1440.670044</v>
      </c>
      <c r="Z19" s="30">
        <f t="shared" si="5"/>
        <v>2.0188937028081878E-2</v>
      </c>
      <c r="AC19" s="244"/>
      <c r="AD19" s="244"/>
      <c r="AE19" s="244"/>
    </row>
    <row r="20" spans="1:31" ht="15" customHeight="1">
      <c r="A20" s="393"/>
      <c r="B20" s="24"/>
      <c r="C20" s="24"/>
      <c r="D20" s="24"/>
      <c r="E20" s="24"/>
      <c r="F20" s="24"/>
      <c r="G20" s="24"/>
      <c r="H20" s="24"/>
      <c r="I20" s="24"/>
      <c r="J20" s="412">
        <v>40836</v>
      </c>
      <c r="K20" s="413">
        <v>13.431728</v>
      </c>
      <c r="L20" s="30">
        <f t="shared" si="0"/>
        <v>-4.8342680612309319E-3</v>
      </c>
      <c r="M20" s="414">
        <v>1215.3900149999999</v>
      </c>
      <c r="N20" s="31">
        <f t="shared" si="1"/>
        <v>-1.8461526347668122E-2</v>
      </c>
      <c r="O20" s="2"/>
      <c r="P20" s="418">
        <v>40909</v>
      </c>
      <c r="Q20" s="417">
        <v>12.919067</v>
      </c>
      <c r="R20" s="30">
        <f t="shared" si="2"/>
        <v>-4.6767544931148736E-2</v>
      </c>
      <c r="S20" s="423">
        <v>1257.599976</v>
      </c>
      <c r="T20" s="30">
        <f t="shared" si="3"/>
        <v>-1.581618712237727E-2</v>
      </c>
      <c r="V20" s="421">
        <v>41213</v>
      </c>
      <c r="W20" s="420">
        <v>11.166696999999999</v>
      </c>
      <c r="X20" s="30">
        <f t="shared" si="4"/>
        <v>-5.5802824025590579E-3</v>
      </c>
      <c r="Y20" s="422">
        <v>1412.160034</v>
      </c>
      <c r="Z20" s="30">
        <f t="shared" si="5"/>
        <v>-2.8386362233004106E-3</v>
      </c>
      <c r="AC20" s="244"/>
      <c r="AD20" s="244"/>
      <c r="AE20" s="244"/>
    </row>
    <row r="21" spans="1:31" ht="15" customHeight="1">
      <c r="A21" s="393"/>
      <c r="B21" s="24"/>
      <c r="C21" s="24"/>
      <c r="D21" s="24"/>
      <c r="E21" s="24"/>
      <c r="F21" s="24"/>
      <c r="G21" s="24"/>
      <c r="H21" s="24"/>
      <c r="I21" s="24"/>
      <c r="J21" s="412">
        <v>40837</v>
      </c>
      <c r="K21" s="413">
        <v>13.496976</v>
      </c>
      <c r="L21" s="30">
        <f t="shared" si="0"/>
        <v>-3.5952114512835719E-2</v>
      </c>
      <c r="M21" s="414">
        <v>1238.25</v>
      </c>
      <c r="N21" s="31">
        <f t="shared" si="1"/>
        <v>-1.2709351653140143E-2</v>
      </c>
      <c r="O21" s="2"/>
      <c r="P21" s="418">
        <v>40916</v>
      </c>
      <c r="Q21" s="417">
        <v>13.552903000000001</v>
      </c>
      <c r="R21" s="30">
        <f t="shared" si="2"/>
        <v>5.899495010584567E-2</v>
      </c>
      <c r="S21" s="423">
        <v>1277.8100589999999</v>
      </c>
      <c r="T21" s="30">
        <f t="shared" si="3"/>
        <v>-8.7502868670999295E-3</v>
      </c>
      <c r="V21" s="421">
        <v>41243</v>
      </c>
      <c r="W21" s="420">
        <v>11.22936</v>
      </c>
      <c r="X21" s="30">
        <f t="shared" si="4"/>
        <v>-2.3654130934834542E-2</v>
      </c>
      <c r="Y21" s="422">
        <v>1416.1800539999999</v>
      </c>
      <c r="Z21" s="30">
        <f t="shared" si="5"/>
        <v>-7.0186212314620171E-3</v>
      </c>
      <c r="AC21" s="244"/>
      <c r="AD21" s="244"/>
      <c r="AE21" s="244"/>
    </row>
    <row r="22" spans="1:31" ht="15" customHeight="1">
      <c r="A22" s="394"/>
      <c r="B22" s="29"/>
      <c r="C22" s="29"/>
      <c r="D22" s="29"/>
      <c r="E22" s="29"/>
      <c r="F22" s="29"/>
      <c r="G22" s="29"/>
      <c r="H22" s="29"/>
      <c r="I22" s="29"/>
      <c r="J22" s="412">
        <v>40840</v>
      </c>
      <c r="K22" s="413">
        <v>14.000317000000001</v>
      </c>
      <c r="L22" s="30">
        <f t="shared" si="0"/>
        <v>3.9446394475972396E-2</v>
      </c>
      <c r="M22" s="414">
        <v>1254.1899410000001</v>
      </c>
      <c r="N22" s="31">
        <f t="shared" si="1"/>
        <v>2.0454734142401183E-2</v>
      </c>
      <c r="O22" s="2"/>
      <c r="P22" s="418">
        <v>40923</v>
      </c>
      <c r="Q22" s="417">
        <v>12.797891999999999</v>
      </c>
      <c r="R22" s="30">
        <f t="shared" si="2"/>
        <v>-3.4458532857997451E-2</v>
      </c>
      <c r="S22" s="423">
        <v>1289.089966</v>
      </c>
      <c r="T22" s="30">
        <f t="shared" si="3"/>
        <v>-1.9986649409346906E-2</v>
      </c>
      <c r="V22" s="421">
        <v>41274</v>
      </c>
      <c r="W22" s="420">
        <v>11.501416000000001</v>
      </c>
      <c r="X22" s="30">
        <f t="shared" si="4"/>
        <v>0</v>
      </c>
      <c r="Y22" s="422">
        <v>1426.1899410000001</v>
      </c>
      <c r="Z22" s="30">
        <f t="shared" si="5"/>
        <v>-4.8007185533844469E-2</v>
      </c>
      <c r="AC22" s="244"/>
      <c r="AD22" s="244"/>
      <c r="AE22" s="244"/>
    </row>
    <row r="23" spans="1:31" ht="15" customHeight="1">
      <c r="A23" s="365"/>
      <c r="B23" s="8"/>
      <c r="C23" s="8"/>
      <c r="D23" s="8"/>
      <c r="E23" s="8"/>
      <c r="F23" s="8"/>
      <c r="G23" s="8"/>
      <c r="H23" s="8"/>
      <c r="I23" s="8"/>
      <c r="J23" s="412">
        <v>40841</v>
      </c>
      <c r="K23" s="413">
        <v>13.469013</v>
      </c>
      <c r="L23" s="30">
        <f t="shared" si="0"/>
        <v>-1.1627908683283209E-2</v>
      </c>
      <c r="M23" s="414">
        <v>1229.0500489999999</v>
      </c>
      <c r="N23" s="31">
        <f t="shared" si="1"/>
        <v>-1.0426691626409062E-2</v>
      </c>
      <c r="O23" s="2"/>
      <c r="P23" s="418">
        <v>40930</v>
      </c>
      <c r="Q23" s="417">
        <v>13.254626999999999</v>
      </c>
      <c r="R23" s="30">
        <f t="shared" si="2"/>
        <v>-4.6277665561646406E-2</v>
      </c>
      <c r="S23" s="423">
        <v>1315.380005</v>
      </c>
      <c r="T23" s="30">
        <f t="shared" si="3"/>
        <v>-7.2166632360682638E-4</v>
      </c>
      <c r="V23" s="421">
        <v>41305</v>
      </c>
      <c r="W23" s="420">
        <v>11.501416000000001</v>
      </c>
      <c r="X23" s="30">
        <f t="shared" si="4"/>
        <v>-3.7500393320974691E-2</v>
      </c>
      <c r="Y23" s="422">
        <v>1498.1099850000001</v>
      </c>
      <c r="Z23" s="30">
        <f t="shared" si="5"/>
        <v>-1.0939649569056699E-2</v>
      </c>
      <c r="AC23" s="244"/>
      <c r="AD23" s="244"/>
      <c r="AE23" s="244"/>
    </row>
    <row r="24" spans="1:31" ht="15" customHeight="1">
      <c r="A24" s="365"/>
      <c r="B24" s="8"/>
      <c r="C24" s="8"/>
      <c r="D24" s="8"/>
      <c r="E24" s="8"/>
      <c r="F24" s="8"/>
      <c r="G24" s="8"/>
      <c r="H24" s="8"/>
      <c r="I24" s="8"/>
      <c r="J24" s="412">
        <v>40842</v>
      </c>
      <c r="K24" s="413">
        <v>13.627471999999999</v>
      </c>
      <c r="L24" s="30">
        <f t="shared" si="0"/>
        <v>-4.1311453451504061E-2</v>
      </c>
      <c r="M24" s="414">
        <v>1242</v>
      </c>
      <c r="N24" s="31">
        <f t="shared" si="1"/>
        <v>-3.3154521775238595E-2</v>
      </c>
      <c r="O24" s="2"/>
      <c r="P24" s="418">
        <v>40937</v>
      </c>
      <c r="Q24" s="417">
        <v>13.897784</v>
      </c>
      <c r="R24" s="30">
        <f t="shared" si="2"/>
        <v>-5.7522152100033044E-2</v>
      </c>
      <c r="S24" s="423">
        <v>1316.329956</v>
      </c>
      <c r="T24" s="30">
        <f t="shared" si="3"/>
        <v>-2.1243265291219886E-2</v>
      </c>
      <c r="V24" s="421">
        <v>41333</v>
      </c>
      <c r="W24" s="420">
        <v>11.949528000000001</v>
      </c>
      <c r="X24" s="30">
        <f t="shared" si="4"/>
        <v>-1.3250219570820279E-2</v>
      </c>
      <c r="Y24" s="422">
        <v>1514.6800539999999</v>
      </c>
      <c r="Z24" s="30">
        <f t="shared" si="5"/>
        <v>-3.4737596498523669E-2</v>
      </c>
      <c r="AC24" s="244"/>
      <c r="AD24" s="244"/>
      <c r="AE24" s="244"/>
    </row>
    <row r="25" spans="1:31" ht="15" customHeight="1">
      <c r="A25" s="365"/>
      <c r="B25" s="8"/>
      <c r="C25" s="8"/>
      <c r="D25" s="8"/>
      <c r="E25" s="8"/>
      <c r="F25" s="8"/>
      <c r="G25" s="8"/>
      <c r="H25" s="8"/>
      <c r="I25" s="8"/>
      <c r="J25" s="412">
        <v>40843</v>
      </c>
      <c r="K25" s="413">
        <v>14.214702000000001</v>
      </c>
      <c r="L25" s="30">
        <f t="shared" si="0"/>
        <v>-2.2435960476288163E-2</v>
      </c>
      <c r="M25" s="414">
        <v>1284.589966</v>
      </c>
      <c r="N25" s="31">
        <f t="shared" si="1"/>
        <v>-3.8907781807394489E-4</v>
      </c>
      <c r="O25" s="2"/>
      <c r="P25" s="418">
        <v>40944</v>
      </c>
      <c r="Q25" s="417">
        <v>14.746006</v>
      </c>
      <c r="R25" s="30">
        <f t="shared" si="2"/>
        <v>-5.0313840745979926E-3</v>
      </c>
      <c r="S25" s="423">
        <v>1344.900024</v>
      </c>
      <c r="T25" s="30">
        <f t="shared" si="3"/>
        <v>1.6832575930638279E-3</v>
      </c>
      <c r="V25" s="421">
        <v>41364</v>
      </c>
      <c r="W25" s="420">
        <v>12.109988</v>
      </c>
      <c r="X25" s="30">
        <f t="shared" si="4"/>
        <v>-6.8264431894255725E-2</v>
      </c>
      <c r="Y25" s="422">
        <v>1569.1899410000001</v>
      </c>
      <c r="Z25" s="30">
        <f t="shared" si="5"/>
        <v>-1.7764483533918445E-2</v>
      </c>
      <c r="AC25" s="244"/>
      <c r="AD25" s="244"/>
      <c r="AE25" s="244"/>
    </row>
    <row r="26" spans="1:31" ht="15" customHeight="1">
      <c r="A26" s="365"/>
      <c r="B26" s="8"/>
      <c r="C26" s="8"/>
      <c r="D26" s="8"/>
      <c r="E26" s="8"/>
      <c r="F26" s="8"/>
      <c r="G26" s="8"/>
      <c r="H26" s="8"/>
      <c r="I26" s="8"/>
      <c r="J26" s="412">
        <v>40844</v>
      </c>
      <c r="K26" s="413">
        <v>14.540941999999999</v>
      </c>
      <c r="L26" s="30">
        <f t="shared" si="0"/>
        <v>5.4054104992065366E-2</v>
      </c>
      <c r="M26" s="414">
        <v>1285.089966</v>
      </c>
      <c r="N26" s="31">
        <f t="shared" si="1"/>
        <v>2.5364969087302781E-2</v>
      </c>
      <c r="O26" s="2"/>
      <c r="P26" s="418">
        <v>40951</v>
      </c>
      <c r="Q26" s="417">
        <v>14.820574000000001</v>
      </c>
      <c r="R26" s="30">
        <f t="shared" si="2"/>
        <v>3.1544669442269283E-3</v>
      </c>
      <c r="S26" s="423">
        <v>1342.6400149999999</v>
      </c>
      <c r="T26" s="30">
        <f t="shared" si="3"/>
        <v>-1.3656740795556177E-2</v>
      </c>
      <c r="V26" s="421">
        <v>41394</v>
      </c>
      <c r="W26" s="420">
        <v>12.997237</v>
      </c>
      <c r="X26" s="30">
        <f t="shared" si="4"/>
        <v>-5.3185360882269175E-2</v>
      </c>
      <c r="Y26" s="422">
        <v>1597.5699460000001</v>
      </c>
      <c r="Z26" s="30">
        <f t="shared" si="5"/>
        <v>-2.0340486039101772E-2</v>
      </c>
      <c r="AC26" s="244"/>
      <c r="AD26" s="244"/>
      <c r="AE26" s="244"/>
    </row>
    <row r="27" spans="1:31" ht="15" customHeight="1">
      <c r="A27" s="365"/>
      <c r="B27" s="8"/>
      <c r="C27" s="8"/>
      <c r="D27" s="8"/>
      <c r="E27" s="8"/>
      <c r="F27" s="8"/>
      <c r="G27" s="8"/>
      <c r="H27" s="8"/>
      <c r="I27" s="8"/>
      <c r="J27" s="412">
        <v>40847</v>
      </c>
      <c r="K27" s="413">
        <v>13.795252</v>
      </c>
      <c r="L27" s="30">
        <f t="shared" si="0"/>
        <v>5.2631530755431505E-2</v>
      </c>
      <c r="M27" s="414">
        <v>1253.3000489999999</v>
      </c>
      <c r="N27" s="31">
        <f t="shared" si="1"/>
        <v>2.8745460129347596E-2</v>
      </c>
      <c r="O27" s="2"/>
      <c r="P27" s="418">
        <v>40958</v>
      </c>
      <c r="Q27" s="417">
        <v>14.77397</v>
      </c>
      <c r="R27" s="30">
        <f t="shared" si="2"/>
        <v>3.7999619786381745E-3</v>
      </c>
      <c r="S27" s="423">
        <v>1361.2299800000001</v>
      </c>
      <c r="T27" s="30">
        <f t="shared" si="3"/>
        <v>-3.3022464253975353E-3</v>
      </c>
      <c r="V27" s="421">
        <v>41425</v>
      </c>
      <c r="W27" s="420">
        <v>13.72733</v>
      </c>
      <c r="X27" s="30">
        <f t="shared" si="4"/>
        <v>3.0626832336804355E-2</v>
      </c>
      <c r="Y27" s="422">
        <v>1630.73999</v>
      </c>
      <c r="Z27" s="30">
        <f t="shared" si="5"/>
        <v>1.5227706600590514E-2</v>
      </c>
      <c r="AC27" s="244"/>
      <c r="AD27" s="244"/>
      <c r="AE27" s="244"/>
    </row>
    <row r="28" spans="1:31" ht="15" customHeight="1">
      <c r="A28" s="365"/>
      <c r="B28" s="8"/>
      <c r="C28" s="8"/>
      <c r="D28" s="8"/>
      <c r="E28" s="8"/>
      <c r="F28" s="8"/>
      <c r="G28" s="8"/>
      <c r="H28" s="8"/>
      <c r="I28" s="8"/>
      <c r="J28" s="412">
        <v>40848</v>
      </c>
      <c r="K28" s="413">
        <v>13.10549</v>
      </c>
      <c r="L28" s="30">
        <f t="shared" si="0"/>
        <v>1.7366230852222175E-2</v>
      </c>
      <c r="M28" s="414">
        <v>1218.280029</v>
      </c>
      <c r="N28" s="31">
        <f t="shared" si="1"/>
        <v>-1.5849418062536539E-2</v>
      </c>
      <c r="O28" s="2"/>
      <c r="P28" s="418">
        <v>40965</v>
      </c>
      <c r="Q28" s="417">
        <v>14.718042000000001</v>
      </c>
      <c r="R28" s="30">
        <f t="shared" si="2"/>
        <v>2.6657943563550422E-2</v>
      </c>
      <c r="S28" s="423">
        <v>1365.73999</v>
      </c>
      <c r="T28" s="30">
        <f t="shared" si="3"/>
        <v>-2.8401940566422888E-3</v>
      </c>
      <c r="V28" s="421">
        <v>41455</v>
      </c>
      <c r="W28" s="420">
        <v>13.319399000000001</v>
      </c>
      <c r="X28" s="30">
        <f t="shared" si="4"/>
        <v>-2.7700826980679903E-2</v>
      </c>
      <c r="Y28" s="422">
        <v>1606.280029</v>
      </c>
      <c r="Z28" s="30">
        <f t="shared" si="5"/>
        <v>-4.713088806785061E-2</v>
      </c>
      <c r="AC28" s="244"/>
      <c r="AD28" s="244"/>
      <c r="AE28" s="244"/>
    </row>
    <row r="29" spans="1:31" ht="15" customHeight="1">
      <c r="A29" s="365"/>
      <c r="B29" s="8"/>
      <c r="C29" s="8"/>
      <c r="D29" s="8"/>
      <c r="E29" s="8"/>
      <c r="F29" s="8"/>
      <c r="G29" s="8"/>
      <c r="H29" s="8"/>
      <c r="I29" s="8"/>
      <c r="J29" s="412">
        <v>40849</v>
      </c>
      <c r="K29" s="413">
        <v>12.881781999999999</v>
      </c>
      <c r="L29" s="30">
        <f t="shared" si="0"/>
        <v>-5.6655317095354429E-2</v>
      </c>
      <c r="M29" s="414">
        <v>1237.900024</v>
      </c>
      <c r="N29" s="31">
        <f t="shared" si="1"/>
        <v>-1.8435554499898262E-2</v>
      </c>
      <c r="O29" s="2"/>
      <c r="P29" s="418">
        <v>40972</v>
      </c>
      <c r="Q29" s="417">
        <v>14.335877</v>
      </c>
      <c r="R29" s="30">
        <f t="shared" si="2"/>
        <v>3.778681087316875E-2</v>
      </c>
      <c r="S29" s="423">
        <v>1369.630005</v>
      </c>
      <c r="T29" s="30">
        <f t="shared" si="3"/>
        <v>-9.0452778492685173E-4</v>
      </c>
      <c r="V29" s="421">
        <v>41486</v>
      </c>
      <c r="W29" s="420">
        <v>13.698869</v>
      </c>
      <c r="X29" s="30">
        <f t="shared" si="4"/>
        <v>-2.592823371062887E-2</v>
      </c>
      <c r="Y29" s="422">
        <v>1685.7299800000001</v>
      </c>
      <c r="Z29" s="30">
        <f t="shared" si="5"/>
        <v>3.2309234056331633E-2</v>
      </c>
      <c r="AC29" s="244"/>
      <c r="AD29" s="244"/>
      <c r="AE29" s="244"/>
    </row>
    <row r="30" spans="1:31" ht="15" customHeight="1">
      <c r="A30" s="365"/>
      <c r="B30" s="8"/>
      <c r="C30" s="8"/>
      <c r="D30" s="8"/>
      <c r="E30" s="8"/>
      <c r="F30" s="8"/>
      <c r="G30" s="8"/>
      <c r="H30" s="8"/>
      <c r="I30" s="8"/>
      <c r="J30" s="412">
        <v>40850</v>
      </c>
      <c r="K30" s="413">
        <v>13.655435000000001</v>
      </c>
      <c r="L30" s="30">
        <f t="shared" si="0"/>
        <v>-1.1470987109065613E-2</v>
      </c>
      <c r="M30" s="414">
        <v>1261.150024</v>
      </c>
      <c r="N30" s="31">
        <f t="shared" si="1"/>
        <v>6.31970518292258E-3</v>
      </c>
      <c r="O30" s="2"/>
      <c r="P30" s="418">
        <v>40979</v>
      </c>
      <c r="Q30" s="417">
        <v>13.813893999999999</v>
      </c>
      <c r="R30" s="30">
        <f t="shared" si="2"/>
        <v>1.5068451880139597E-2</v>
      </c>
      <c r="S30" s="423">
        <v>1370.869995</v>
      </c>
      <c r="T30" s="30">
        <f t="shared" si="3"/>
        <v>-2.3715111387178935E-2</v>
      </c>
      <c r="V30" s="421">
        <v>41517</v>
      </c>
      <c r="W30" s="420">
        <v>14.063511</v>
      </c>
      <c r="X30" s="30">
        <f t="shared" si="4"/>
        <v>-5.2056601144810859E-2</v>
      </c>
      <c r="Y30" s="422">
        <v>1632.969971</v>
      </c>
      <c r="Z30" s="30">
        <f t="shared" si="5"/>
        <v>-2.8890057735058209E-2</v>
      </c>
      <c r="AC30" s="244"/>
      <c r="AD30" s="244"/>
      <c r="AE30" s="244"/>
    </row>
    <row r="31" spans="1:31" ht="15" customHeight="1">
      <c r="A31" s="365"/>
      <c r="B31" s="8"/>
      <c r="C31" s="8"/>
      <c r="D31" s="8"/>
      <c r="E31" s="8"/>
      <c r="F31" s="8"/>
      <c r="G31" s="8"/>
      <c r="H31" s="8"/>
      <c r="I31" s="8"/>
      <c r="J31" s="412">
        <v>40851</v>
      </c>
      <c r="K31" s="413">
        <v>13.813893999999999</v>
      </c>
      <c r="L31" s="30">
        <f t="shared" si="0"/>
        <v>5.4274136465947446E-3</v>
      </c>
      <c r="M31" s="414">
        <v>1253.2299800000001</v>
      </c>
      <c r="N31" s="31">
        <f t="shared" si="1"/>
        <v>-6.2563554866164406E-3</v>
      </c>
      <c r="O31" s="2"/>
      <c r="P31" s="418">
        <v>40986</v>
      </c>
      <c r="Q31" s="417">
        <v>13.608829999999999</v>
      </c>
      <c r="R31" s="30">
        <f t="shared" si="2"/>
        <v>3.4364570294664661E-3</v>
      </c>
      <c r="S31" s="423">
        <v>1404.170044</v>
      </c>
      <c r="T31" s="30">
        <f t="shared" si="3"/>
        <v>5.0533308585579322E-3</v>
      </c>
      <c r="V31" s="421">
        <v>41547</v>
      </c>
      <c r="W31" s="420">
        <v>14.835813</v>
      </c>
      <c r="X31" s="30">
        <f t="shared" si="4"/>
        <v>2.4358228304680971E-2</v>
      </c>
      <c r="Y31" s="422">
        <v>1681.5500489999999</v>
      </c>
      <c r="Z31" s="30">
        <f t="shared" si="5"/>
        <v>-4.2691876265281099E-2</v>
      </c>
      <c r="AC31" s="244"/>
      <c r="AD31" s="244"/>
      <c r="AE31" s="244"/>
    </row>
    <row r="32" spans="1:31" ht="15" customHeight="1">
      <c r="A32" s="365"/>
      <c r="B32" s="8"/>
      <c r="C32" s="8"/>
      <c r="D32" s="8"/>
      <c r="E32" s="8"/>
      <c r="F32" s="8"/>
      <c r="G32" s="8"/>
      <c r="H32" s="8"/>
      <c r="I32" s="8"/>
      <c r="J32" s="412">
        <v>40854</v>
      </c>
      <c r="K32" s="413">
        <v>13.739324999999999</v>
      </c>
      <c r="L32" s="30">
        <f t="shared" si="0"/>
        <v>-2.2546422966649136E-2</v>
      </c>
      <c r="M32" s="414">
        <v>1261.119995</v>
      </c>
      <c r="N32" s="31">
        <f t="shared" si="1"/>
        <v>-1.1599511324864762E-2</v>
      </c>
      <c r="O32" s="2"/>
      <c r="P32" s="418">
        <v>40993</v>
      </c>
      <c r="Q32" s="417">
        <v>13.562224000000001</v>
      </c>
      <c r="R32" s="30">
        <f t="shared" si="2"/>
        <v>-5.5194813563589233E-2</v>
      </c>
      <c r="S32" s="423">
        <v>1397.1099850000001</v>
      </c>
      <c r="T32" s="30">
        <f t="shared" si="3"/>
        <v>-8.0654797289958953E-3</v>
      </c>
      <c r="V32" s="421">
        <v>41578</v>
      </c>
      <c r="W32" s="420">
        <v>14.483032</v>
      </c>
      <c r="X32" s="30">
        <f t="shared" si="4"/>
        <v>-3.1527090433758308E-2</v>
      </c>
      <c r="Y32" s="422">
        <v>1756.540039</v>
      </c>
      <c r="Z32" s="30">
        <f t="shared" si="5"/>
        <v>-2.7284165216846838E-2</v>
      </c>
      <c r="AC32" s="244"/>
      <c r="AD32" s="244"/>
      <c r="AE32" s="244"/>
    </row>
    <row r="33" spans="1:31" ht="15" customHeight="1">
      <c r="A33" s="365"/>
      <c r="B33" s="8"/>
      <c r="C33" s="8"/>
      <c r="D33" s="8"/>
      <c r="E33" s="8"/>
      <c r="F33" s="8"/>
      <c r="G33" s="8"/>
      <c r="H33" s="8"/>
      <c r="I33" s="8"/>
      <c r="J33" s="412">
        <v>40855</v>
      </c>
      <c r="K33" s="413">
        <v>14.056243</v>
      </c>
      <c r="L33" s="30">
        <f t="shared" si="0"/>
        <v>5.307263992865368E-2</v>
      </c>
      <c r="M33" s="414">
        <v>1275.920044</v>
      </c>
      <c r="N33" s="31">
        <f t="shared" si="1"/>
        <v>3.809296958280959E-2</v>
      </c>
      <c r="O33" s="2"/>
      <c r="P33" s="418">
        <v>41000</v>
      </c>
      <c r="Q33" s="417">
        <v>14.354519</v>
      </c>
      <c r="R33" s="30">
        <f t="shared" si="2"/>
        <v>5.2631582806895942E-2</v>
      </c>
      <c r="S33" s="423">
        <v>1408.469971</v>
      </c>
      <c r="T33" s="30">
        <f t="shared" si="3"/>
        <v>7.4316314710114817E-3</v>
      </c>
      <c r="V33" s="421">
        <v>41608</v>
      </c>
      <c r="W33" s="420">
        <v>14.954504</v>
      </c>
      <c r="X33" s="30">
        <f t="shared" si="4"/>
        <v>-2.6217211880478923E-2</v>
      </c>
      <c r="Y33" s="422">
        <v>1805.8100589999999</v>
      </c>
      <c r="Z33" s="30">
        <f t="shared" si="5"/>
        <v>-2.3020367431293497E-2</v>
      </c>
      <c r="AC33" s="244"/>
      <c r="AD33" s="244"/>
      <c r="AE33" s="244"/>
    </row>
    <row r="34" spans="1:31">
      <c r="A34" s="365"/>
      <c r="B34" s="8"/>
      <c r="C34" s="8"/>
      <c r="D34" s="8"/>
      <c r="E34" s="8"/>
      <c r="F34" s="8"/>
      <c r="G34" s="8"/>
      <c r="H34" s="8"/>
      <c r="I34" s="8"/>
      <c r="J34" s="412">
        <v>40856</v>
      </c>
      <c r="K34" s="413">
        <v>13.347837999999999</v>
      </c>
      <c r="L34" s="30">
        <f t="shared" si="0"/>
        <v>-1.0366294214969225E-2</v>
      </c>
      <c r="M34" s="414">
        <v>1229.099976</v>
      </c>
      <c r="N34" s="31">
        <f t="shared" si="1"/>
        <v>-8.5504359272174282E-3</v>
      </c>
      <c r="O34" s="2"/>
      <c r="P34" s="418">
        <v>41007</v>
      </c>
      <c r="Q34" s="417">
        <v>13.636793000000001</v>
      </c>
      <c r="R34" s="30">
        <f t="shared" si="2"/>
        <v>3.3192132558509571E-2</v>
      </c>
      <c r="S34" s="423">
        <v>1398.079956</v>
      </c>
      <c r="T34" s="30">
        <f t="shared" si="3"/>
        <v>2.0302676716078195E-2</v>
      </c>
      <c r="V34" s="421">
        <v>41639</v>
      </c>
      <c r="W34" s="420">
        <v>15.357125</v>
      </c>
      <c r="X34" s="30">
        <f t="shared" si="4"/>
        <v>2.0382162134794567E-2</v>
      </c>
      <c r="Y34" s="422">
        <v>1848.3599850000001</v>
      </c>
      <c r="Z34" s="30">
        <f t="shared" si="5"/>
        <v>3.6895764171489813E-2</v>
      </c>
      <c r="AC34" s="244"/>
      <c r="AD34" s="244"/>
      <c r="AE34" s="244"/>
    </row>
    <row r="35" spans="1:31">
      <c r="A35" s="365"/>
      <c r="B35" s="8"/>
      <c r="C35" s="8"/>
      <c r="D35" s="8"/>
      <c r="E35" s="8"/>
      <c r="F35" s="8"/>
      <c r="G35" s="8"/>
      <c r="H35" s="8"/>
      <c r="I35" s="8"/>
      <c r="J35" s="412">
        <v>40857</v>
      </c>
      <c r="K35" s="413">
        <v>13.487655</v>
      </c>
      <c r="L35" s="30">
        <f t="shared" si="0"/>
        <v>-3.4045399308688822E-2</v>
      </c>
      <c r="M35" s="414">
        <v>1239.6999510000001</v>
      </c>
      <c r="N35" s="31">
        <f t="shared" si="1"/>
        <v>-1.9108300398464315E-2</v>
      </c>
      <c r="O35" s="2"/>
      <c r="P35" s="418">
        <v>41014</v>
      </c>
      <c r="Q35" s="417">
        <v>13.198700000000001</v>
      </c>
      <c r="R35" s="30">
        <f t="shared" si="2"/>
        <v>5.7505523406624855E-2</v>
      </c>
      <c r="S35" s="423">
        <v>1370.26001</v>
      </c>
      <c r="T35" s="30">
        <f t="shared" si="3"/>
        <v>-5.9991576723208602E-3</v>
      </c>
      <c r="V35" s="421">
        <v>41670</v>
      </c>
      <c r="W35" s="420">
        <v>15.050366</v>
      </c>
      <c r="X35" s="30">
        <f t="shared" si="4"/>
        <v>-0.14965018702438418</v>
      </c>
      <c r="Y35" s="422">
        <v>1782.589966</v>
      </c>
      <c r="Z35" s="30">
        <f t="shared" si="5"/>
        <v>-4.1334796324399722E-2</v>
      </c>
      <c r="AC35" s="244"/>
      <c r="AD35" s="244"/>
      <c r="AE35" s="244"/>
    </row>
    <row r="36" spans="1:31">
      <c r="A36" s="365"/>
      <c r="B36" s="8"/>
      <c r="C36" s="8"/>
      <c r="D36" s="8"/>
      <c r="E36" s="8"/>
      <c r="F36" s="8"/>
      <c r="G36" s="8"/>
      <c r="H36" s="8"/>
      <c r="I36" s="8"/>
      <c r="J36" s="412">
        <v>40858</v>
      </c>
      <c r="K36" s="413">
        <v>13.963032</v>
      </c>
      <c r="L36" s="30">
        <f t="shared" si="0"/>
        <v>1.9741367656781666E-2</v>
      </c>
      <c r="M36" s="414">
        <v>1263.849976</v>
      </c>
      <c r="N36" s="31">
        <f t="shared" si="1"/>
        <v>9.6422268452726334E-3</v>
      </c>
      <c r="O36" s="2"/>
      <c r="P36" s="418">
        <v>41021</v>
      </c>
      <c r="Q36" s="417">
        <v>12.480975000000001</v>
      </c>
      <c r="R36" s="30">
        <f t="shared" si="2"/>
        <v>3.1587161313742708E-2</v>
      </c>
      <c r="S36" s="423">
        <v>1378.530029</v>
      </c>
      <c r="T36" s="30">
        <f t="shared" si="3"/>
        <v>-1.7693219320344265E-2</v>
      </c>
      <c r="V36" s="421">
        <v>41698</v>
      </c>
      <c r="W36" s="420">
        <v>17.699028999999999</v>
      </c>
      <c r="X36" s="30">
        <f t="shared" si="4"/>
        <v>2.6242280799582858E-2</v>
      </c>
      <c r="Y36" s="422">
        <v>1859.4499510000001</v>
      </c>
      <c r="Z36" s="30">
        <f t="shared" si="5"/>
        <v>-6.8844415192064259E-3</v>
      </c>
      <c r="AC36" s="244"/>
      <c r="AD36" s="244"/>
      <c r="AE36" s="244"/>
    </row>
    <row r="37" spans="1:31">
      <c r="A37" s="365"/>
      <c r="B37" s="8"/>
      <c r="C37" s="8"/>
      <c r="D37" s="8"/>
      <c r="E37" s="8"/>
      <c r="F37" s="8"/>
      <c r="G37" s="8"/>
      <c r="H37" s="8"/>
      <c r="I37" s="8"/>
      <c r="J37" s="412">
        <v>40861</v>
      </c>
      <c r="K37" s="413">
        <v>13.692719</v>
      </c>
      <c r="L37" s="30">
        <f t="shared" si="0"/>
        <v>-1.276887423420963E-2</v>
      </c>
      <c r="M37" s="414">
        <v>1251.780029</v>
      </c>
      <c r="N37" s="31">
        <f t="shared" si="1"/>
        <v>-4.7940704217248574E-3</v>
      </c>
      <c r="O37" s="2"/>
      <c r="P37" s="418">
        <v>41028</v>
      </c>
      <c r="Q37" s="417">
        <v>12.098808</v>
      </c>
      <c r="R37" s="30">
        <f t="shared" si="2"/>
        <v>5.8727446993000865E-2</v>
      </c>
      <c r="S37" s="423">
        <v>1403.3599850000001</v>
      </c>
      <c r="T37" s="30">
        <f t="shared" si="3"/>
        <v>2.5023745234511698E-2</v>
      </c>
      <c r="V37" s="421">
        <v>41729</v>
      </c>
      <c r="W37" s="420">
        <v>17.246442999999999</v>
      </c>
      <c r="X37" s="30">
        <f t="shared" si="4"/>
        <v>-3.0319367914459799E-2</v>
      </c>
      <c r="Y37" s="422">
        <v>1872.339966</v>
      </c>
      <c r="Z37" s="30">
        <f t="shared" si="5"/>
        <v>-6.1625761309834562E-3</v>
      </c>
      <c r="AC37" s="244"/>
      <c r="AD37" s="244"/>
      <c r="AE37" s="244"/>
    </row>
    <row r="38" spans="1:31">
      <c r="A38" s="365"/>
      <c r="B38" s="8"/>
      <c r="C38" s="8"/>
      <c r="D38" s="8"/>
      <c r="E38" s="8"/>
      <c r="F38" s="8"/>
      <c r="G38" s="8"/>
      <c r="H38" s="8"/>
      <c r="I38" s="8"/>
      <c r="J38" s="412">
        <v>40862</v>
      </c>
      <c r="K38" s="413">
        <v>13.869821</v>
      </c>
      <c r="L38" s="30">
        <f t="shared" si="0"/>
        <v>2.057617014394281E-2</v>
      </c>
      <c r="M38" s="414">
        <v>1257.8100589999999</v>
      </c>
      <c r="N38" s="31">
        <f t="shared" si="1"/>
        <v>1.6896964553203643E-2</v>
      </c>
      <c r="O38" s="2"/>
      <c r="P38" s="418">
        <v>41035</v>
      </c>
      <c r="Q38" s="417">
        <v>11.427689000000001</v>
      </c>
      <c r="R38" s="30">
        <f t="shared" si="2"/>
        <v>-7.1915209659231372E-2</v>
      </c>
      <c r="S38" s="423">
        <v>1369.099976</v>
      </c>
      <c r="T38" s="30">
        <f t="shared" si="3"/>
        <v>1.1607859394470279E-2</v>
      </c>
      <c r="V38" s="421">
        <v>41759</v>
      </c>
      <c r="W38" s="420">
        <v>17.785693999999999</v>
      </c>
      <c r="X38" s="30">
        <f t="shared" si="4"/>
        <v>-3.2351600708736127E-2</v>
      </c>
      <c r="Y38" s="422">
        <v>1883.9499510000001</v>
      </c>
      <c r="Z38" s="30">
        <f t="shared" si="5"/>
        <v>-2.0597116877599634E-2</v>
      </c>
      <c r="AC38" s="244"/>
      <c r="AD38" s="244"/>
      <c r="AE38" s="244"/>
    </row>
    <row r="39" spans="1:31">
      <c r="A39" s="365"/>
      <c r="B39" s="8"/>
      <c r="C39" s="8"/>
      <c r="D39" s="8"/>
      <c r="E39" s="8"/>
      <c r="F39" s="8"/>
      <c r="G39" s="8"/>
      <c r="H39" s="8"/>
      <c r="I39" s="8"/>
      <c r="J39" s="412">
        <v>40863</v>
      </c>
      <c r="K39" s="413">
        <v>13.590187</v>
      </c>
      <c r="L39" s="30">
        <f t="shared" si="0"/>
        <v>3.6984271477068051E-2</v>
      </c>
      <c r="M39" s="414">
        <v>1236.910034</v>
      </c>
      <c r="N39" s="31">
        <f t="shared" si="1"/>
        <v>1.7087012831329667E-2</v>
      </c>
      <c r="O39" s="2"/>
      <c r="P39" s="418">
        <v>41042</v>
      </c>
      <c r="Q39" s="417">
        <v>12.313195</v>
      </c>
      <c r="R39" s="30">
        <f t="shared" si="2"/>
        <v>9.3543126640111177E-2</v>
      </c>
      <c r="S39" s="423">
        <v>1353.3900149999999</v>
      </c>
      <c r="T39" s="30">
        <f t="shared" si="3"/>
        <v>4.4911324178462629E-2</v>
      </c>
      <c r="V39" s="421">
        <v>41790</v>
      </c>
      <c r="W39" s="420">
        <v>18.380327000000001</v>
      </c>
      <c r="X39" s="30">
        <f t="shared" si="4"/>
        <v>2.4811139532356537E-2</v>
      </c>
      <c r="Y39" s="422">
        <v>1923.5699460000001</v>
      </c>
      <c r="Z39" s="30">
        <f t="shared" si="5"/>
        <v>-1.8701904559178303E-2</v>
      </c>
      <c r="AC39" s="244"/>
      <c r="AD39" s="244"/>
      <c r="AE39" s="244"/>
    </row>
    <row r="40" spans="1:31">
      <c r="A40" s="365"/>
      <c r="B40" s="8"/>
      <c r="C40" s="8"/>
      <c r="D40" s="8"/>
      <c r="E40" s="8"/>
      <c r="F40" s="8"/>
      <c r="G40" s="8"/>
      <c r="H40" s="8"/>
      <c r="I40" s="8"/>
      <c r="J40" s="412">
        <v>40864</v>
      </c>
      <c r="K40" s="413">
        <v>13.10549</v>
      </c>
      <c r="L40" s="30">
        <f t="shared" si="0"/>
        <v>9.332413762296982E-3</v>
      </c>
      <c r="M40" s="414">
        <v>1216.130005</v>
      </c>
      <c r="N40" s="31">
        <f t="shared" si="1"/>
        <v>3.9483485421290337E-4</v>
      </c>
      <c r="O40" s="2"/>
      <c r="P40" s="418">
        <v>41049</v>
      </c>
      <c r="Q40" s="417">
        <v>11.259907999999999</v>
      </c>
      <c r="R40" s="30">
        <f t="shared" si="2"/>
        <v>-2.5806476173073668E-2</v>
      </c>
      <c r="S40" s="423">
        <v>1295.219971</v>
      </c>
      <c r="T40" s="30">
        <f t="shared" si="3"/>
        <v>-1.7149516569845639E-2</v>
      </c>
      <c r="V40" s="421">
        <v>41820</v>
      </c>
      <c r="W40" s="420">
        <v>17.935331000000001</v>
      </c>
      <c r="X40" s="30">
        <f t="shared" si="4"/>
        <v>5.9428625569864495E-2</v>
      </c>
      <c r="Y40" s="422">
        <v>1960.2299800000001</v>
      </c>
      <c r="Z40" s="30">
        <f t="shared" si="5"/>
        <v>1.5310713548316757E-2</v>
      </c>
      <c r="AC40" s="244"/>
      <c r="AD40" s="244"/>
      <c r="AE40" s="244"/>
    </row>
    <row r="41" spans="1:31">
      <c r="A41" s="365"/>
      <c r="B41" s="8"/>
      <c r="C41" s="8"/>
      <c r="D41" s="8"/>
      <c r="E41" s="8"/>
      <c r="F41" s="8"/>
      <c r="G41" s="8"/>
      <c r="H41" s="8"/>
      <c r="I41" s="8"/>
      <c r="J41" s="412">
        <v>40865</v>
      </c>
      <c r="K41" s="413">
        <v>12.984315</v>
      </c>
      <c r="L41" s="30">
        <f t="shared" si="0"/>
        <v>-4.7846880127901059E-2</v>
      </c>
      <c r="M41" s="414">
        <v>1215.650024</v>
      </c>
      <c r="N41" s="31">
        <f t="shared" si="1"/>
        <v>1.9002870442134293E-2</v>
      </c>
      <c r="O41" s="2"/>
      <c r="P41" s="418">
        <v>41056</v>
      </c>
      <c r="Q41" s="417">
        <v>11.558184000000001</v>
      </c>
      <c r="R41" s="30">
        <f t="shared" si="2"/>
        <v>3.5058442080052994E-2</v>
      </c>
      <c r="S41" s="423">
        <v>1317.8199460000001</v>
      </c>
      <c r="T41" s="30">
        <f t="shared" si="3"/>
        <v>3.1125712642872914E-2</v>
      </c>
      <c r="V41" s="421">
        <v>41851</v>
      </c>
      <c r="W41" s="420">
        <v>16.929248999999999</v>
      </c>
      <c r="X41" s="30">
        <f t="shared" si="4"/>
        <v>-0.10421969338402776</v>
      </c>
      <c r="Y41" s="422">
        <v>1930.670044</v>
      </c>
      <c r="Z41" s="30">
        <f t="shared" si="5"/>
        <v>-3.6288828914002008E-2</v>
      </c>
      <c r="AC41" s="244"/>
      <c r="AD41" s="244"/>
      <c r="AE41" s="244"/>
    </row>
    <row r="42" spans="1:31">
      <c r="A42" s="365"/>
      <c r="B42" s="8"/>
      <c r="C42" s="8"/>
      <c r="D42" s="8"/>
      <c r="E42" s="8"/>
      <c r="F42" s="8"/>
      <c r="G42" s="8"/>
      <c r="H42" s="8"/>
      <c r="I42" s="8"/>
      <c r="J42" s="412">
        <v>40868</v>
      </c>
      <c r="K42" s="413">
        <v>13.636793000000001</v>
      </c>
      <c r="L42" s="30">
        <f t="shared" si="0"/>
        <v>-2.9840833002104432E-2</v>
      </c>
      <c r="M42" s="414">
        <v>1192.9799800000001</v>
      </c>
      <c r="N42" s="31">
        <f t="shared" si="1"/>
        <v>4.1580593564490885E-3</v>
      </c>
      <c r="O42" s="2"/>
      <c r="P42" s="418">
        <v>41063</v>
      </c>
      <c r="Q42" s="417">
        <v>11.166696999999999</v>
      </c>
      <c r="R42" s="30">
        <f t="shared" si="2"/>
        <v>-1.1551187980943659E-2</v>
      </c>
      <c r="S42" s="423">
        <v>1278.040039</v>
      </c>
      <c r="T42" s="30">
        <f t="shared" si="3"/>
        <v>-3.5921724860568605E-2</v>
      </c>
      <c r="V42" s="421">
        <v>41882</v>
      </c>
      <c r="W42" s="420">
        <v>18.898885</v>
      </c>
      <c r="X42" s="30">
        <f t="shared" si="4"/>
        <v>5.4200539737895875E-2</v>
      </c>
      <c r="Y42" s="422">
        <v>2003.369995</v>
      </c>
      <c r="Z42" s="30">
        <f t="shared" si="5"/>
        <v>1.5758309064805878E-2</v>
      </c>
      <c r="AC42" s="244"/>
      <c r="AD42" s="244"/>
      <c r="AE42" s="244"/>
    </row>
    <row r="43" spans="1:31">
      <c r="A43" s="365"/>
      <c r="B43" s="8"/>
      <c r="C43" s="8"/>
      <c r="D43" s="8"/>
      <c r="E43" s="8"/>
      <c r="F43" s="8"/>
      <c r="G43" s="8"/>
      <c r="H43" s="8"/>
      <c r="I43" s="8"/>
      <c r="J43" s="412">
        <v>40869</v>
      </c>
      <c r="K43" s="413">
        <v>14.056243</v>
      </c>
      <c r="L43" s="30">
        <f t="shared" si="0"/>
        <v>4.4321374093952148E-2</v>
      </c>
      <c r="M43" s="414">
        <v>1188.040039</v>
      </c>
      <c r="N43" s="31">
        <f t="shared" si="1"/>
        <v>2.2594444020706567E-2</v>
      </c>
      <c r="O43" s="2"/>
      <c r="P43" s="418">
        <v>41070</v>
      </c>
      <c r="Q43" s="417">
        <v>11.297193</v>
      </c>
      <c r="R43" s="30">
        <f t="shared" si="2"/>
        <v>-1.383238596982525E-2</v>
      </c>
      <c r="S43" s="423">
        <v>1325.660034</v>
      </c>
      <c r="T43" s="30">
        <f t="shared" si="3"/>
        <v>-1.2793730031118248E-2</v>
      </c>
      <c r="V43" s="421">
        <v>41912</v>
      </c>
      <c r="W43" s="420">
        <v>17.927219999999998</v>
      </c>
      <c r="X43" s="30">
        <f t="shared" si="4"/>
        <v>-5.5783014468037247E-2</v>
      </c>
      <c r="Y43" s="422">
        <v>1972.290039</v>
      </c>
      <c r="Z43" s="30">
        <f t="shared" si="5"/>
        <v>-2.2675359326531731E-2</v>
      </c>
      <c r="AC43" s="244"/>
      <c r="AD43" s="244"/>
      <c r="AE43" s="244"/>
    </row>
    <row r="44" spans="1:31">
      <c r="A44" s="365"/>
      <c r="B44" s="8"/>
      <c r="C44" s="8"/>
      <c r="D44" s="8"/>
      <c r="E44" s="8"/>
      <c r="F44" s="8"/>
      <c r="G44" s="8"/>
      <c r="H44" s="8"/>
      <c r="I44" s="8"/>
      <c r="J44" s="412">
        <v>40870</v>
      </c>
      <c r="K44" s="413">
        <v>13.459690999999999</v>
      </c>
      <c r="L44" s="30">
        <f t="shared" si="0"/>
        <v>2.8489979289893039E-2</v>
      </c>
      <c r="M44" s="414">
        <v>1161.790039</v>
      </c>
      <c r="N44" s="31">
        <f t="shared" si="1"/>
        <v>2.6927381234687527E-3</v>
      </c>
      <c r="O44" s="2"/>
      <c r="P44" s="418">
        <v>41077</v>
      </c>
      <c r="Q44" s="417">
        <v>11.455652000000001</v>
      </c>
      <c r="R44" s="30">
        <f t="shared" si="2"/>
        <v>-5.4615364237907804E-2</v>
      </c>
      <c r="S44" s="423">
        <v>1342.839966</v>
      </c>
      <c r="T44" s="30">
        <f t="shared" si="3"/>
        <v>5.8575496118777855E-3</v>
      </c>
      <c r="V44" s="421">
        <v>41943</v>
      </c>
      <c r="W44" s="420">
        <v>18.986335</v>
      </c>
      <c r="X44" s="30">
        <f t="shared" si="4"/>
        <v>-7.2119380052189277E-2</v>
      </c>
      <c r="Y44" s="422">
        <v>2018.0500489999999</v>
      </c>
      <c r="Z44" s="30">
        <f t="shared" si="5"/>
        <v>-2.3946104871045957E-2</v>
      </c>
      <c r="AC44" s="244"/>
      <c r="AD44" s="244"/>
      <c r="AE44" s="244"/>
    </row>
    <row r="45" spans="1:31">
      <c r="A45" s="365"/>
      <c r="B45" s="8"/>
      <c r="C45" s="8"/>
      <c r="D45" s="8"/>
      <c r="E45" s="8"/>
      <c r="F45" s="8"/>
      <c r="G45" s="8"/>
      <c r="H45" s="8"/>
      <c r="I45" s="8"/>
      <c r="J45" s="412">
        <v>40872</v>
      </c>
      <c r="K45" s="413">
        <v>13.086847000000001</v>
      </c>
      <c r="L45" s="30">
        <f t="shared" si="0"/>
        <v>-5.3270386086015364E-2</v>
      </c>
      <c r="M45" s="414">
        <v>1158.670044</v>
      </c>
      <c r="N45" s="31">
        <f t="shared" si="1"/>
        <v>-2.8409713310070046E-2</v>
      </c>
      <c r="O45" s="2"/>
      <c r="P45" s="418">
        <v>41084</v>
      </c>
      <c r="Q45" s="417">
        <v>12.117451000000001</v>
      </c>
      <c r="R45" s="30">
        <f t="shared" si="2"/>
        <v>-5.9334259809706344E-2</v>
      </c>
      <c r="S45" s="423">
        <v>1335.0200199999999</v>
      </c>
      <c r="T45" s="30">
        <f t="shared" si="3"/>
        <v>-1.9924247755458712E-2</v>
      </c>
      <c r="V45" s="421">
        <v>41973</v>
      </c>
      <c r="W45" s="420">
        <v>20.462045</v>
      </c>
      <c r="X45" s="30">
        <f t="shared" si="4"/>
        <v>4.588529226403347E-2</v>
      </c>
      <c r="Y45" s="422">
        <v>2067.5600589999999</v>
      </c>
      <c r="Z45" s="30">
        <f t="shared" si="5"/>
        <v>4.206205941137491E-3</v>
      </c>
      <c r="AC45" s="244"/>
      <c r="AD45" s="244"/>
      <c r="AE45" s="244"/>
    </row>
    <row r="46" spans="1:31">
      <c r="A46" s="365"/>
      <c r="B46" s="8"/>
      <c r="C46" s="8"/>
      <c r="D46" s="8"/>
      <c r="E46" s="8"/>
      <c r="F46" s="8"/>
      <c r="G46" s="8"/>
      <c r="H46" s="8"/>
      <c r="I46" s="8"/>
      <c r="J46" s="412">
        <v>40875</v>
      </c>
      <c r="K46" s="413">
        <v>13.823214999999999</v>
      </c>
      <c r="L46" s="30">
        <f t="shared" si="0"/>
        <v>-5.3655316559820133E-3</v>
      </c>
      <c r="M46" s="414">
        <v>1192.5500489999999</v>
      </c>
      <c r="N46" s="31">
        <f t="shared" si="1"/>
        <v>-2.2087635692376907E-3</v>
      </c>
      <c r="O46" s="2"/>
      <c r="P46" s="418">
        <v>41091</v>
      </c>
      <c r="Q46" s="417">
        <v>12.881781999999999</v>
      </c>
      <c r="R46" s="30">
        <f t="shared" si="2"/>
        <v>3.1343294934186881E-2</v>
      </c>
      <c r="S46" s="423">
        <v>1362.160034</v>
      </c>
      <c r="T46" s="30">
        <f t="shared" si="3"/>
        <v>5.5215842131237794E-3</v>
      </c>
      <c r="V46" s="421">
        <v>42004</v>
      </c>
      <c r="W46" s="420">
        <v>19.564330000000002</v>
      </c>
      <c r="X46" s="30">
        <f t="shared" si="4"/>
        <v>4.4270749793927706E-2</v>
      </c>
      <c r="Y46" s="422">
        <v>2058.8999020000001</v>
      </c>
      <c r="Z46" s="30">
        <f t="shared" si="5"/>
        <v>3.2035204347065457E-2</v>
      </c>
      <c r="AC46" s="244"/>
      <c r="AD46" s="244"/>
      <c r="AE46" s="244"/>
    </row>
    <row r="47" spans="1:31">
      <c r="A47" s="365"/>
      <c r="B47" s="8"/>
      <c r="C47" s="8"/>
      <c r="D47" s="8"/>
      <c r="E47" s="8"/>
      <c r="F47" s="8"/>
      <c r="G47" s="8"/>
      <c r="H47" s="8"/>
      <c r="I47" s="8"/>
      <c r="J47" s="412">
        <v>40876</v>
      </c>
      <c r="K47" s="413">
        <v>13.897784</v>
      </c>
      <c r="L47" s="30">
        <f t="shared" si="0"/>
        <v>-4.6065301407346756E-2</v>
      </c>
      <c r="M47" s="414">
        <v>1195.1899410000001</v>
      </c>
      <c r="N47" s="31">
        <f t="shared" si="1"/>
        <v>-4.151698660675756E-2</v>
      </c>
      <c r="O47" s="2"/>
      <c r="P47" s="418">
        <v>41098</v>
      </c>
      <c r="Q47" s="417">
        <v>12.490295</v>
      </c>
      <c r="R47" s="30">
        <f t="shared" si="2"/>
        <v>6.6878915605123032E-2</v>
      </c>
      <c r="S47" s="423">
        <v>1354.6800539999999</v>
      </c>
      <c r="T47" s="30">
        <f t="shared" si="3"/>
        <v>-1.547763790087513E-3</v>
      </c>
      <c r="V47" s="421">
        <v>42035</v>
      </c>
      <c r="W47" s="420">
        <v>18.734921</v>
      </c>
      <c r="X47" s="30">
        <f t="shared" si="4"/>
        <v>-0.13298481659578179</v>
      </c>
      <c r="Y47" s="422">
        <v>1994.98999</v>
      </c>
      <c r="Z47" s="30">
        <f t="shared" si="5"/>
        <v>-5.2036117842717972E-2</v>
      </c>
      <c r="AC47" s="244"/>
      <c r="AD47" s="244"/>
      <c r="AE47" s="244"/>
    </row>
    <row r="48" spans="1:31">
      <c r="A48" s="365"/>
      <c r="B48" s="8"/>
      <c r="C48" s="8"/>
      <c r="D48" s="8"/>
      <c r="E48" s="8"/>
      <c r="F48" s="8"/>
      <c r="G48" s="8"/>
      <c r="H48" s="8"/>
      <c r="I48" s="8"/>
      <c r="J48" s="412">
        <v>40877</v>
      </c>
      <c r="K48" s="413">
        <v>14.568905000000001</v>
      </c>
      <c r="L48" s="30">
        <f t="shared" si="0"/>
        <v>-1.2010099548311497E-2</v>
      </c>
      <c r="M48" s="414">
        <v>1246.959961</v>
      </c>
      <c r="N48" s="31">
        <f t="shared" si="1"/>
        <v>1.9122957818227813E-3</v>
      </c>
      <c r="O48" s="2"/>
      <c r="P48" s="418">
        <v>41105</v>
      </c>
      <c r="Q48" s="417">
        <v>11.707322</v>
      </c>
      <c r="R48" s="30">
        <f t="shared" si="2"/>
        <v>-1.9516010837203338E-2</v>
      </c>
      <c r="S48" s="423">
        <v>1356.780029</v>
      </c>
      <c r="T48" s="30">
        <f t="shared" si="3"/>
        <v>-4.3150931657836991E-3</v>
      </c>
      <c r="V48" s="421">
        <v>42063</v>
      </c>
      <c r="W48" s="420">
        <v>21.608526999999999</v>
      </c>
      <c r="X48" s="30">
        <f t="shared" si="4"/>
        <v>5.3989448851297576E-2</v>
      </c>
      <c r="Y48" s="422">
        <v>2104.5</v>
      </c>
      <c r="Z48" s="30">
        <f t="shared" si="5"/>
        <v>1.7704089141268399E-2</v>
      </c>
      <c r="AC48" s="244"/>
      <c r="AD48" s="244"/>
      <c r="AE48" s="244"/>
    </row>
    <row r="49" spans="1:31">
      <c r="A49" s="365"/>
      <c r="B49" s="8"/>
      <c r="C49" s="8"/>
      <c r="D49" s="8"/>
      <c r="E49" s="8"/>
      <c r="F49" s="8"/>
      <c r="G49" s="8"/>
      <c r="H49" s="8"/>
      <c r="I49" s="8"/>
      <c r="J49" s="412">
        <v>40878</v>
      </c>
      <c r="K49" s="413">
        <v>14.746006</v>
      </c>
      <c r="L49" s="30">
        <f t="shared" si="0"/>
        <v>6.3613119544769555E-3</v>
      </c>
      <c r="M49" s="414">
        <v>1244.579956</v>
      </c>
      <c r="N49" s="31">
        <f t="shared" si="1"/>
        <v>2.4104461456403006E-4</v>
      </c>
      <c r="O49" s="2"/>
      <c r="P49" s="418">
        <v>41112</v>
      </c>
      <c r="Q49" s="417">
        <v>11.94035</v>
      </c>
      <c r="R49" s="30">
        <f t="shared" si="2"/>
        <v>-4.970320410949132E-2</v>
      </c>
      <c r="S49" s="423">
        <v>1362.660034</v>
      </c>
      <c r="T49" s="30">
        <f t="shared" si="3"/>
        <v>-1.6818500752351431E-2</v>
      </c>
      <c r="V49" s="421">
        <v>42094</v>
      </c>
      <c r="W49" s="420">
        <v>20.501653999999998</v>
      </c>
      <c r="X49" s="30">
        <f t="shared" si="4"/>
        <v>-5.7207223343799719E-2</v>
      </c>
      <c r="Y49" s="422">
        <v>2067.889893</v>
      </c>
      <c r="Z49" s="30">
        <f t="shared" si="5"/>
        <v>-8.4488287831329736E-3</v>
      </c>
      <c r="AC49" s="244"/>
      <c r="AD49" s="244"/>
      <c r="AE49" s="244"/>
    </row>
    <row r="50" spans="1:31">
      <c r="A50" s="365"/>
      <c r="B50" s="8"/>
      <c r="C50" s="8"/>
      <c r="D50" s="8"/>
      <c r="E50" s="8"/>
      <c r="F50" s="8"/>
      <c r="G50" s="8"/>
      <c r="H50" s="8"/>
      <c r="I50" s="8"/>
      <c r="J50" s="412">
        <v>40879</v>
      </c>
      <c r="K50" s="413">
        <v>14.652794999999999</v>
      </c>
      <c r="L50" s="30">
        <f t="shared" si="0"/>
        <v>1.5503960853517513E-2</v>
      </c>
      <c r="M50" s="414">
        <v>1244.280029</v>
      </c>
      <c r="N50" s="31">
        <f t="shared" si="1"/>
        <v>-1.0182269583494993E-2</v>
      </c>
      <c r="O50" s="2"/>
      <c r="P50" s="418">
        <v>41119</v>
      </c>
      <c r="Q50" s="417">
        <v>12.564864</v>
      </c>
      <c r="R50" s="30">
        <f t="shared" si="2"/>
        <v>-1.7492805295227665E-2</v>
      </c>
      <c r="S50" s="423">
        <v>1385.969971</v>
      </c>
      <c r="T50" s="30">
        <f t="shared" si="3"/>
        <v>-3.6089540802518986E-3</v>
      </c>
      <c r="V50" s="421">
        <v>42124</v>
      </c>
      <c r="W50" s="420">
        <v>21.745663</v>
      </c>
      <c r="X50" s="30">
        <f t="shared" si="4"/>
        <v>-1.4588496265835408E-3</v>
      </c>
      <c r="Y50" s="422">
        <v>2085.51001</v>
      </c>
      <c r="Z50" s="30">
        <f t="shared" si="5"/>
        <v>-1.038245607643714E-2</v>
      </c>
      <c r="AC50" s="244"/>
      <c r="AD50" s="244"/>
      <c r="AE50" s="244"/>
    </row>
    <row r="51" spans="1:31">
      <c r="A51" s="365"/>
      <c r="B51" s="8"/>
      <c r="C51" s="8"/>
      <c r="D51" s="8"/>
      <c r="E51" s="8"/>
      <c r="F51" s="8"/>
      <c r="G51" s="8"/>
      <c r="H51" s="8"/>
      <c r="I51" s="8"/>
      <c r="J51" s="412">
        <v>40882</v>
      </c>
      <c r="K51" s="413">
        <v>14.429087000000001</v>
      </c>
      <c r="L51" s="30">
        <f t="shared" si="0"/>
        <v>1.4416665776154546E-2</v>
      </c>
      <c r="M51" s="414">
        <v>1257.079956</v>
      </c>
      <c r="N51" s="31">
        <f t="shared" si="1"/>
        <v>-1.1045277456206769E-3</v>
      </c>
      <c r="O51" s="2"/>
      <c r="P51" s="418">
        <v>41126</v>
      </c>
      <c r="Q51" s="417">
        <v>12.788572</v>
      </c>
      <c r="R51" s="30">
        <f t="shared" si="2"/>
        <v>-6.155947339315751E-2</v>
      </c>
      <c r="S51" s="423">
        <v>1390.98999</v>
      </c>
      <c r="T51" s="30">
        <f t="shared" si="3"/>
        <v>-1.0584197011758532E-2</v>
      </c>
      <c r="V51" s="421">
        <v>42155</v>
      </c>
      <c r="W51" s="420">
        <v>21.777432999999998</v>
      </c>
      <c r="X51" s="30">
        <f t="shared" si="4"/>
        <v>0.10044747710112212</v>
      </c>
      <c r="Y51" s="422">
        <v>2107.389893</v>
      </c>
      <c r="Z51" s="30">
        <f t="shared" si="5"/>
        <v>2.1462638300186496E-2</v>
      </c>
      <c r="AC51" s="244"/>
      <c r="AD51" s="244"/>
      <c r="AE51" s="244"/>
    </row>
    <row r="52" spans="1:31">
      <c r="A52" s="365"/>
      <c r="B52" s="8"/>
      <c r="C52" s="8"/>
      <c r="D52" s="8"/>
      <c r="E52" s="8"/>
      <c r="F52" s="8"/>
      <c r="G52" s="8"/>
      <c r="H52" s="8"/>
      <c r="I52" s="8"/>
      <c r="J52" s="412">
        <v>40883</v>
      </c>
      <c r="K52" s="413">
        <v>14.224024</v>
      </c>
      <c r="L52" s="30">
        <f t="shared" si="0"/>
        <v>5.9328296275572151E-3</v>
      </c>
      <c r="M52" s="414">
        <v>1258.469971</v>
      </c>
      <c r="N52" s="31">
        <f t="shared" si="1"/>
        <v>-2.0142893235240685E-3</v>
      </c>
      <c r="O52" s="2"/>
      <c r="P52" s="418">
        <v>41133</v>
      </c>
      <c r="Q52" s="417">
        <v>13.627471999999999</v>
      </c>
      <c r="R52" s="30">
        <f t="shared" si="2"/>
        <v>-2.0477560766099002E-3</v>
      </c>
      <c r="S52" s="423">
        <v>1405.869995</v>
      </c>
      <c r="T52" s="30">
        <f t="shared" si="3"/>
        <v>-8.6661862592018156E-3</v>
      </c>
      <c r="V52" s="421">
        <v>42185</v>
      </c>
      <c r="W52" s="420">
        <v>19.789615999999999</v>
      </c>
      <c r="X52" s="30">
        <f t="shared" si="4"/>
        <v>8.0200528061983092E-3</v>
      </c>
      <c r="Y52" s="422">
        <v>2063.110107</v>
      </c>
      <c r="Z52" s="30">
        <f t="shared" si="5"/>
        <v>-1.9359827409087736E-2</v>
      </c>
      <c r="AC52" s="244"/>
      <c r="AD52" s="244"/>
      <c r="AE52" s="244"/>
    </row>
    <row r="53" spans="1:31">
      <c r="A53" s="365"/>
      <c r="B53" s="8"/>
      <c r="C53" s="8"/>
      <c r="D53" s="8"/>
      <c r="E53" s="8"/>
      <c r="F53" s="8"/>
      <c r="G53" s="8"/>
      <c r="H53" s="8"/>
      <c r="I53" s="8"/>
      <c r="J53" s="412">
        <v>40884</v>
      </c>
      <c r="K53" s="413">
        <v>14.140133000000001</v>
      </c>
      <c r="L53" s="30">
        <f t="shared" si="0"/>
        <v>3.2675321826147179E-2</v>
      </c>
      <c r="M53" s="414">
        <v>1261.01001</v>
      </c>
      <c r="N53" s="31">
        <f t="shared" si="1"/>
        <v>2.1598440084548594E-2</v>
      </c>
      <c r="O53" s="2"/>
      <c r="P53" s="418">
        <v>41140</v>
      </c>
      <c r="Q53" s="417">
        <v>13.655435000000001</v>
      </c>
      <c r="R53" s="30">
        <f t="shared" si="2"/>
        <v>3.4246147538033278E-3</v>
      </c>
      <c r="S53" s="423">
        <v>1418.160034</v>
      </c>
      <c r="T53" s="30">
        <f t="shared" si="3"/>
        <v>4.9818436112128543E-3</v>
      </c>
      <c r="V53" s="421">
        <v>42216</v>
      </c>
      <c r="W53" s="420">
        <v>19.632165000000001</v>
      </c>
      <c r="X53" s="30">
        <f t="shared" si="4"/>
        <v>-0.11626269590819824</v>
      </c>
      <c r="Y53" s="422">
        <v>2103.8400879999999</v>
      </c>
      <c r="Z53" s="30">
        <f t="shared" si="5"/>
        <v>6.6758627708948526E-2</v>
      </c>
      <c r="AC53" s="244"/>
      <c r="AD53" s="244"/>
      <c r="AE53" s="244"/>
    </row>
    <row r="54" spans="1:31">
      <c r="A54" s="365"/>
      <c r="B54" s="8"/>
      <c r="C54" s="8"/>
      <c r="D54" s="8"/>
      <c r="E54" s="8"/>
      <c r="F54" s="8"/>
      <c r="G54" s="8"/>
      <c r="H54" s="8"/>
      <c r="I54" s="8"/>
      <c r="J54" s="412">
        <v>40885</v>
      </c>
      <c r="K54" s="413">
        <v>13.692719</v>
      </c>
      <c r="L54" s="30">
        <f t="shared" si="0"/>
        <v>-1.4094000178421433E-2</v>
      </c>
      <c r="M54" s="414">
        <v>1234.349976</v>
      </c>
      <c r="N54" s="31">
        <f t="shared" si="1"/>
        <v>-1.6603036974146782E-2</v>
      </c>
      <c r="O54" s="2"/>
      <c r="P54" s="418">
        <v>41147</v>
      </c>
      <c r="Q54" s="417">
        <v>13.608829999999999</v>
      </c>
      <c r="R54" s="30">
        <f t="shared" si="2"/>
        <v>4.0627256256267327E-2</v>
      </c>
      <c r="S54" s="423">
        <v>1411.130005</v>
      </c>
      <c r="T54" s="30">
        <f t="shared" si="3"/>
        <v>3.2348313941137552E-3</v>
      </c>
      <c r="V54" s="421">
        <v>42247</v>
      </c>
      <c r="W54" s="420">
        <v>22.214932999999998</v>
      </c>
      <c r="X54" s="30">
        <f t="shared" si="4"/>
        <v>-8.8032453744858352E-2</v>
      </c>
      <c r="Y54" s="422">
        <v>1972.1800539999999</v>
      </c>
      <c r="Z54" s="30">
        <f t="shared" si="5"/>
        <v>2.7161046552569262E-2</v>
      </c>
      <c r="AC54" s="244"/>
      <c r="AD54" s="244"/>
      <c r="AE54" s="244"/>
    </row>
    <row r="55" spans="1:31">
      <c r="A55" s="365"/>
      <c r="B55" s="8"/>
      <c r="C55" s="8"/>
      <c r="D55" s="8"/>
      <c r="E55" s="8"/>
      <c r="F55" s="8"/>
      <c r="G55" s="8"/>
      <c r="H55" s="8"/>
      <c r="I55" s="8"/>
      <c r="J55" s="412">
        <v>40886</v>
      </c>
      <c r="K55" s="413">
        <v>13.888463</v>
      </c>
      <c r="L55" s="30">
        <f t="shared" si="0"/>
        <v>2.5464533680971482E-2</v>
      </c>
      <c r="M55" s="414">
        <v>1255.1899410000001</v>
      </c>
      <c r="N55" s="31">
        <f t="shared" si="1"/>
        <v>1.513985008860365E-2</v>
      </c>
      <c r="O55" s="2"/>
      <c r="P55" s="418">
        <v>41154</v>
      </c>
      <c r="Q55" s="417">
        <v>13.077526000000001</v>
      </c>
      <c r="R55" s="30">
        <f t="shared" si="2"/>
        <v>4.7014982432360561E-2</v>
      </c>
      <c r="S55" s="423">
        <v>1406.579956</v>
      </c>
      <c r="T55" s="30">
        <f t="shared" si="3"/>
        <v>-2.1795431624152199E-2</v>
      </c>
      <c r="V55" s="421">
        <v>42277</v>
      </c>
      <c r="W55" s="420">
        <v>24.359345999999999</v>
      </c>
      <c r="X55" s="30">
        <f t="shared" si="4"/>
        <v>-0.13112447068864591</v>
      </c>
      <c r="Y55" s="422">
        <v>1920.030029</v>
      </c>
      <c r="Z55" s="30">
        <f t="shared" si="5"/>
        <v>-7.6624571888066886E-2</v>
      </c>
      <c r="AC55" s="244"/>
      <c r="AD55" s="244"/>
      <c r="AE55" s="244"/>
    </row>
    <row r="56" spans="1:31">
      <c r="A56" s="365"/>
      <c r="B56" s="8"/>
      <c r="C56" s="8"/>
      <c r="D56" s="8"/>
      <c r="E56" s="8"/>
      <c r="F56" s="8"/>
      <c r="G56" s="8"/>
      <c r="H56" s="8"/>
      <c r="I56" s="8"/>
      <c r="J56" s="412">
        <v>40889</v>
      </c>
      <c r="K56" s="413">
        <v>13.543582000000001</v>
      </c>
      <c r="L56" s="30">
        <f t="shared" si="0"/>
        <v>2.8308590475992334E-2</v>
      </c>
      <c r="M56" s="414">
        <v>1236.469971</v>
      </c>
      <c r="N56" s="31">
        <f t="shared" si="1"/>
        <v>8.7621182277029044E-3</v>
      </c>
      <c r="O56" s="2"/>
      <c r="P56" s="418">
        <v>41161</v>
      </c>
      <c r="Q56" s="417">
        <v>12.490295</v>
      </c>
      <c r="R56" s="30">
        <f t="shared" si="2"/>
        <v>-3.1791975845757062E-2</v>
      </c>
      <c r="S56" s="423">
        <v>1437.920044</v>
      </c>
      <c r="T56" s="30">
        <f t="shared" si="3"/>
        <v>-1.9000235794152734E-2</v>
      </c>
      <c r="V56" s="421">
        <v>42308</v>
      </c>
      <c r="W56" s="420">
        <v>28.035484</v>
      </c>
      <c r="X56" s="30">
        <f t="shared" si="4"/>
        <v>-0.10899496876085733</v>
      </c>
      <c r="Y56" s="422">
        <v>2079.360107</v>
      </c>
      <c r="Z56" s="30">
        <f t="shared" si="5"/>
        <v>-5.0461449637628233E-4</v>
      </c>
      <c r="AC56" s="244"/>
      <c r="AD56" s="244"/>
      <c r="AE56" s="244"/>
    </row>
    <row r="57" spans="1:31">
      <c r="A57" s="365"/>
      <c r="B57" s="8"/>
      <c r="C57" s="8"/>
      <c r="D57" s="8"/>
      <c r="E57" s="8"/>
      <c r="F57" s="8"/>
      <c r="G57" s="8"/>
      <c r="H57" s="8"/>
      <c r="I57" s="8"/>
      <c r="J57" s="412">
        <v>40890</v>
      </c>
      <c r="K57" s="413">
        <v>13.170737000000001</v>
      </c>
      <c r="L57" s="30">
        <f t="shared" si="0"/>
        <v>4.0500704846455446E-2</v>
      </c>
      <c r="M57" s="414">
        <v>1225.7299800000001</v>
      </c>
      <c r="N57" s="31">
        <f t="shared" si="1"/>
        <v>1.14786310011768E-2</v>
      </c>
      <c r="O57" s="2"/>
      <c r="P57" s="418">
        <v>41168</v>
      </c>
      <c r="Q57" s="417">
        <v>12.900425</v>
      </c>
      <c r="R57" s="30">
        <f t="shared" si="2"/>
        <v>1.2435993001394021E-2</v>
      </c>
      <c r="S57" s="423">
        <v>1465.7700199999999</v>
      </c>
      <c r="T57" s="30">
        <f t="shared" si="3"/>
        <v>3.8489168288366928E-3</v>
      </c>
      <c r="V57" s="421">
        <v>42338</v>
      </c>
      <c r="W57" s="420">
        <v>31.465012000000002</v>
      </c>
      <c r="X57" s="30">
        <f t="shared" si="4"/>
        <v>-3.7621359371775159E-2</v>
      </c>
      <c r="Y57" s="422">
        <v>2080.4099120000001</v>
      </c>
      <c r="Z57" s="30">
        <f t="shared" si="5"/>
        <v>1.7842975847008991E-2</v>
      </c>
      <c r="AC57" s="244"/>
      <c r="AD57" s="244"/>
      <c r="AE57" s="244"/>
    </row>
    <row r="58" spans="1:31">
      <c r="A58" s="365"/>
      <c r="B58" s="8"/>
      <c r="C58" s="8"/>
      <c r="D58" s="8"/>
      <c r="E58" s="8"/>
      <c r="F58" s="8"/>
      <c r="G58" s="8"/>
      <c r="H58" s="8"/>
      <c r="I58" s="8"/>
      <c r="J58" s="412">
        <v>40891</v>
      </c>
      <c r="K58" s="413">
        <v>12.658075999999999</v>
      </c>
      <c r="L58" s="30">
        <f t="shared" si="0"/>
        <v>8.915353163685389E-3</v>
      </c>
      <c r="M58" s="414">
        <v>1211.8199460000001</v>
      </c>
      <c r="N58" s="31">
        <f t="shared" si="1"/>
        <v>-3.2326169031461462E-3</v>
      </c>
      <c r="O58" s="2"/>
      <c r="P58" s="418">
        <v>41175</v>
      </c>
      <c r="Q58" s="417">
        <v>12.741966</v>
      </c>
      <c r="R58" s="30">
        <f t="shared" si="2"/>
        <v>2.4737644507734927E-2</v>
      </c>
      <c r="S58" s="423">
        <v>1460.150024</v>
      </c>
      <c r="T58" s="30">
        <f t="shared" si="3"/>
        <v>1.3521472235178973E-2</v>
      </c>
      <c r="V58" s="421">
        <v>42369</v>
      </c>
      <c r="W58" s="420">
        <v>32.695044000000003</v>
      </c>
      <c r="X58" s="30">
        <f t="shared" si="4"/>
        <v>0.12529870109487523</v>
      </c>
      <c r="Y58" s="422">
        <v>2043.9399410000001</v>
      </c>
      <c r="Z58" s="30">
        <f t="shared" si="5"/>
        <v>5.344697126874498E-2</v>
      </c>
      <c r="AC58" s="244"/>
      <c r="AD58" s="244"/>
      <c r="AE58" s="244"/>
    </row>
    <row r="59" spans="1:31">
      <c r="A59" s="365"/>
      <c r="B59" s="8"/>
      <c r="C59" s="8"/>
      <c r="D59" s="8"/>
      <c r="E59" s="8"/>
      <c r="F59" s="8"/>
      <c r="G59" s="8"/>
      <c r="H59" s="8"/>
      <c r="I59" s="8"/>
      <c r="J59" s="412">
        <v>40892</v>
      </c>
      <c r="K59" s="413">
        <v>12.546222</v>
      </c>
      <c r="L59" s="30">
        <f t="shared" si="0"/>
        <v>-3.7009955190367557E-3</v>
      </c>
      <c r="M59" s="414">
        <v>1215.75</v>
      </c>
      <c r="N59" s="31">
        <f t="shared" si="1"/>
        <v>-3.2058392429049586E-3</v>
      </c>
      <c r="O59" s="2"/>
      <c r="P59" s="418">
        <v>41182</v>
      </c>
      <c r="Q59" s="417">
        <v>12.434369</v>
      </c>
      <c r="R59" s="30">
        <f t="shared" si="2"/>
        <v>3.007481194167794E-3</v>
      </c>
      <c r="S59" s="423">
        <v>1440.670044</v>
      </c>
      <c r="T59" s="30">
        <f t="shared" si="3"/>
        <v>-1.3867885012378537E-2</v>
      </c>
      <c r="V59" s="421">
        <v>42400</v>
      </c>
      <c r="W59" s="420">
        <v>29.054546999999999</v>
      </c>
      <c r="X59" s="30">
        <f t="shared" si="4"/>
        <v>-6.9398044408229845E-2</v>
      </c>
      <c r="Y59" s="422">
        <v>1940.23999</v>
      </c>
      <c r="Z59" s="30">
        <f t="shared" si="5"/>
        <v>4.1454744429542311E-3</v>
      </c>
      <c r="AC59" s="244"/>
      <c r="AD59" s="244"/>
      <c r="AE59" s="244"/>
    </row>
    <row r="60" spans="1:31">
      <c r="A60" s="365"/>
      <c r="B60" s="8"/>
      <c r="C60" s="8"/>
      <c r="D60" s="8"/>
      <c r="E60" s="8"/>
      <c r="F60" s="8"/>
      <c r="G60" s="8"/>
      <c r="H60" s="8"/>
      <c r="I60" s="8"/>
      <c r="J60" s="412">
        <v>40893</v>
      </c>
      <c r="K60" s="413">
        <v>12.592828000000001</v>
      </c>
      <c r="L60" s="30">
        <f t="shared" si="0"/>
        <v>2.6595739043673922E-2</v>
      </c>
      <c r="M60" s="414">
        <v>1219.660034</v>
      </c>
      <c r="N60" s="31">
        <f t="shared" si="1"/>
        <v>1.1872118708201663E-2</v>
      </c>
      <c r="O60" s="2"/>
      <c r="P60" s="418">
        <v>41189</v>
      </c>
      <c r="Q60" s="417">
        <v>12.397085000000001</v>
      </c>
      <c r="R60" s="30">
        <f t="shared" si="2"/>
        <v>5.3048314853935935E-2</v>
      </c>
      <c r="S60" s="423">
        <v>1460.9300539999999</v>
      </c>
      <c r="T60" s="30">
        <f t="shared" si="3"/>
        <v>2.2637767847796801E-2</v>
      </c>
      <c r="V60" s="421">
        <v>42429</v>
      </c>
      <c r="W60" s="420">
        <v>31.221240000000002</v>
      </c>
      <c r="X60" s="30">
        <f t="shared" si="4"/>
        <v>-0.1198428454705858</v>
      </c>
      <c r="Y60" s="422">
        <v>1932.2299800000001</v>
      </c>
      <c r="Z60" s="30">
        <f t="shared" si="5"/>
        <v>-6.1905876770397592E-2</v>
      </c>
      <c r="AC60" s="244"/>
      <c r="AD60" s="244"/>
      <c r="AE60" s="244"/>
    </row>
    <row r="61" spans="1:31">
      <c r="A61" s="365"/>
      <c r="B61" s="8"/>
      <c r="C61" s="8"/>
      <c r="D61" s="8"/>
      <c r="E61" s="8"/>
      <c r="F61" s="8"/>
      <c r="G61" s="8"/>
      <c r="H61" s="8"/>
      <c r="I61" s="8"/>
      <c r="J61" s="412">
        <v>40896</v>
      </c>
      <c r="K61" s="413">
        <v>12.266589</v>
      </c>
      <c r="L61" s="30">
        <f t="shared" si="0"/>
        <v>-5.3237365983678585E-2</v>
      </c>
      <c r="M61" s="414">
        <v>1205.349976</v>
      </c>
      <c r="N61" s="31">
        <f t="shared" si="1"/>
        <v>-2.8961630210972446E-2</v>
      </c>
      <c r="O61" s="2"/>
      <c r="P61" s="418">
        <v>41196</v>
      </c>
      <c r="Q61" s="417">
        <v>11.77257</v>
      </c>
      <c r="R61" s="30">
        <f t="shared" si="2"/>
        <v>4.2939806806792803E-2</v>
      </c>
      <c r="S61" s="423">
        <v>1428.589966</v>
      </c>
      <c r="T61" s="30">
        <f t="shared" si="3"/>
        <v>-3.2096059764349723E-3</v>
      </c>
      <c r="V61" s="421">
        <v>42460</v>
      </c>
      <c r="W61" s="420">
        <v>35.472346999999999</v>
      </c>
      <c r="X61" s="30">
        <f t="shared" si="4"/>
        <v>2.8145930372971955E-3</v>
      </c>
      <c r="Y61" s="422">
        <v>2059.73999</v>
      </c>
      <c r="Z61" s="30">
        <f t="shared" si="5"/>
        <v>-2.6921313456086159E-3</v>
      </c>
      <c r="AC61" s="244"/>
      <c r="AD61" s="244"/>
      <c r="AE61" s="244"/>
    </row>
    <row r="62" spans="1:31">
      <c r="A62" s="365"/>
      <c r="B62" s="8"/>
      <c r="C62" s="8"/>
      <c r="D62" s="8"/>
      <c r="E62" s="8"/>
      <c r="F62" s="8"/>
      <c r="G62" s="8"/>
      <c r="H62" s="8"/>
      <c r="I62" s="8"/>
      <c r="J62" s="412">
        <v>40897</v>
      </c>
      <c r="K62" s="413">
        <v>12.956351</v>
      </c>
      <c r="L62" s="30">
        <f t="shared" si="0"/>
        <v>1.3119447581794078E-2</v>
      </c>
      <c r="M62" s="414">
        <v>1241.3000489999999</v>
      </c>
      <c r="N62" s="31">
        <f t="shared" si="1"/>
        <v>-1.9457129067842573E-3</v>
      </c>
      <c r="O62" s="2"/>
      <c r="P62" s="418">
        <v>41203</v>
      </c>
      <c r="Q62" s="417">
        <v>11.287871000000001</v>
      </c>
      <c r="R62" s="30">
        <f t="shared" si="2"/>
        <v>4.9791910483893264E-3</v>
      </c>
      <c r="S62" s="423">
        <v>1433.1899410000001</v>
      </c>
      <c r="T62" s="30">
        <f t="shared" si="3"/>
        <v>1.5050215227249527E-2</v>
      </c>
      <c r="V62" s="421">
        <v>42490</v>
      </c>
      <c r="W62" s="420">
        <v>35.372787000000002</v>
      </c>
      <c r="X62" s="30">
        <f t="shared" si="4"/>
        <v>-0.24148178464566158</v>
      </c>
      <c r="Y62" s="422">
        <v>2065.3000489999999</v>
      </c>
      <c r="Z62" s="30">
        <f t="shared" si="5"/>
        <v>-1.5093303483426872E-2</v>
      </c>
      <c r="AC62" s="244"/>
      <c r="AD62" s="244"/>
      <c r="AE62" s="244"/>
    </row>
    <row r="63" spans="1:31">
      <c r="A63" s="365"/>
      <c r="B63" s="8"/>
      <c r="C63" s="8"/>
      <c r="D63" s="8"/>
      <c r="E63" s="8"/>
      <c r="F63" s="8"/>
      <c r="G63" s="8"/>
      <c r="H63" s="8"/>
      <c r="I63" s="8"/>
      <c r="J63" s="412">
        <v>40898</v>
      </c>
      <c r="K63" s="413">
        <v>12.788572</v>
      </c>
      <c r="L63" s="30">
        <f t="shared" si="0"/>
        <v>-4.1229917746484296E-2</v>
      </c>
      <c r="M63" s="414">
        <v>1243.719971</v>
      </c>
      <c r="N63" s="31">
        <f t="shared" si="1"/>
        <v>-8.1977902711323873E-3</v>
      </c>
      <c r="O63" s="2"/>
      <c r="P63" s="418">
        <v>41210</v>
      </c>
      <c r="Q63" s="417">
        <v>11.231945</v>
      </c>
      <c r="R63" s="30">
        <f t="shared" si="2"/>
        <v>-3.5228173261911883E-2</v>
      </c>
      <c r="S63" s="423">
        <v>1411.9399410000001</v>
      </c>
      <c r="T63" s="30">
        <f t="shared" si="3"/>
        <v>-1.5980837776170772E-3</v>
      </c>
      <c r="V63" s="421">
        <v>42521</v>
      </c>
      <c r="W63" s="420">
        <v>46.634064000000002</v>
      </c>
      <c r="X63" s="30">
        <f t="shared" si="4"/>
        <v>-6.1688456162118776E-3</v>
      </c>
      <c r="Y63" s="422">
        <v>2096.9499510000001</v>
      </c>
      <c r="Z63" s="30">
        <f t="shared" si="5"/>
        <v>-9.1009209886322136E-4</v>
      </c>
      <c r="AC63" s="244"/>
      <c r="AD63" s="244"/>
      <c r="AE63" s="244"/>
    </row>
    <row r="64" spans="1:31">
      <c r="J64" s="412">
        <v>40899</v>
      </c>
      <c r="K64" s="413">
        <v>13.338518000000001</v>
      </c>
      <c r="L64" s="30">
        <f t="shared" si="0"/>
        <v>9.880056226435785E-3</v>
      </c>
      <c r="M64" s="414">
        <v>1254</v>
      </c>
      <c r="N64" s="31">
        <f t="shared" si="1"/>
        <v>-8.954151402387282E-3</v>
      </c>
      <c r="P64" s="418">
        <v>41217</v>
      </c>
      <c r="Q64" s="417">
        <v>11.642073999999999</v>
      </c>
      <c r="R64" s="30">
        <f t="shared" si="2"/>
        <v>2.461038298112023E-2</v>
      </c>
      <c r="S64" s="423">
        <v>1414.1999510000001</v>
      </c>
      <c r="T64" s="30">
        <f t="shared" si="3"/>
        <v>2.489399253357677E-2</v>
      </c>
      <c r="V64" s="421">
        <v>42551</v>
      </c>
      <c r="W64" s="420">
        <v>46.923527999999997</v>
      </c>
      <c r="X64" s="30">
        <f t="shared" si="4"/>
        <v>-0.17670754413429018</v>
      </c>
      <c r="Y64" s="422">
        <v>2098.860107</v>
      </c>
      <c r="Z64" s="30">
        <f t="shared" si="5"/>
        <v>-3.4385345799703732E-2</v>
      </c>
      <c r="AC64" s="244"/>
      <c r="AD64" s="244"/>
      <c r="AE64" s="244"/>
    </row>
    <row r="65" spans="10:31">
      <c r="J65" s="412">
        <v>40900</v>
      </c>
      <c r="K65" s="413">
        <v>13.208022</v>
      </c>
      <c r="L65" s="30">
        <f t="shared" si="0"/>
        <v>7.823591487231692E-3</v>
      </c>
      <c r="M65" s="414">
        <v>1265.329956</v>
      </c>
      <c r="N65" s="31">
        <f t="shared" si="1"/>
        <v>-7.9101961964220114E-5</v>
      </c>
      <c r="P65" s="418">
        <v>41224</v>
      </c>
      <c r="Q65" s="417">
        <v>11.362439999999999</v>
      </c>
      <c r="R65" s="30">
        <f t="shared" si="2"/>
        <v>7.1177467115031492E-2</v>
      </c>
      <c r="S65" s="423">
        <v>1379.849976</v>
      </c>
      <c r="T65" s="30">
        <f t="shared" si="3"/>
        <v>1.4685097895824997E-2</v>
      </c>
      <c r="V65" s="421">
        <v>42582</v>
      </c>
      <c r="W65" s="420">
        <v>56.994968999999998</v>
      </c>
      <c r="X65" s="30">
        <f t="shared" si="4"/>
        <v>-7.0835197261167354E-2</v>
      </c>
      <c r="Y65" s="422">
        <v>2173.6000979999999</v>
      </c>
      <c r="Z65" s="30">
        <f t="shared" si="5"/>
        <v>1.2207315045559212E-3</v>
      </c>
      <c r="AC65" s="244"/>
      <c r="AD65" s="244"/>
      <c r="AE65" s="244"/>
    </row>
    <row r="66" spans="10:31">
      <c r="J66" s="412">
        <v>40904</v>
      </c>
      <c r="K66" s="413">
        <v>13.10549</v>
      </c>
      <c r="L66" s="30">
        <f t="shared" si="0"/>
        <v>2.5528884715456723E-2</v>
      </c>
      <c r="M66" s="414">
        <v>1265.4300539999999</v>
      </c>
      <c r="N66" s="31">
        <f t="shared" si="1"/>
        <v>1.2635670121366896E-2</v>
      </c>
      <c r="P66" s="418">
        <v>41231</v>
      </c>
      <c r="Q66" s="417">
        <v>10.607430000000001</v>
      </c>
      <c r="R66" s="30">
        <f t="shared" si="2"/>
        <v>-4.9827610763107891E-2</v>
      </c>
      <c r="S66" s="423">
        <v>1359.880005</v>
      </c>
      <c r="T66" s="30">
        <f t="shared" si="3"/>
        <v>-3.4964353092896833E-2</v>
      </c>
      <c r="V66" s="421">
        <v>42613</v>
      </c>
      <c r="W66" s="420">
        <v>61.34</v>
      </c>
      <c r="X66" s="30">
        <f t="shared" si="4"/>
        <v>-0.10478688433100777</v>
      </c>
      <c r="Y66" s="422">
        <v>2170.9499510000001</v>
      </c>
      <c r="Z66" s="30">
        <f t="shared" si="5"/>
        <v>1.2359765966787311E-3</v>
      </c>
      <c r="AC66" s="244"/>
      <c r="AD66" s="244"/>
    </row>
    <row r="67" spans="10:31">
      <c r="J67" s="412">
        <v>40905</v>
      </c>
      <c r="K67" s="413">
        <v>12.779249999999999</v>
      </c>
      <c r="L67" s="30">
        <f t="shared" si="0"/>
        <v>-1.8611384161700564E-2</v>
      </c>
      <c r="M67" s="414">
        <v>1249.6400149999999</v>
      </c>
      <c r="N67" s="31">
        <f t="shared" si="1"/>
        <v>-1.0593660265179316E-2</v>
      </c>
      <c r="P67" s="418">
        <v>41238</v>
      </c>
      <c r="Q67" s="417">
        <v>11.163690000000001</v>
      </c>
      <c r="R67" s="30">
        <f t="shared" si="2"/>
        <v>-5.8480625788111711E-3</v>
      </c>
      <c r="S67" s="423">
        <v>1409.150024</v>
      </c>
      <c r="T67" s="30">
        <f t="shared" si="3"/>
        <v>-4.9640792356477415E-3</v>
      </c>
      <c r="V67" s="421">
        <v>42643</v>
      </c>
      <c r="W67" s="420">
        <v>68.519997000000004</v>
      </c>
      <c r="X67" s="30">
        <f t="shared" si="4"/>
        <v>1.0226443107076745E-3</v>
      </c>
      <c r="Y67" s="422">
        <v>2168.2700199999999</v>
      </c>
      <c r="Z67" s="30">
        <f t="shared" si="5"/>
        <v>3.2713627430578612E-3</v>
      </c>
      <c r="AC67" s="244"/>
      <c r="AD67" s="244"/>
    </row>
    <row r="68" spans="10:31">
      <c r="J68" s="412">
        <v>40906</v>
      </c>
      <c r="K68" s="413">
        <v>13.021599999999999</v>
      </c>
      <c r="L68" s="30">
        <f t="shared" si="0"/>
        <v>7.9365638400976882E-3</v>
      </c>
      <c r="M68" s="414">
        <v>1263.0200199999999</v>
      </c>
      <c r="N68" s="31">
        <f t="shared" si="1"/>
        <v>4.3098315071850492E-3</v>
      </c>
      <c r="P68" s="418">
        <v>41245</v>
      </c>
      <c r="Q68" s="417">
        <v>11.22936</v>
      </c>
      <c r="R68" s="30">
        <f t="shared" si="2"/>
        <v>8.3618702282664428E-4</v>
      </c>
      <c r="S68" s="423">
        <v>1416.1800539999999</v>
      </c>
      <c r="T68" s="30">
        <f t="shared" si="3"/>
        <v>-1.3327212845396169E-3</v>
      </c>
      <c r="V68" s="421">
        <v>42674</v>
      </c>
      <c r="W68" s="420">
        <v>68.449996999999996</v>
      </c>
      <c r="X68" s="183"/>
      <c r="Y68" s="422">
        <v>2161.1999510000001</v>
      </c>
      <c r="Z68" s="183"/>
      <c r="AC68" s="244"/>
      <c r="AD68" s="244"/>
    </row>
    <row r="69" spans="10:31">
      <c r="J69" s="412">
        <v>40907</v>
      </c>
      <c r="K69" s="413">
        <v>12.919067</v>
      </c>
      <c r="L69" s="30">
        <f t="shared" si="0"/>
        <v>-1.2820505962971867E-2</v>
      </c>
      <c r="M69" s="414">
        <v>1257.599976</v>
      </c>
      <c r="N69" s="31">
        <f t="shared" si="1"/>
        <v>-1.5238189357545276E-2</v>
      </c>
      <c r="P69" s="418">
        <v>41252</v>
      </c>
      <c r="Q69" s="417">
        <v>11.219977999999999</v>
      </c>
      <c r="R69" s="30">
        <f t="shared" si="2"/>
        <v>-5.0039721456198921E-2</v>
      </c>
      <c r="S69" s="423">
        <v>1418.0699460000001</v>
      </c>
      <c r="T69" s="30">
        <f t="shared" si="3"/>
        <v>3.1763254571784789E-3</v>
      </c>
      <c r="W69" s="33"/>
      <c r="X69" s="23"/>
      <c r="Y69" s="34"/>
      <c r="Z69" s="23"/>
      <c r="AC69" s="244"/>
      <c r="AD69" s="244"/>
    </row>
    <row r="70" spans="10:31">
      <c r="J70" s="412">
        <v>40911</v>
      </c>
      <c r="K70" s="413">
        <v>13.086847000000001</v>
      </c>
      <c r="L70" s="30">
        <f t="shared" si="0"/>
        <v>-1.1267616274874812E-2</v>
      </c>
      <c r="M70" s="414">
        <v>1277.0600589999999</v>
      </c>
      <c r="N70" s="31">
        <f t="shared" si="1"/>
        <v>-1.8788850762819814E-4</v>
      </c>
      <c r="P70" s="418">
        <v>41259</v>
      </c>
      <c r="Q70" s="417">
        <v>11.810997</v>
      </c>
      <c r="R70" s="30">
        <f t="shared" si="2"/>
        <v>1.9433192929269746E-2</v>
      </c>
      <c r="S70" s="423">
        <v>1413.579956</v>
      </c>
      <c r="T70" s="30">
        <f t="shared" si="3"/>
        <v>-1.158624460506249E-2</v>
      </c>
      <c r="W70" s="33"/>
      <c r="X70" s="23"/>
      <c r="Y70" s="34"/>
      <c r="Z70" s="23"/>
      <c r="AC70" s="244"/>
      <c r="AD70" s="244"/>
    </row>
    <row r="71" spans="10:31">
      <c r="J71" s="412">
        <v>40912</v>
      </c>
      <c r="K71" s="413">
        <v>13.235984999999999</v>
      </c>
      <c r="L71" s="30">
        <f t="shared" si="0"/>
        <v>-3.4670297524053408E-2</v>
      </c>
      <c r="M71" s="414">
        <v>1277.3000489999999</v>
      </c>
      <c r="N71" s="31">
        <f t="shared" si="1"/>
        <v>-2.9350770665155564E-3</v>
      </c>
      <c r="P71" s="418">
        <v>41266</v>
      </c>
      <c r="Q71" s="417">
        <v>11.585846999999999</v>
      </c>
      <c r="R71" s="30">
        <f t="shared" si="2"/>
        <v>2.0661128630371905E-2</v>
      </c>
      <c r="S71" s="423">
        <v>1430.150024</v>
      </c>
      <c r="T71" s="30">
        <f t="shared" si="3"/>
        <v>1.9765670252813981E-2</v>
      </c>
      <c r="W71" s="33"/>
      <c r="X71" s="23"/>
      <c r="Y71" s="34"/>
      <c r="Z71" s="23"/>
      <c r="AC71" s="244"/>
      <c r="AD71" s="244"/>
    </row>
    <row r="72" spans="10:31">
      <c r="J72" s="412">
        <v>40913</v>
      </c>
      <c r="K72" s="413">
        <v>13.711361999999999</v>
      </c>
      <c r="L72" s="30">
        <f t="shared" si="0"/>
        <v>1.1691886232787085E-2</v>
      </c>
      <c r="M72" s="414">
        <v>1281.0600589999999</v>
      </c>
      <c r="N72" s="31">
        <f t="shared" si="1"/>
        <v>2.5434140051639712E-3</v>
      </c>
      <c r="P72" s="418">
        <v>41273</v>
      </c>
      <c r="Q72" s="417">
        <v>11.351316000000001</v>
      </c>
      <c r="R72" s="30">
        <f t="shared" si="2"/>
        <v>-7.9847867444065843E-2</v>
      </c>
      <c r="S72" s="423">
        <v>1402.4300539999999</v>
      </c>
      <c r="T72" s="30">
        <f t="shared" si="3"/>
        <v>-4.3669436310605547E-2</v>
      </c>
      <c r="W72" s="33"/>
      <c r="X72" s="23"/>
      <c r="Y72" s="34"/>
      <c r="Z72" s="23"/>
      <c r="AC72" s="244"/>
      <c r="AD72" s="244"/>
    </row>
    <row r="73" spans="10:31">
      <c r="J73" s="412">
        <v>40914</v>
      </c>
      <c r="K73" s="413">
        <v>13.552903000000001</v>
      </c>
      <c r="L73" s="30">
        <f t="shared" si="0"/>
        <v>0</v>
      </c>
      <c r="M73" s="414">
        <v>1277.8100589999999</v>
      </c>
      <c r="N73" s="31">
        <f t="shared" si="1"/>
        <v>-2.2564941911207624E-3</v>
      </c>
      <c r="P73" s="418">
        <v>41280</v>
      </c>
      <c r="Q73" s="417">
        <v>12.336347</v>
      </c>
      <c r="R73" s="30">
        <f t="shared" si="2"/>
        <v>7.6986102154182265E-2</v>
      </c>
      <c r="S73" s="423">
        <v>1466.469971</v>
      </c>
      <c r="T73" s="30">
        <f t="shared" si="3"/>
        <v>-3.7906849728313536E-3</v>
      </c>
      <c r="W73" s="33"/>
      <c r="X73" s="23"/>
      <c r="Y73" s="34"/>
      <c r="Z73" s="23"/>
      <c r="AC73" s="244"/>
      <c r="AD73" s="244"/>
    </row>
    <row r="74" spans="10:31">
      <c r="J74" s="412">
        <v>40917</v>
      </c>
      <c r="K74" s="413">
        <v>13.552903000000001</v>
      </c>
      <c r="L74" s="30">
        <f t="shared" ref="L74:L137" si="6">(K74-K75)/K75</f>
        <v>4.1436689225794361E-3</v>
      </c>
      <c r="M74" s="414">
        <v>1280.6999510000001</v>
      </c>
      <c r="N74" s="31">
        <f t="shared" ref="N74:N137" si="7">(M74-M75)/M75</f>
        <v>-8.8075083489647307E-3</v>
      </c>
      <c r="P74" s="418">
        <v>41287</v>
      </c>
      <c r="Q74" s="417">
        <v>11.454509</v>
      </c>
      <c r="R74" s="30">
        <f t="shared" si="2"/>
        <v>3.2867699560584895E-3</v>
      </c>
      <c r="S74" s="423">
        <v>1472.0500489999999</v>
      </c>
      <c r="T74" s="30">
        <f t="shared" si="3"/>
        <v>-9.3742386758131988E-3</v>
      </c>
      <c r="W74" s="25"/>
      <c r="X74" s="23"/>
      <c r="Y74" s="34"/>
      <c r="Z74" s="23"/>
      <c r="AC74" s="244"/>
      <c r="AD74" s="244"/>
    </row>
    <row r="75" spans="10:31">
      <c r="J75" s="412">
        <v>40918</v>
      </c>
      <c r="K75" s="413">
        <v>13.496976</v>
      </c>
      <c r="L75" s="30">
        <f t="shared" si="6"/>
        <v>2.0436899281632961E-2</v>
      </c>
      <c r="M75" s="414">
        <v>1292.079956</v>
      </c>
      <c r="N75" s="31">
        <f t="shared" si="7"/>
        <v>-3.0950111892644584E-4</v>
      </c>
      <c r="P75" s="418">
        <v>41294</v>
      </c>
      <c r="Q75" s="417">
        <v>11.416983999999999</v>
      </c>
      <c r="R75" s="30">
        <f t="shared" ref="R75:R138" si="8">(Q75-Q76)/Q76</f>
        <v>-1.9339237978192061E-2</v>
      </c>
      <c r="S75" s="423">
        <v>1485.9799800000001</v>
      </c>
      <c r="T75" s="30">
        <f t="shared" ref="T75:T138" si="9">(S75-S76)/S76</f>
        <v>-1.1297693511876563E-2</v>
      </c>
      <c r="W75" s="34"/>
      <c r="X75" s="23"/>
      <c r="Y75" s="34"/>
      <c r="Z75" s="23"/>
      <c r="AC75" s="244"/>
      <c r="AD75" s="244"/>
    </row>
    <row r="76" spans="10:31">
      <c r="J76" s="412">
        <v>40919</v>
      </c>
      <c r="K76" s="413">
        <v>13.226664</v>
      </c>
      <c r="L76" s="30">
        <f t="shared" si="6"/>
        <v>6.3829751618646293E-3</v>
      </c>
      <c r="M76" s="414">
        <v>1292.4799800000001</v>
      </c>
      <c r="N76" s="31">
        <f t="shared" si="7"/>
        <v>-2.3311617136240305E-3</v>
      </c>
      <c r="P76" s="418">
        <v>41301</v>
      </c>
      <c r="Q76" s="417">
        <v>11.642134</v>
      </c>
      <c r="R76" s="30">
        <f t="shared" si="8"/>
        <v>3.2336289831049435E-3</v>
      </c>
      <c r="S76" s="423">
        <v>1502.959961</v>
      </c>
      <c r="T76" s="30">
        <f t="shared" si="9"/>
        <v>-6.7474789370069906E-3</v>
      </c>
      <c r="U76" s="2"/>
      <c r="W76" s="34"/>
      <c r="X76" s="23"/>
      <c r="Y76" s="34"/>
      <c r="Z76" s="23"/>
      <c r="AC76" s="244"/>
      <c r="AD76" s="244"/>
    </row>
    <row r="77" spans="10:31">
      <c r="J77" s="412">
        <v>40920</v>
      </c>
      <c r="K77" s="413">
        <v>13.142773999999999</v>
      </c>
      <c r="L77" s="30">
        <f t="shared" si="6"/>
        <v>2.6948344305452815E-2</v>
      </c>
      <c r="M77" s="414">
        <v>1295.5</v>
      </c>
      <c r="N77" s="31">
        <f t="shared" si="7"/>
        <v>4.9725264869527313E-3</v>
      </c>
      <c r="P77" s="418">
        <v>41308</v>
      </c>
      <c r="Q77" s="417">
        <v>11.604609</v>
      </c>
      <c r="R77" s="30">
        <f t="shared" si="8"/>
        <v>0</v>
      </c>
      <c r="S77" s="423">
        <v>1513.170044</v>
      </c>
      <c r="T77" s="30">
        <f t="shared" si="9"/>
        <v>-3.1358559555867164E-3</v>
      </c>
      <c r="U77" s="2"/>
      <c r="W77" s="34"/>
      <c r="X77" s="23"/>
      <c r="Y77" s="34"/>
      <c r="Z77" s="23"/>
      <c r="AC77" s="244"/>
      <c r="AD77" s="244"/>
    </row>
    <row r="78" spans="10:31">
      <c r="J78" s="412">
        <v>40921</v>
      </c>
      <c r="K78" s="413">
        <v>12.797891999999999</v>
      </c>
      <c r="L78" s="30">
        <f t="shared" si="6"/>
        <v>1.5532428990291275E-2</v>
      </c>
      <c r="M78" s="414">
        <v>1289.089966</v>
      </c>
      <c r="N78" s="31">
        <f t="shared" si="7"/>
        <v>-3.5403757095885556E-3</v>
      </c>
      <c r="P78" s="418">
        <v>41315</v>
      </c>
      <c r="Q78" s="417">
        <v>11.604609</v>
      </c>
      <c r="R78" s="30">
        <f t="shared" si="8"/>
        <v>-2.8279647847732337E-2</v>
      </c>
      <c r="S78" s="423">
        <v>1517.9300539999999</v>
      </c>
      <c r="T78" s="30">
        <f t="shared" si="9"/>
        <v>-1.2238433943309005E-3</v>
      </c>
      <c r="U78" s="2"/>
      <c r="W78" s="34"/>
      <c r="X78" s="23"/>
      <c r="Y78" s="34"/>
      <c r="Z78" s="23"/>
      <c r="AC78" s="244"/>
      <c r="AD78" s="244"/>
    </row>
    <row r="79" spans="10:31">
      <c r="J79" s="412">
        <v>40925</v>
      </c>
      <c r="K79" s="413">
        <v>12.60215</v>
      </c>
      <c r="L79" s="30">
        <f t="shared" si="6"/>
        <v>-3.2904046682812889E-2</v>
      </c>
      <c r="M79" s="414">
        <v>1293.670044</v>
      </c>
      <c r="N79" s="31">
        <f t="shared" si="7"/>
        <v>-1.0985898421722561E-2</v>
      </c>
      <c r="P79" s="418">
        <v>41322</v>
      </c>
      <c r="Q79" s="417">
        <v>11.942334000000001</v>
      </c>
      <c r="R79" s="30">
        <f t="shared" si="8"/>
        <v>1.6773050801727286E-2</v>
      </c>
      <c r="S79" s="423">
        <v>1519.790039</v>
      </c>
      <c r="T79" s="30">
        <f t="shared" si="9"/>
        <v>2.7646232952962314E-3</v>
      </c>
      <c r="U79" s="2"/>
      <c r="W79" s="34"/>
      <c r="X79" s="23"/>
      <c r="Y79" s="34"/>
      <c r="Z79" s="23"/>
      <c r="AC79" s="244"/>
      <c r="AD79" s="244"/>
    </row>
    <row r="80" spans="10:31">
      <c r="J80" s="412">
        <v>40926</v>
      </c>
      <c r="K80" s="413">
        <v>13.03092</v>
      </c>
      <c r="L80" s="30">
        <f t="shared" si="6"/>
        <v>-2.5784024015905748E-2</v>
      </c>
      <c r="M80" s="414">
        <v>1308.040039</v>
      </c>
      <c r="N80" s="31">
        <f t="shared" si="7"/>
        <v>-4.9143864587295714E-3</v>
      </c>
      <c r="P80" s="418">
        <v>41329</v>
      </c>
      <c r="Q80" s="417">
        <v>11.745329</v>
      </c>
      <c r="R80" s="30">
        <f t="shared" si="8"/>
        <v>-2.0955222522017009E-2</v>
      </c>
      <c r="S80" s="423">
        <v>1515.599976</v>
      </c>
      <c r="T80" s="30">
        <f t="shared" si="9"/>
        <v>-1.712537929070244E-3</v>
      </c>
      <c r="U80" s="2"/>
      <c r="W80" s="34"/>
      <c r="X80" s="23"/>
      <c r="Y80" s="34"/>
      <c r="Z80" s="23"/>
      <c r="AC80" s="244"/>
      <c r="AD80" s="244"/>
    </row>
    <row r="81" spans="10:30">
      <c r="J81" s="412">
        <v>40927</v>
      </c>
      <c r="K81" s="413">
        <v>13.375802</v>
      </c>
      <c r="L81" s="30">
        <f t="shared" si="6"/>
        <v>9.1420905318573605E-3</v>
      </c>
      <c r="M81" s="414">
        <v>1314.5</v>
      </c>
      <c r="N81" s="31">
        <f t="shared" si="7"/>
        <v>-6.6901199399027112E-4</v>
      </c>
      <c r="P81" s="418">
        <v>41336</v>
      </c>
      <c r="Q81" s="417">
        <v>11.996722999999999</v>
      </c>
      <c r="R81" s="30">
        <f t="shared" si="8"/>
        <v>-8.5802718537813048E-3</v>
      </c>
      <c r="S81" s="423">
        <v>1518.1999510000001</v>
      </c>
      <c r="T81" s="30">
        <f t="shared" si="9"/>
        <v>-2.1261299044527216E-2</v>
      </c>
      <c r="U81" s="2"/>
      <c r="W81" s="34"/>
      <c r="X81" s="23"/>
      <c r="Y81" s="34"/>
      <c r="Z81" s="23"/>
      <c r="AC81" s="244"/>
      <c r="AD81" s="244"/>
    </row>
    <row r="82" spans="10:30">
      <c r="J82" s="412">
        <v>40928</v>
      </c>
      <c r="K82" s="413">
        <v>13.254626999999999</v>
      </c>
      <c r="L82" s="30">
        <f t="shared" si="6"/>
        <v>-2.6694007629523887E-2</v>
      </c>
      <c r="M82" s="414">
        <v>1315.380005</v>
      </c>
      <c r="N82" s="31">
        <f t="shared" si="7"/>
        <v>-4.7112082066870606E-4</v>
      </c>
      <c r="P82" s="418">
        <v>41343</v>
      </c>
      <c r="Q82" s="417">
        <v>12.100549000000001</v>
      </c>
      <c r="R82" s="30">
        <f t="shared" si="8"/>
        <v>1.4240463491891739E-2</v>
      </c>
      <c r="S82" s="423">
        <v>1551.1800539999999</v>
      </c>
      <c r="T82" s="30">
        <f t="shared" si="9"/>
        <v>-6.0997611961865995E-3</v>
      </c>
      <c r="U82" s="2"/>
      <c r="W82" s="34"/>
      <c r="X82" s="23"/>
      <c r="Y82" s="34"/>
      <c r="Z82" s="23"/>
      <c r="AC82" s="244"/>
      <c r="AD82" s="244"/>
    </row>
    <row r="83" spans="10:30">
      <c r="J83" s="412">
        <v>40931</v>
      </c>
      <c r="K83" s="413">
        <v>13.61815</v>
      </c>
      <c r="L83" s="30">
        <f t="shared" si="6"/>
        <v>-2.2088366247067354E-2</v>
      </c>
      <c r="M83" s="414">
        <v>1316</v>
      </c>
      <c r="N83" s="31">
        <f t="shared" si="7"/>
        <v>1.0268710115658656E-3</v>
      </c>
      <c r="P83" s="418">
        <v>41350</v>
      </c>
      <c r="Q83" s="417">
        <v>11.930650999999999</v>
      </c>
      <c r="R83" s="30">
        <f t="shared" si="8"/>
        <v>1.2820521527416404E-2</v>
      </c>
      <c r="S83" s="423">
        <v>1560.6999510000001</v>
      </c>
      <c r="T83" s="30">
        <f t="shared" si="9"/>
        <v>2.4471452468015908E-3</v>
      </c>
      <c r="U83" s="2"/>
      <c r="W83" s="34"/>
      <c r="X83" s="23"/>
      <c r="Y83" s="34"/>
      <c r="Z83" s="23"/>
      <c r="AC83" s="244"/>
      <c r="AD83" s="244"/>
    </row>
    <row r="84" spans="10:30">
      <c r="J84" s="412">
        <v>40932</v>
      </c>
      <c r="K84" s="413">
        <v>13.925746999999999</v>
      </c>
      <c r="L84" s="30">
        <f t="shared" si="6"/>
        <v>6.0605303131992258E-3</v>
      </c>
      <c r="M84" s="414">
        <v>1314.650024</v>
      </c>
      <c r="N84" s="31">
        <f t="shared" si="7"/>
        <v>-8.6044632160962187E-3</v>
      </c>
      <c r="P84" s="418">
        <v>41357</v>
      </c>
      <c r="Q84" s="417">
        <v>11.779629999999999</v>
      </c>
      <c r="R84" s="30">
        <f t="shared" si="8"/>
        <v>-2.727979581812966E-2</v>
      </c>
      <c r="S84" s="423">
        <v>1556.8900149999999</v>
      </c>
      <c r="T84" s="30">
        <f t="shared" si="9"/>
        <v>-7.8383920764631895E-3</v>
      </c>
      <c r="U84" s="2"/>
      <c r="W84" s="34"/>
      <c r="X84" s="23"/>
      <c r="Y84" s="34"/>
      <c r="Z84" s="23"/>
      <c r="AC84" s="244"/>
      <c r="AD84" s="244"/>
    </row>
    <row r="85" spans="10:30">
      <c r="J85" s="412">
        <v>40933</v>
      </c>
      <c r="K85" s="413">
        <v>13.841858</v>
      </c>
      <c r="L85" s="30">
        <f t="shared" si="6"/>
        <v>9.5173623160121398E-3</v>
      </c>
      <c r="M85" s="414">
        <v>1326.0600589999999</v>
      </c>
      <c r="N85" s="31">
        <f t="shared" si="7"/>
        <v>5.7871898299429875E-3</v>
      </c>
      <c r="P85" s="418">
        <v>41364</v>
      </c>
      <c r="Q85" s="417">
        <v>12.109988</v>
      </c>
      <c r="R85" s="30">
        <f t="shared" si="8"/>
        <v>2.969495235551671E-2</v>
      </c>
      <c r="S85" s="423">
        <v>1569.1899410000001</v>
      </c>
      <c r="T85" s="30">
        <f t="shared" si="9"/>
        <v>1.0242784110372462E-2</v>
      </c>
      <c r="U85" s="2"/>
      <c r="W85" s="34"/>
      <c r="X85" s="23"/>
      <c r="Y85" s="34"/>
      <c r="Z85" s="23"/>
      <c r="AC85" s="244"/>
      <c r="AD85" s="244"/>
    </row>
    <row r="86" spans="10:30">
      <c r="J86" s="412">
        <v>40934</v>
      </c>
      <c r="K86" s="413">
        <v>13.711361999999999</v>
      </c>
      <c r="L86" s="30">
        <f t="shared" si="6"/>
        <v>-1.3413793162996368E-2</v>
      </c>
      <c r="M86" s="414">
        <v>1318.4300539999999</v>
      </c>
      <c r="N86" s="31">
        <f t="shared" si="7"/>
        <v>1.5954191351700037E-3</v>
      </c>
      <c r="P86" s="418">
        <v>41371</v>
      </c>
      <c r="Q86" s="417">
        <v>11.760752999999999</v>
      </c>
      <c r="R86" s="30">
        <f t="shared" si="8"/>
        <v>-4.8128279487903193E-2</v>
      </c>
      <c r="S86" s="423">
        <v>1553.280029</v>
      </c>
      <c r="T86" s="30">
        <f t="shared" si="9"/>
        <v>-2.2387228207378564E-2</v>
      </c>
      <c r="U86" s="2"/>
      <c r="W86" s="34"/>
      <c r="X86" s="23"/>
      <c r="Y86" s="34"/>
      <c r="Z86" s="23"/>
      <c r="AC86" s="244"/>
      <c r="AD86" s="244"/>
    </row>
    <row r="87" spans="10:30">
      <c r="J87" s="412">
        <v>40935</v>
      </c>
      <c r="K87" s="413">
        <v>13.897784</v>
      </c>
      <c r="L87" s="30">
        <f t="shared" si="6"/>
        <v>7.4324122531433329E-3</v>
      </c>
      <c r="M87" s="414">
        <v>1316.329956</v>
      </c>
      <c r="N87" s="31">
        <f t="shared" si="7"/>
        <v>2.5285001444886723E-3</v>
      </c>
      <c r="P87" s="418">
        <v>41378</v>
      </c>
      <c r="Q87" s="417">
        <v>12.355397</v>
      </c>
      <c r="R87" s="30">
        <f t="shared" si="8"/>
        <v>4.1368345223205899E-2</v>
      </c>
      <c r="S87" s="423">
        <v>1588.849976</v>
      </c>
      <c r="T87" s="30">
        <f t="shared" si="9"/>
        <v>2.1604228259122307E-2</v>
      </c>
      <c r="U87" s="2"/>
      <c r="W87" s="34"/>
      <c r="X87" s="23"/>
      <c r="Y87" s="34"/>
      <c r="Z87" s="23"/>
      <c r="AC87" s="244"/>
      <c r="AD87" s="244"/>
    </row>
    <row r="88" spans="10:30">
      <c r="J88" s="412">
        <v>40938</v>
      </c>
      <c r="K88" s="413">
        <v>13.795252</v>
      </c>
      <c r="L88" s="30">
        <f t="shared" si="6"/>
        <v>2.0311188353785365E-3</v>
      </c>
      <c r="M88" s="414">
        <v>1313.01001</v>
      </c>
      <c r="N88" s="31">
        <f t="shared" si="7"/>
        <v>4.5715590741968502E-4</v>
      </c>
      <c r="P88" s="418">
        <v>41385</v>
      </c>
      <c r="Q88" s="417">
        <v>11.864579000000001</v>
      </c>
      <c r="R88" s="30">
        <f t="shared" si="8"/>
        <v>-6.263984365241651E-2</v>
      </c>
      <c r="S88" s="423">
        <v>1555.25</v>
      </c>
      <c r="T88" s="30">
        <f t="shared" si="9"/>
        <v>-1.705808864052288E-2</v>
      </c>
      <c r="U88" s="2"/>
      <c r="W88" s="34"/>
      <c r="X88" s="23"/>
      <c r="Y88" s="34"/>
      <c r="Z88" s="23"/>
      <c r="AC88" s="244"/>
      <c r="AD88" s="244"/>
    </row>
    <row r="89" spans="10:30">
      <c r="J89" s="412">
        <v>40939</v>
      </c>
      <c r="K89" s="413">
        <v>13.767289</v>
      </c>
      <c r="L89" s="30">
        <f t="shared" si="6"/>
        <v>-1.0716687552056332E-2</v>
      </c>
      <c r="M89" s="414">
        <v>1312.410034</v>
      </c>
      <c r="N89" s="31">
        <f t="shared" si="7"/>
        <v>-8.8211015111642407E-3</v>
      </c>
      <c r="P89" s="418">
        <v>41392</v>
      </c>
      <c r="Q89" s="417">
        <v>12.657439</v>
      </c>
      <c r="R89" s="30">
        <f t="shared" si="8"/>
        <v>-3.3165098539340833E-2</v>
      </c>
      <c r="S89" s="423">
        <v>1582.23999</v>
      </c>
      <c r="T89" s="30">
        <f t="shared" si="9"/>
        <v>-1.993288804831014E-2</v>
      </c>
      <c r="U89" s="2"/>
      <c r="W89" s="34"/>
      <c r="X89" s="23"/>
      <c r="Y89" s="34"/>
      <c r="Z89" s="23"/>
      <c r="AC89" s="244"/>
      <c r="AD89" s="244"/>
    </row>
    <row r="90" spans="10:30">
      <c r="J90" s="412">
        <v>40940</v>
      </c>
      <c r="K90" s="413">
        <v>13.916427000000001</v>
      </c>
      <c r="L90" s="30">
        <f t="shared" si="6"/>
        <v>-3.6152321214892827E-2</v>
      </c>
      <c r="M90" s="414">
        <v>1324.089966</v>
      </c>
      <c r="N90" s="31">
        <f t="shared" si="7"/>
        <v>-1.0939488490245258E-3</v>
      </c>
      <c r="P90" s="418">
        <v>41399</v>
      </c>
      <c r="Q90" s="417">
        <v>13.091623999999999</v>
      </c>
      <c r="R90" s="30">
        <f t="shared" si="8"/>
        <v>-4.6079779516561656E-2</v>
      </c>
      <c r="S90" s="423">
        <v>1614.420044</v>
      </c>
      <c r="T90" s="30">
        <f t="shared" si="9"/>
        <v>-1.1801375759483078E-2</v>
      </c>
      <c r="U90" s="2"/>
      <c r="W90" s="34"/>
      <c r="X90" s="23"/>
      <c r="Y90" s="34"/>
      <c r="Z90" s="23"/>
      <c r="AC90" s="244"/>
      <c r="AD90" s="244"/>
    </row>
    <row r="91" spans="10:30">
      <c r="J91" s="412">
        <v>40941</v>
      </c>
      <c r="K91" s="413">
        <v>14.438409</v>
      </c>
      <c r="L91" s="30">
        <f t="shared" si="6"/>
        <v>-2.0859682276000664E-2</v>
      </c>
      <c r="M91" s="414">
        <v>1325.540039</v>
      </c>
      <c r="N91" s="31">
        <f t="shared" si="7"/>
        <v>-1.4395110903797598E-2</v>
      </c>
      <c r="P91" s="418">
        <v>41406</v>
      </c>
      <c r="Q91" s="417">
        <v>13.724024</v>
      </c>
      <c r="R91" s="30">
        <f t="shared" si="8"/>
        <v>-2.2192361443353875E-2</v>
      </c>
      <c r="S91" s="423">
        <v>1633.6999510000001</v>
      </c>
      <c r="T91" s="30">
        <f t="shared" si="9"/>
        <v>-2.025225076751918E-2</v>
      </c>
      <c r="U91" s="2"/>
      <c r="W91" s="34"/>
      <c r="X91" s="23"/>
      <c r="Y91" s="34"/>
      <c r="Z91" s="23"/>
      <c r="AC91" s="244"/>
      <c r="AD91" s="244"/>
    </row>
    <row r="92" spans="10:30">
      <c r="J92" s="412">
        <v>40942</v>
      </c>
      <c r="K92" s="413">
        <v>14.746006</v>
      </c>
      <c r="L92" s="30">
        <f t="shared" si="6"/>
        <v>7.6433537112365127E-3</v>
      </c>
      <c r="M92" s="414">
        <v>1344.900024</v>
      </c>
      <c r="N92" s="31">
        <f t="shared" si="7"/>
        <v>4.2405363166659362E-4</v>
      </c>
      <c r="P92" s="418">
        <v>41413</v>
      </c>
      <c r="Q92" s="417">
        <v>14.035505000000001</v>
      </c>
      <c r="R92" s="30">
        <f t="shared" si="8"/>
        <v>1.7527374923851341E-2</v>
      </c>
      <c r="S92" s="423">
        <v>1667.469971</v>
      </c>
      <c r="T92" s="30">
        <f t="shared" si="9"/>
        <v>1.0832926321526581E-2</v>
      </c>
      <c r="U92" s="2"/>
      <c r="W92" s="34"/>
      <c r="X92" s="23"/>
      <c r="Y92" s="34"/>
      <c r="Z92" s="23"/>
      <c r="AC92" s="244"/>
      <c r="AD92" s="244"/>
    </row>
    <row r="93" spans="10:30">
      <c r="J93" s="412">
        <v>40945</v>
      </c>
      <c r="K93" s="413">
        <v>14.634152</v>
      </c>
      <c r="L93" s="30">
        <f t="shared" si="6"/>
        <v>-2.5413325225060713E-3</v>
      </c>
      <c r="M93" s="414">
        <v>1344.329956</v>
      </c>
      <c r="N93" s="31">
        <f t="shared" si="7"/>
        <v>-2.0192961664781514E-3</v>
      </c>
      <c r="P93" s="418">
        <v>41420</v>
      </c>
      <c r="Q93" s="417">
        <v>13.793737</v>
      </c>
      <c r="R93" s="30">
        <f t="shared" si="8"/>
        <v>4.8375758432266059E-3</v>
      </c>
      <c r="S93" s="423">
        <v>1649.599976</v>
      </c>
      <c r="T93" s="30">
        <f t="shared" si="9"/>
        <v>1.1565293128060185E-2</v>
      </c>
      <c r="U93" s="2"/>
      <c r="W93" s="34"/>
      <c r="X93" s="23"/>
      <c r="Y93" s="34"/>
      <c r="Z93" s="23"/>
      <c r="AC93" s="244"/>
      <c r="AD93" s="244"/>
    </row>
    <row r="94" spans="10:30">
      <c r="J94" s="412">
        <v>40946</v>
      </c>
      <c r="K94" s="413">
        <v>14.671436999999999</v>
      </c>
      <c r="L94" s="30">
        <f t="shared" si="6"/>
        <v>-3.4947844927953851E-2</v>
      </c>
      <c r="M94" s="414">
        <v>1347.0500489999999</v>
      </c>
      <c r="N94" s="31">
        <f t="shared" si="7"/>
        <v>-2.1555543009175787E-3</v>
      </c>
      <c r="P94" s="418">
        <v>41427</v>
      </c>
      <c r="Q94" s="417">
        <v>13.72733</v>
      </c>
      <c r="R94" s="30">
        <f t="shared" si="8"/>
        <v>1.3841192919121772E-3</v>
      </c>
      <c r="S94" s="423">
        <v>1630.73999</v>
      </c>
      <c r="T94" s="30">
        <f t="shared" si="9"/>
        <v>-7.6914742552194725E-3</v>
      </c>
      <c r="U94" s="2"/>
      <c r="W94" s="34"/>
      <c r="X94" s="23"/>
      <c r="Y94" s="34"/>
      <c r="Z94" s="23"/>
      <c r="AC94" s="244"/>
      <c r="AD94" s="244"/>
    </row>
    <row r="95" spans="10:30">
      <c r="J95" s="412">
        <v>40947</v>
      </c>
      <c r="K95" s="413">
        <v>15.20274</v>
      </c>
      <c r="L95" s="30">
        <f t="shared" si="6"/>
        <v>6.1348930086111049E-4</v>
      </c>
      <c r="M95" s="414">
        <v>1349.959961</v>
      </c>
      <c r="N95" s="31">
        <f t="shared" si="7"/>
        <v>-1.4719405836940145E-3</v>
      </c>
      <c r="P95" s="418">
        <v>41434</v>
      </c>
      <c r="Q95" s="417">
        <v>13.708356</v>
      </c>
      <c r="R95" s="30">
        <f t="shared" si="8"/>
        <v>6.9686029790012472E-3</v>
      </c>
      <c r="S95" s="423">
        <v>1643.380005</v>
      </c>
      <c r="T95" s="30">
        <f t="shared" si="9"/>
        <v>1.0235272727929876E-2</v>
      </c>
      <c r="U95" s="2"/>
      <c r="W95" s="34"/>
      <c r="X95" s="23"/>
      <c r="Y95" s="34"/>
      <c r="Z95" s="23"/>
      <c r="AC95" s="244"/>
      <c r="AD95" s="244"/>
    </row>
    <row r="96" spans="10:30">
      <c r="J96" s="412">
        <v>40948</v>
      </c>
      <c r="K96" s="413">
        <v>15.193419</v>
      </c>
      <c r="L96" s="30">
        <f t="shared" si="6"/>
        <v>2.5157257741839138E-2</v>
      </c>
      <c r="M96" s="414">
        <v>1351.9499510000001</v>
      </c>
      <c r="N96" s="31">
        <f t="shared" si="7"/>
        <v>6.9340522373751148E-3</v>
      </c>
      <c r="P96" s="418">
        <v>41441</v>
      </c>
      <c r="Q96" s="417">
        <v>13.613489</v>
      </c>
      <c r="R96" s="30">
        <f t="shared" si="8"/>
        <v>-4.8543497699105233E-3</v>
      </c>
      <c r="S96" s="423">
        <v>1626.7299800000001</v>
      </c>
      <c r="T96" s="30">
        <f t="shared" si="9"/>
        <v>2.1539361125371064E-2</v>
      </c>
      <c r="U96" s="2"/>
      <c r="W96" s="34"/>
      <c r="X96" s="23"/>
      <c r="Y96" s="34"/>
      <c r="Z96" s="23"/>
      <c r="AC96" s="244"/>
      <c r="AD96" s="244"/>
    </row>
    <row r="97" spans="10:30">
      <c r="J97" s="412">
        <v>40949</v>
      </c>
      <c r="K97" s="413">
        <v>14.820574000000001</v>
      </c>
      <c r="L97" s="30">
        <f t="shared" si="6"/>
        <v>-1.5479883153546847E-2</v>
      </c>
      <c r="M97" s="414">
        <v>1342.6400149999999</v>
      </c>
      <c r="N97" s="31">
        <f t="shared" si="7"/>
        <v>-6.7541111763966943E-3</v>
      </c>
      <c r="P97" s="418">
        <v>41448</v>
      </c>
      <c r="Q97" s="417">
        <v>13.679895999999999</v>
      </c>
      <c r="R97" s="30">
        <f t="shared" si="8"/>
        <v>2.7065560540681956E-2</v>
      </c>
      <c r="S97" s="423">
        <v>1592.4300539999999</v>
      </c>
      <c r="T97" s="30">
        <f t="shared" si="9"/>
        <v>-8.6223913327382138E-3</v>
      </c>
      <c r="U97" s="2"/>
      <c r="W97" s="34"/>
      <c r="X97" s="23"/>
      <c r="Y97" s="34"/>
      <c r="Z97" s="23"/>
      <c r="AC97" s="244"/>
      <c r="AD97" s="244"/>
    </row>
    <row r="98" spans="10:30">
      <c r="J98" s="412">
        <v>40952</v>
      </c>
      <c r="K98" s="413">
        <v>15.053602</v>
      </c>
      <c r="L98" s="30">
        <f t="shared" si="6"/>
        <v>-5.5419348501102193E-3</v>
      </c>
      <c r="M98" s="414">
        <v>1351.7700199999999</v>
      </c>
      <c r="N98" s="31">
        <f t="shared" si="7"/>
        <v>9.4040725657158926E-4</v>
      </c>
      <c r="P98" s="418">
        <v>41455</v>
      </c>
      <c r="Q98" s="417">
        <v>13.319399000000001</v>
      </c>
      <c r="R98" s="30">
        <f t="shared" si="8"/>
        <v>-1.4044941740899075E-2</v>
      </c>
      <c r="S98" s="423">
        <v>1606.280029</v>
      </c>
      <c r="T98" s="30">
        <f t="shared" si="9"/>
        <v>-1.5693451007481003E-2</v>
      </c>
      <c r="U98" s="2"/>
      <c r="W98" s="34"/>
      <c r="X98" s="23"/>
      <c r="Y98" s="34"/>
      <c r="Z98" s="23"/>
      <c r="AC98" s="244"/>
      <c r="AD98" s="244"/>
    </row>
    <row r="99" spans="10:30">
      <c r="J99" s="412">
        <v>40953</v>
      </c>
      <c r="K99" s="413">
        <v>15.137492999999999</v>
      </c>
      <c r="L99" s="30">
        <f t="shared" si="6"/>
        <v>4.3290166793333463E-3</v>
      </c>
      <c r="M99" s="414">
        <v>1350.5</v>
      </c>
      <c r="N99" s="31">
        <f t="shared" si="7"/>
        <v>5.412341972891292E-3</v>
      </c>
      <c r="P99" s="418">
        <v>41462</v>
      </c>
      <c r="Q99" s="417">
        <v>13.509134</v>
      </c>
      <c r="R99" s="30">
        <f t="shared" si="8"/>
        <v>-2.7322470471296472E-2</v>
      </c>
      <c r="S99" s="423">
        <v>1631.8900149999999</v>
      </c>
      <c r="T99" s="30">
        <f t="shared" si="9"/>
        <v>-2.8746705846395815E-2</v>
      </c>
      <c r="U99" s="2"/>
      <c r="W99" s="34"/>
      <c r="X99" s="23"/>
      <c r="Y99" s="34"/>
      <c r="Z99" s="23"/>
      <c r="AC99" s="244"/>
      <c r="AD99" s="244"/>
    </row>
    <row r="100" spans="10:30">
      <c r="J100" s="412">
        <v>40954</v>
      </c>
      <c r="K100" s="413">
        <v>15.072245000000001</v>
      </c>
      <c r="L100" s="30">
        <f t="shared" si="6"/>
        <v>-1.7021324329624585E-2</v>
      </c>
      <c r="M100" s="414">
        <v>1343.2299800000001</v>
      </c>
      <c r="N100" s="31">
        <f t="shared" si="7"/>
        <v>-1.0905465652474706E-2</v>
      </c>
      <c r="P100" s="418">
        <v>41469</v>
      </c>
      <c r="Q100" s="417">
        <v>13.888605</v>
      </c>
      <c r="R100" s="30">
        <f t="shared" si="8"/>
        <v>2.8089957505788347E-2</v>
      </c>
      <c r="S100" s="423">
        <v>1680.1899410000001</v>
      </c>
      <c r="T100" s="30">
        <f t="shared" si="9"/>
        <v>-7.0327377616515654E-3</v>
      </c>
      <c r="U100" s="2"/>
      <c r="W100" s="34"/>
      <c r="X100" s="23"/>
      <c r="Y100" s="34"/>
      <c r="Z100" s="23"/>
      <c r="AC100" s="244"/>
      <c r="AD100" s="244"/>
    </row>
    <row r="101" spans="10:30">
      <c r="J101" s="412">
        <v>40955</v>
      </c>
      <c r="K101" s="413">
        <v>15.333237</v>
      </c>
      <c r="L101" s="30">
        <f t="shared" si="6"/>
        <v>3.7854889376382934E-2</v>
      </c>
      <c r="M101" s="414">
        <v>1358.040039</v>
      </c>
      <c r="N101" s="31">
        <f t="shared" si="7"/>
        <v>-2.3434254658423626E-3</v>
      </c>
      <c r="P101" s="418">
        <v>41476</v>
      </c>
      <c r="Q101" s="417">
        <v>13.509134</v>
      </c>
      <c r="R101" s="30">
        <f t="shared" si="8"/>
        <v>2.8169009902393209E-3</v>
      </c>
      <c r="S101" s="423">
        <v>1692.089966</v>
      </c>
      <c r="T101" s="30">
        <f t="shared" si="9"/>
        <v>2.6006679499800226E-4</v>
      </c>
      <c r="U101" s="2"/>
      <c r="W101" s="34"/>
      <c r="X101" s="23"/>
      <c r="Y101" s="34"/>
      <c r="Z101" s="23"/>
      <c r="AC101" s="244"/>
      <c r="AD101" s="244"/>
    </row>
    <row r="102" spans="10:30">
      <c r="J102" s="412">
        <v>40956</v>
      </c>
      <c r="K102" s="413">
        <v>14.77397</v>
      </c>
      <c r="L102" s="30">
        <f t="shared" si="6"/>
        <v>-5.0219085542293328E-3</v>
      </c>
      <c r="M102" s="414">
        <v>1361.2299800000001</v>
      </c>
      <c r="N102" s="31">
        <f t="shared" si="7"/>
        <v>-7.1940525180167326E-4</v>
      </c>
      <c r="P102" s="418">
        <v>41483</v>
      </c>
      <c r="Q102" s="417">
        <v>13.471187</v>
      </c>
      <c r="R102" s="30">
        <f t="shared" si="8"/>
        <v>-3.7940442691226969E-2</v>
      </c>
      <c r="S102" s="423">
        <v>1691.650024</v>
      </c>
      <c r="T102" s="30">
        <f t="shared" si="9"/>
        <v>-1.054005716672657E-2</v>
      </c>
      <c r="U102" s="2"/>
      <c r="W102" s="34"/>
      <c r="X102" s="23"/>
      <c r="Y102" s="34"/>
      <c r="Z102" s="23"/>
      <c r="AC102" s="244"/>
      <c r="AD102" s="244"/>
    </row>
    <row r="103" spans="10:30">
      <c r="J103" s="412">
        <v>40960</v>
      </c>
      <c r="K103" s="413">
        <v>14.848538</v>
      </c>
      <c r="L103" s="30">
        <f t="shared" si="6"/>
        <v>6.953204820342544E-3</v>
      </c>
      <c r="M103" s="414">
        <v>1362.209961</v>
      </c>
      <c r="N103" s="31">
        <f t="shared" si="7"/>
        <v>3.3513006835701148E-3</v>
      </c>
      <c r="P103" s="418">
        <v>41490</v>
      </c>
      <c r="Q103" s="417">
        <v>14.002446000000001</v>
      </c>
      <c r="R103" s="30">
        <f t="shared" si="8"/>
        <v>1.863359188285036E-2</v>
      </c>
      <c r="S103" s="423">
        <v>1709.670044</v>
      </c>
      <c r="T103" s="30">
        <f t="shared" si="9"/>
        <v>1.0789750343055531E-2</v>
      </c>
      <c r="U103" s="2"/>
      <c r="W103" s="34"/>
      <c r="X103" s="23"/>
      <c r="Y103" s="34"/>
      <c r="Z103" s="23"/>
      <c r="AC103" s="244"/>
      <c r="AD103" s="244"/>
    </row>
    <row r="104" spans="10:30">
      <c r="J104" s="412">
        <v>40961</v>
      </c>
      <c r="K104" s="413">
        <v>14.746006</v>
      </c>
      <c r="L104" s="30">
        <f t="shared" si="6"/>
        <v>-5.6568164739658486E-3</v>
      </c>
      <c r="M104" s="414">
        <v>1357.660034</v>
      </c>
      <c r="N104" s="31">
        <f t="shared" si="7"/>
        <v>-4.2538300836837155E-3</v>
      </c>
      <c r="P104" s="418">
        <v>41497</v>
      </c>
      <c r="Q104" s="417">
        <v>13.746302999999999</v>
      </c>
      <c r="R104" s="30">
        <f t="shared" si="8"/>
        <v>-4.6082909015206119E-2</v>
      </c>
      <c r="S104" s="423">
        <v>1691.420044</v>
      </c>
      <c r="T104" s="30">
        <f t="shared" si="9"/>
        <v>2.1493806094663941E-2</v>
      </c>
      <c r="U104" s="2"/>
      <c r="W104" s="34"/>
      <c r="X104" s="23"/>
      <c r="Y104" s="34"/>
      <c r="Z104" s="23"/>
      <c r="AC104" s="244"/>
      <c r="AD104" s="244"/>
    </row>
    <row r="105" spans="10:30">
      <c r="J105" s="412">
        <v>40962</v>
      </c>
      <c r="K105" s="413">
        <v>14.829896</v>
      </c>
      <c r="L105" s="30">
        <f t="shared" si="6"/>
        <v>7.599788069635841E-3</v>
      </c>
      <c r="M105" s="414">
        <v>1363.459961</v>
      </c>
      <c r="N105" s="31">
        <f t="shared" si="7"/>
        <v>-1.6694458803977858E-3</v>
      </c>
      <c r="P105" s="418">
        <v>41504</v>
      </c>
      <c r="Q105" s="417">
        <v>14.410375</v>
      </c>
      <c r="R105" s="30">
        <f t="shared" si="8"/>
        <v>1.0280475586446902E-2</v>
      </c>
      <c r="S105" s="423">
        <v>1655.829956</v>
      </c>
      <c r="T105" s="30">
        <f t="shared" si="9"/>
        <v>-4.6107868951006685E-3</v>
      </c>
      <c r="U105" s="2"/>
      <c r="W105" s="34"/>
      <c r="X105" s="23"/>
      <c r="Y105" s="34"/>
      <c r="Z105" s="23"/>
      <c r="AC105" s="244"/>
      <c r="AD105" s="244"/>
    </row>
    <row r="106" spans="10:30">
      <c r="J106" s="412">
        <v>40963</v>
      </c>
      <c r="K106" s="413">
        <v>14.718042000000001</v>
      </c>
      <c r="L106" s="30">
        <f t="shared" si="6"/>
        <v>2.0685146993013152E-2</v>
      </c>
      <c r="M106" s="414">
        <v>1365.73999</v>
      </c>
      <c r="N106" s="31">
        <f t="shared" si="7"/>
        <v>-1.352727093641143E-3</v>
      </c>
      <c r="P106" s="418">
        <v>41511</v>
      </c>
      <c r="Q106" s="417">
        <v>14.263737000000001</v>
      </c>
      <c r="R106" s="30">
        <f t="shared" si="8"/>
        <v>1.4237269768552155E-2</v>
      </c>
      <c r="S106" s="423">
        <v>1663.5</v>
      </c>
      <c r="T106" s="30">
        <f t="shared" si="9"/>
        <v>1.8696013730922438E-2</v>
      </c>
      <c r="U106" s="2"/>
      <c r="W106" s="34"/>
      <c r="X106" s="23"/>
      <c r="Y106" s="34"/>
      <c r="Z106" s="23"/>
      <c r="AC106" s="244"/>
      <c r="AD106" s="244"/>
    </row>
    <row r="107" spans="10:30">
      <c r="J107" s="412">
        <v>40966</v>
      </c>
      <c r="K107" s="413">
        <v>14.419767</v>
      </c>
      <c r="L107" s="30">
        <f t="shared" si="6"/>
        <v>9.1324462948460302E-3</v>
      </c>
      <c r="M107" s="414">
        <v>1367.589966</v>
      </c>
      <c r="N107" s="31">
        <f t="shared" si="7"/>
        <v>-3.3451061955167608E-3</v>
      </c>
      <c r="P107" s="418">
        <v>41518</v>
      </c>
      <c r="Q107" s="417">
        <v>14.063511</v>
      </c>
      <c r="R107" s="30">
        <f t="shared" si="8"/>
        <v>-8.7365878926469413E-3</v>
      </c>
      <c r="S107" s="423">
        <v>1632.969971</v>
      </c>
      <c r="T107" s="30">
        <f t="shared" si="9"/>
        <v>-1.3412563307604167E-2</v>
      </c>
      <c r="U107" s="2"/>
      <c r="W107" s="34"/>
      <c r="X107" s="23"/>
      <c r="Y107" s="34"/>
      <c r="Z107" s="23"/>
      <c r="AC107" s="244"/>
      <c r="AD107" s="244"/>
    </row>
    <row r="108" spans="10:30">
      <c r="J108" s="412">
        <v>40967</v>
      </c>
      <c r="K108" s="413">
        <v>14.289270999999999</v>
      </c>
      <c r="L108" s="30">
        <f t="shared" si="6"/>
        <v>1.1881181668422881E-2</v>
      </c>
      <c r="M108" s="414">
        <v>1372.1800539999999</v>
      </c>
      <c r="N108" s="31">
        <f t="shared" si="7"/>
        <v>4.7595335239479161E-3</v>
      </c>
      <c r="P108" s="418">
        <v>41525</v>
      </c>
      <c r="Q108" s="417">
        <v>14.187461000000001</v>
      </c>
      <c r="R108" s="30">
        <f t="shared" si="8"/>
        <v>-5.822780255913141E-2</v>
      </c>
      <c r="S108" s="423">
        <v>1655.170044</v>
      </c>
      <c r="T108" s="30">
        <f t="shared" si="9"/>
        <v>-1.9443211271649823E-2</v>
      </c>
      <c r="U108" s="2"/>
      <c r="W108" s="34"/>
      <c r="X108" s="23"/>
      <c r="Y108" s="34"/>
      <c r="Z108" s="23"/>
      <c r="AC108" s="244"/>
      <c r="AD108" s="244"/>
    </row>
    <row r="109" spans="10:30">
      <c r="J109" s="412">
        <v>40968</v>
      </c>
      <c r="K109" s="413">
        <v>14.121491000000001</v>
      </c>
      <c r="L109" s="30">
        <f t="shared" si="6"/>
        <v>-6.5573657470976284E-3</v>
      </c>
      <c r="M109" s="414">
        <v>1365.6800539999999</v>
      </c>
      <c r="N109" s="31">
        <f t="shared" si="7"/>
        <v>-6.1203503468419016E-3</v>
      </c>
      <c r="P109" s="418">
        <v>41532</v>
      </c>
      <c r="Q109" s="417">
        <v>15.064641999999999</v>
      </c>
      <c r="R109" s="30">
        <f t="shared" si="8"/>
        <v>6.3327343782579304E-4</v>
      </c>
      <c r="S109" s="423">
        <v>1687.98999</v>
      </c>
      <c r="T109" s="30">
        <f t="shared" si="9"/>
        <v>-1.2819413632378252E-2</v>
      </c>
      <c r="U109" s="2"/>
      <c r="W109" s="34"/>
      <c r="X109" s="23"/>
      <c r="Y109" s="34"/>
      <c r="Z109" s="23"/>
      <c r="AC109" s="244"/>
      <c r="AD109" s="244"/>
    </row>
    <row r="110" spans="10:30">
      <c r="J110" s="412">
        <v>40969</v>
      </c>
      <c r="K110" s="413">
        <v>14.214702000000001</v>
      </c>
      <c r="L110" s="30">
        <f t="shared" si="6"/>
        <v>-8.4525697311716008E-3</v>
      </c>
      <c r="M110" s="414">
        <v>1374.089966</v>
      </c>
      <c r="N110" s="31">
        <f t="shared" si="7"/>
        <v>3.2563254190682111E-3</v>
      </c>
      <c r="P110" s="418">
        <v>41539</v>
      </c>
      <c r="Q110" s="417">
        <v>15.055108000000001</v>
      </c>
      <c r="R110" s="30">
        <f t="shared" si="8"/>
        <v>1.3478869335944187E-2</v>
      </c>
      <c r="S110" s="423">
        <v>1709.910034</v>
      </c>
      <c r="T110" s="30">
        <f t="shared" si="9"/>
        <v>1.0734466676518395E-2</v>
      </c>
      <c r="U110" s="2"/>
      <c r="W110" s="34"/>
      <c r="X110" s="23"/>
      <c r="Y110" s="34"/>
      <c r="Z110" s="23"/>
      <c r="AC110" s="244"/>
      <c r="AD110" s="244"/>
    </row>
    <row r="111" spans="10:30">
      <c r="J111" s="412">
        <v>40970</v>
      </c>
      <c r="K111" s="413">
        <v>14.335877</v>
      </c>
      <c r="L111" s="30">
        <f t="shared" si="6"/>
        <v>3.499334136056869E-2</v>
      </c>
      <c r="M111" s="414">
        <v>1369.630005</v>
      </c>
      <c r="N111" s="31">
        <f t="shared" si="7"/>
        <v>3.884726694368605E-3</v>
      </c>
      <c r="P111" s="418">
        <v>41546</v>
      </c>
      <c r="Q111" s="417">
        <v>14.854881000000001</v>
      </c>
      <c r="R111" s="30">
        <f t="shared" si="8"/>
        <v>-6.4146482445052847E-4</v>
      </c>
      <c r="S111" s="423">
        <v>1691.75</v>
      </c>
      <c r="T111" s="30">
        <f t="shared" si="9"/>
        <v>7.3942620526471457E-4</v>
      </c>
      <c r="U111" s="2"/>
      <c r="W111" s="34"/>
      <c r="X111" s="23"/>
      <c r="Y111" s="34"/>
      <c r="Z111" s="23"/>
      <c r="AC111" s="244"/>
      <c r="AD111" s="244"/>
    </row>
    <row r="112" spans="10:30">
      <c r="J112" s="412">
        <v>40973</v>
      </c>
      <c r="K112" s="413">
        <v>13.851178000000001</v>
      </c>
      <c r="L112" s="30">
        <f t="shared" si="6"/>
        <v>9.5108239145239044E-3</v>
      </c>
      <c r="M112" s="414">
        <v>1364.329956</v>
      </c>
      <c r="N112" s="31">
        <f t="shared" si="7"/>
        <v>1.5610090544717235E-2</v>
      </c>
      <c r="P112" s="418">
        <v>41553</v>
      </c>
      <c r="Q112" s="417">
        <v>14.864416</v>
      </c>
      <c r="R112" s="30">
        <f t="shared" si="8"/>
        <v>2.1625145406028612E-2</v>
      </c>
      <c r="S112" s="423">
        <v>1690.5</v>
      </c>
      <c r="T112" s="30">
        <f t="shared" si="9"/>
        <v>-7.4565238171499073E-3</v>
      </c>
      <c r="U112" s="2"/>
      <c r="W112" s="34"/>
      <c r="X112" s="23"/>
      <c r="Y112" s="34"/>
      <c r="Z112" s="23"/>
      <c r="AC112" s="244"/>
      <c r="AD112" s="244"/>
    </row>
    <row r="113" spans="10:30">
      <c r="J113" s="412">
        <v>40974</v>
      </c>
      <c r="K113" s="413">
        <v>13.720682999999999</v>
      </c>
      <c r="L113" s="30">
        <f t="shared" si="6"/>
        <v>-6.0769717397271359E-3</v>
      </c>
      <c r="M113" s="414">
        <v>1343.3599850000001</v>
      </c>
      <c r="N113" s="31">
        <f t="shared" si="7"/>
        <v>-6.8533301536512431E-3</v>
      </c>
      <c r="P113" s="418">
        <v>41560</v>
      </c>
      <c r="Q113" s="417">
        <v>14.549775</v>
      </c>
      <c r="R113" s="30">
        <f t="shared" si="8"/>
        <v>-3.478810153283992E-2</v>
      </c>
      <c r="S113" s="423">
        <v>1703.1999510000001</v>
      </c>
      <c r="T113" s="30">
        <f t="shared" si="9"/>
        <v>-2.3674433361994811E-2</v>
      </c>
      <c r="U113" s="2"/>
      <c r="W113" s="34"/>
      <c r="X113" s="23"/>
      <c r="Y113" s="34"/>
      <c r="Z113" s="23"/>
      <c r="AC113" s="244"/>
      <c r="AD113" s="244"/>
    </row>
    <row r="114" spans="10:30">
      <c r="J114" s="412">
        <v>40975</v>
      </c>
      <c r="K114" s="413">
        <v>13.804573</v>
      </c>
      <c r="L114" s="30">
        <f t="shared" si="6"/>
        <v>-3.3646957681145485E-3</v>
      </c>
      <c r="M114" s="414">
        <v>1352.630005</v>
      </c>
      <c r="N114" s="31">
        <f t="shared" si="7"/>
        <v>-9.7224770808001931E-3</v>
      </c>
      <c r="P114" s="418">
        <v>41567</v>
      </c>
      <c r="Q114" s="417">
        <v>15.074177000000001</v>
      </c>
      <c r="R114" s="30">
        <f t="shared" si="8"/>
        <v>3.7401626417988755E-2</v>
      </c>
      <c r="S114" s="423">
        <v>1744.5</v>
      </c>
      <c r="T114" s="30">
        <f t="shared" si="9"/>
        <v>-8.6772815916024825E-3</v>
      </c>
      <c r="U114" s="2"/>
      <c r="W114" s="34"/>
      <c r="X114" s="23"/>
      <c r="Y114" s="34"/>
      <c r="Z114" s="23"/>
      <c r="AC114" s="244"/>
      <c r="AD114" s="244"/>
    </row>
    <row r="115" spans="10:30">
      <c r="J115" s="412">
        <v>40976</v>
      </c>
      <c r="K115" s="413">
        <v>13.851178000000001</v>
      </c>
      <c r="L115" s="30">
        <f t="shared" si="6"/>
        <v>2.6990217240700867E-3</v>
      </c>
      <c r="M115" s="414">
        <v>1365.910034</v>
      </c>
      <c r="N115" s="31">
        <f t="shared" si="7"/>
        <v>-3.618111869171096E-3</v>
      </c>
      <c r="P115" s="418">
        <v>41574</v>
      </c>
      <c r="Q115" s="417">
        <v>14.530704999999999</v>
      </c>
      <c r="R115" s="30">
        <f t="shared" si="8"/>
        <v>-1.3106731891043696E-3</v>
      </c>
      <c r="S115" s="423">
        <v>1759.7700199999999</v>
      </c>
      <c r="T115" s="30">
        <f t="shared" si="9"/>
        <v>-1.0615080175730553E-3</v>
      </c>
      <c r="U115" s="2"/>
      <c r="W115" s="34"/>
      <c r="X115" s="23"/>
      <c r="Y115" s="34"/>
      <c r="Z115" s="23"/>
      <c r="AC115" s="244"/>
      <c r="AD115" s="244"/>
    </row>
    <row r="116" spans="10:30">
      <c r="J116" s="412">
        <v>40977</v>
      </c>
      <c r="K116" s="413">
        <v>13.813893999999999</v>
      </c>
      <c r="L116" s="30">
        <f t="shared" si="6"/>
        <v>1.5764172074153565E-2</v>
      </c>
      <c r="M116" s="414">
        <v>1370.869995</v>
      </c>
      <c r="N116" s="31">
        <f t="shared" si="7"/>
        <v>-1.6043513223404831E-4</v>
      </c>
      <c r="P116" s="418">
        <v>41581</v>
      </c>
      <c r="Q116" s="417">
        <v>14.549775</v>
      </c>
      <c r="R116" s="30">
        <f t="shared" si="8"/>
        <v>-1.9280237624995648E-2</v>
      </c>
      <c r="S116" s="423">
        <v>1761.6400149999999</v>
      </c>
      <c r="T116" s="30">
        <f t="shared" si="9"/>
        <v>-5.066033782702351E-3</v>
      </c>
      <c r="U116" s="2"/>
      <c r="W116" s="34"/>
      <c r="X116" s="23"/>
      <c r="Y116" s="34"/>
      <c r="Z116" s="23"/>
      <c r="AC116" s="244"/>
      <c r="AD116" s="244"/>
    </row>
    <row r="117" spans="10:30">
      <c r="J117" s="412">
        <v>40980</v>
      </c>
      <c r="K117" s="413">
        <v>13.599508999999999</v>
      </c>
      <c r="L117" s="30">
        <f t="shared" si="6"/>
        <v>-1.3522626799742456E-2</v>
      </c>
      <c r="M117" s="414">
        <v>1371.089966</v>
      </c>
      <c r="N117" s="31">
        <f t="shared" si="7"/>
        <v>-1.7808650648392804E-2</v>
      </c>
      <c r="P117" s="418">
        <v>41588</v>
      </c>
      <c r="Q117" s="417">
        <v>14.835813</v>
      </c>
      <c r="R117" s="30">
        <f t="shared" si="8"/>
        <v>-3.7724140910198885E-2</v>
      </c>
      <c r="S117" s="423">
        <v>1770.6099850000001</v>
      </c>
      <c r="T117" s="30">
        <f t="shared" si="9"/>
        <v>-1.5332207104995436E-2</v>
      </c>
      <c r="U117" s="2"/>
      <c r="W117" s="34"/>
      <c r="X117" s="23"/>
      <c r="Y117" s="34"/>
      <c r="Z117" s="23"/>
      <c r="AC117" s="244"/>
      <c r="AD117" s="244"/>
    </row>
    <row r="118" spans="10:30">
      <c r="J118" s="412">
        <v>40981</v>
      </c>
      <c r="K118" s="413">
        <v>13.785931</v>
      </c>
      <c r="L118" s="30">
        <f t="shared" si="6"/>
        <v>2.9227566295398279E-2</v>
      </c>
      <c r="M118" s="414">
        <v>1395.9499510000001</v>
      </c>
      <c r="N118" s="31">
        <f t="shared" si="7"/>
        <v>1.1976948426907737E-3</v>
      </c>
      <c r="P118" s="418">
        <v>41595</v>
      </c>
      <c r="Q118" s="417">
        <v>15.417422</v>
      </c>
      <c r="R118" s="30">
        <f t="shared" si="8"/>
        <v>5.9479518904873005E-2</v>
      </c>
      <c r="S118" s="423">
        <v>1798.1800539999999</v>
      </c>
      <c r="T118" s="30">
        <f t="shared" si="9"/>
        <v>-3.6458897379934956E-3</v>
      </c>
      <c r="U118" s="2"/>
      <c r="W118" s="34"/>
      <c r="X118" s="23"/>
      <c r="Y118" s="34"/>
      <c r="Z118" s="23"/>
      <c r="AC118" s="244"/>
      <c r="AD118" s="244"/>
    </row>
    <row r="119" spans="10:30">
      <c r="J119" s="412">
        <v>40982</v>
      </c>
      <c r="K119" s="413">
        <v>13.394444</v>
      </c>
      <c r="L119" s="30">
        <f t="shared" si="6"/>
        <v>-1.4403260234756167E-2</v>
      </c>
      <c r="M119" s="414">
        <v>1394.280029</v>
      </c>
      <c r="N119" s="31">
        <f t="shared" si="7"/>
        <v>-5.9318031814938211E-3</v>
      </c>
      <c r="P119" s="418">
        <v>41602</v>
      </c>
      <c r="Q119" s="417">
        <v>14.551883</v>
      </c>
      <c r="R119" s="30">
        <f t="shared" si="8"/>
        <v>-2.6923059434134353E-2</v>
      </c>
      <c r="S119" s="423">
        <v>1804.76001</v>
      </c>
      <c r="T119" s="30">
        <f t="shared" si="9"/>
        <v>-5.8148363653563219E-4</v>
      </c>
      <c r="U119" s="2"/>
      <c r="W119" s="34"/>
      <c r="X119" s="23"/>
      <c r="Y119" s="34"/>
      <c r="Z119" s="23"/>
      <c r="AC119" s="244"/>
      <c r="AD119" s="244"/>
    </row>
    <row r="120" spans="10:30">
      <c r="J120" s="412">
        <v>40983</v>
      </c>
      <c r="K120" s="413">
        <v>13.590187</v>
      </c>
      <c r="L120" s="30">
        <f t="shared" si="6"/>
        <v>-1.3699193832239125E-3</v>
      </c>
      <c r="M120" s="414">
        <v>1402.599976</v>
      </c>
      <c r="N120" s="31">
        <f t="shared" si="7"/>
        <v>-1.1181466281159264E-3</v>
      </c>
      <c r="P120" s="418">
        <v>41609</v>
      </c>
      <c r="Q120" s="417">
        <v>14.954504</v>
      </c>
      <c r="R120" s="30">
        <f t="shared" si="8"/>
        <v>8.4033704109465618E-3</v>
      </c>
      <c r="S120" s="423">
        <v>1805.8100589999999</v>
      </c>
      <c r="T120" s="30">
        <f t="shared" si="9"/>
        <v>3.989236068912402E-4</v>
      </c>
      <c r="U120" s="2"/>
      <c r="W120" s="34"/>
      <c r="X120" s="23"/>
      <c r="Y120" s="34"/>
      <c r="Z120" s="23"/>
      <c r="AC120" s="244"/>
      <c r="AD120" s="244"/>
    </row>
    <row r="121" spans="10:30">
      <c r="J121" s="412">
        <v>40984</v>
      </c>
      <c r="K121" s="413">
        <v>13.608829999999999</v>
      </c>
      <c r="L121" s="30">
        <f t="shared" si="6"/>
        <v>-2.7322063995655777E-3</v>
      </c>
      <c r="M121" s="414">
        <v>1404.170044</v>
      </c>
      <c r="N121" s="31">
        <f t="shared" si="7"/>
        <v>-3.9581173967015697E-3</v>
      </c>
      <c r="P121" s="418">
        <v>41616</v>
      </c>
      <c r="Q121" s="417">
        <v>14.829883000000001</v>
      </c>
      <c r="R121" s="30">
        <f t="shared" si="8"/>
        <v>2.9960059042249097E-2</v>
      </c>
      <c r="S121" s="423">
        <v>1805.089966</v>
      </c>
      <c r="T121" s="30">
        <f t="shared" si="9"/>
        <v>1.6768819652522471E-2</v>
      </c>
      <c r="U121" s="2"/>
      <c r="W121" s="34"/>
      <c r="X121" s="23"/>
      <c r="Y121" s="34"/>
      <c r="Z121" s="23"/>
      <c r="AC121" s="244"/>
      <c r="AD121" s="244"/>
    </row>
    <row r="122" spans="10:30">
      <c r="J122" s="412">
        <v>40987</v>
      </c>
      <c r="K122" s="413">
        <v>13.646114000000001</v>
      </c>
      <c r="L122" s="30">
        <f t="shared" si="6"/>
        <v>1.6666682808828624E-2</v>
      </c>
      <c r="M122" s="414">
        <v>1409.75</v>
      </c>
      <c r="N122" s="31">
        <f t="shared" si="7"/>
        <v>3.0095480247944594E-3</v>
      </c>
      <c r="P122" s="418">
        <v>41623</v>
      </c>
      <c r="Q122" s="417">
        <v>14.398503</v>
      </c>
      <c r="R122" s="30">
        <f t="shared" si="8"/>
        <v>-4.270230950138957E-2</v>
      </c>
      <c r="S122" s="423">
        <v>1775.3199460000001</v>
      </c>
      <c r="T122" s="30">
        <f t="shared" si="9"/>
        <v>-2.3648203438890285E-2</v>
      </c>
      <c r="U122" s="2"/>
      <c r="W122" s="34"/>
      <c r="X122" s="23"/>
      <c r="Y122" s="34"/>
      <c r="Z122" s="23"/>
      <c r="AC122" s="244"/>
      <c r="AD122" s="244"/>
    </row>
    <row r="123" spans="10:30">
      <c r="J123" s="412">
        <v>40988</v>
      </c>
      <c r="K123" s="413">
        <v>13.422407</v>
      </c>
      <c r="L123" s="30">
        <f t="shared" si="6"/>
        <v>-4.1494000668035455E-3</v>
      </c>
      <c r="M123" s="414">
        <v>1405.5200199999999</v>
      </c>
      <c r="N123" s="31">
        <f t="shared" si="7"/>
        <v>1.874705053054343E-3</v>
      </c>
      <c r="P123" s="418">
        <v>41630</v>
      </c>
      <c r="Q123" s="417">
        <v>15.040779000000001</v>
      </c>
      <c r="R123" s="30">
        <f t="shared" si="8"/>
        <v>-4.4417206274551587E-3</v>
      </c>
      <c r="S123" s="423">
        <v>1818.3199460000001</v>
      </c>
      <c r="T123" s="30">
        <f t="shared" si="9"/>
        <v>-1.2533983761911777E-2</v>
      </c>
      <c r="U123" s="2"/>
      <c r="W123" s="34"/>
      <c r="X123" s="23"/>
      <c r="Y123" s="34"/>
      <c r="Z123" s="23"/>
      <c r="AC123" s="244"/>
      <c r="AD123" s="244"/>
    </row>
    <row r="124" spans="10:30">
      <c r="J124" s="412">
        <v>40989</v>
      </c>
      <c r="K124" s="413">
        <v>13.478334</v>
      </c>
      <c r="L124" s="30">
        <f t="shared" si="6"/>
        <v>1.3850986623690584E-3</v>
      </c>
      <c r="M124" s="414">
        <v>1402.8900149999999</v>
      </c>
      <c r="N124" s="31">
        <f t="shared" si="7"/>
        <v>7.258853364848137E-3</v>
      </c>
      <c r="P124" s="418">
        <v>41637</v>
      </c>
      <c r="Q124" s="417">
        <v>15.107884</v>
      </c>
      <c r="R124" s="30">
        <f t="shared" si="8"/>
        <v>5.7435266413241159E-3</v>
      </c>
      <c r="S124" s="423">
        <v>1841.400024</v>
      </c>
      <c r="T124" s="30">
        <f t="shared" si="9"/>
        <v>5.4767900683007605E-3</v>
      </c>
      <c r="U124" s="2"/>
      <c r="W124" s="34"/>
      <c r="X124" s="23"/>
      <c r="Y124" s="34"/>
      <c r="Z124" s="23"/>
      <c r="AC124" s="244"/>
      <c r="AD124" s="244"/>
    </row>
    <row r="125" spans="10:30">
      <c r="J125" s="412">
        <v>40990</v>
      </c>
      <c r="K125" s="413">
        <v>13.459690999999999</v>
      </c>
      <c r="L125" s="30">
        <f t="shared" si="6"/>
        <v>-7.5601907179826183E-3</v>
      </c>
      <c r="M125" s="414">
        <v>1392.780029</v>
      </c>
      <c r="N125" s="31">
        <f t="shared" si="7"/>
        <v>-3.0992234301439325E-3</v>
      </c>
      <c r="P125" s="418">
        <v>41644</v>
      </c>
      <c r="Q125" s="417">
        <v>15.021606999999999</v>
      </c>
      <c r="R125" s="30">
        <f t="shared" si="8"/>
        <v>-3.814346244516638E-3</v>
      </c>
      <c r="S125" s="423">
        <v>1831.369995</v>
      </c>
      <c r="T125" s="30">
        <f t="shared" si="9"/>
        <v>-5.9705705313551852E-3</v>
      </c>
      <c r="U125" s="2"/>
      <c r="W125" s="34"/>
      <c r="X125" s="23"/>
      <c r="Y125" s="34"/>
      <c r="Z125" s="23"/>
      <c r="AC125" s="244"/>
      <c r="AD125" s="244"/>
    </row>
    <row r="126" spans="10:30">
      <c r="J126" s="412">
        <v>40991</v>
      </c>
      <c r="K126" s="413">
        <v>13.562224000000001</v>
      </c>
      <c r="L126" s="30">
        <f t="shared" si="6"/>
        <v>-1.1548914875447439E-2</v>
      </c>
      <c r="M126" s="414">
        <v>1397.1099850000001</v>
      </c>
      <c r="N126" s="31">
        <f t="shared" si="7"/>
        <v>-1.3695649775182256E-2</v>
      </c>
      <c r="P126" s="418">
        <v>41651</v>
      </c>
      <c r="Q126" s="417">
        <v>15.079124</v>
      </c>
      <c r="R126" s="30">
        <f t="shared" si="8"/>
        <v>-1.626018063503968E-2</v>
      </c>
      <c r="S126" s="423">
        <v>1842.369995</v>
      </c>
      <c r="T126" s="30">
        <f t="shared" si="9"/>
        <v>1.9959994005568785E-3</v>
      </c>
      <c r="U126" s="2"/>
      <c r="W126" s="34"/>
      <c r="X126" s="23"/>
      <c r="Y126" s="34"/>
      <c r="Z126" s="23"/>
      <c r="AC126" s="244"/>
      <c r="AD126" s="244"/>
    </row>
    <row r="127" spans="10:30">
      <c r="J127" s="412">
        <v>40994</v>
      </c>
      <c r="K127" s="413">
        <v>13.720682999999999</v>
      </c>
      <c r="L127" s="30">
        <f t="shared" si="6"/>
        <v>-6.7476267010591045E-3</v>
      </c>
      <c r="M127" s="414">
        <v>1416.51001</v>
      </c>
      <c r="N127" s="31">
        <f t="shared" si="7"/>
        <v>2.8247316452194669E-3</v>
      </c>
      <c r="P127" s="418">
        <v>41658</v>
      </c>
      <c r="Q127" s="417">
        <v>15.328366000000001</v>
      </c>
      <c r="R127" s="30">
        <f t="shared" si="8"/>
        <v>2.7634929340723736E-2</v>
      </c>
      <c r="S127" s="423">
        <v>1838.6999510000001</v>
      </c>
      <c r="T127" s="30">
        <f t="shared" si="9"/>
        <v>2.7040262161677635E-2</v>
      </c>
      <c r="U127" s="2"/>
      <c r="W127" s="34"/>
      <c r="X127" s="23"/>
      <c r="Y127" s="34"/>
      <c r="Z127" s="23"/>
      <c r="AC127" s="244"/>
      <c r="AD127" s="244"/>
    </row>
    <row r="128" spans="10:30">
      <c r="J128" s="412">
        <v>40995</v>
      </c>
      <c r="K128" s="413">
        <v>13.813893999999999</v>
      </c>
      <c r="L128" s="30">
        <f t="shared" si="6"/>
        <v>-2.2427444367669823E-2</v>
      </c>
      <c r="M128" s="414">
        <v>1412.5200199999999</v>
      </c>
      <c r="N128" s="31">
        <f t="shared" si="7"/>
        <v>4.96604920978701E-3</v>
      </c>
      <c r="P128" s="418">
        <v>41665</v>
      </c>
      <c r="Q128" s="417">
        <v>14.916159</v>
      </c>
      <c r="R128" s="30">
        <f t="shared" si="8"/>
        <v>-8.9171917812497035E-3</v>
      </c>
      <c r="S128" s="423">
        <v>1790.290039</v>
      </c>
      <c r="T128" s="30">
        <f t="shared" si="9"/>
        <v>4.319598531836443E-3</v>
      </c>
      <c r="U128" s="2"/>
      <c r="W128" s="34"/>
      <c r="X128" s="23"/>
      <c r="Y128" s="34"/>
      <c r="Z128" s="23"/>
      <c r="AC128" s="244"/>
      <c r="AD128" s="244"/>
    </row>
    <row r="129" spans="10:30">
      <c r="J129" s="412">
        <v>40996</v>
      </c>
      <c r="K129" s="413">
        <v>14.130812000000001</v>
      </c>
      <c r="L129" s="30">
        <f t="shared" si="6"/>
        <v>-4.5962048624758308E-3</v>
      </c>
      <c r="M129" s="414">
        <v>1405.540039</v>
      </c>
      <c r="N129" s="31">
        <f t="shared" si="7"/>
        <v>1.6105196064184603E-3</v>
      </c>
      <c r="P129" s="418">
        <v>41672</v>
      </c>
      <c r="Q129" s="417">
        <v>15.050366</v>
      </c>
      <c r="R129" s="30">
        <f t="shared" si="8"/>
        <v>-1.0712051771433048E-2</v>
      </c>
      <c r="S129" s="423">
        <v>1782.589966</v>
      </c>
      <c r="T129" s="30">
        <f t="shared" si="9"/>
        <v>-8.0299906731144417E-3</v>
      </c>
      <c r="U129" s="2"/>
      <c r="W129" s="34"/>
      <c r="X129" s="23"/>
      <c r="Y129" s="34"/>
      <c r="Z129" s="23"/>
      <c r="AC129" s="244"/>
      <c r="AD129" s="244"/>
    </row>
    <row r="130" spans="10:30">
      <c r="J130" s="412">
        <v>40997</v>
      </c>
      <c r="K130" s="413">
        <v>14.196059999999999</v>
      </c>
      <c r="L130" s="30">
        <f t="shared" si="6"/>
        <v>-1.1038962712717896E-2</v>
      </c>
      <c r="M130" s="414">
        <v>1403.280029</v>
      </c>
      <c r="N130" s="31">
        <f t="shared" si="7"/>
        <v>-3.6848084139949147E-3</v>
      </c>
      <c r="P130" s="418">
        <v>41679</v>
      </c>
      <c r="Q130" s="417">
        <v>15.213331999999999</v>
      </c>
      <c r="R130" s="30">
        <f t="shared" si="8"/>
        <v>-0.11390284805900158</v>
      </c>
      <c r="S130" s="423">
        <v>1797.0200199999999</v>
      </c>
      <c r="T130" s="30">
        <f t="shared" si="9"/>
        <v>-2.2630972456038023E-2</v>
      </c>
      <c r="U130" s="2"/>
      <c r="W130" s="34"/>
      <c r="X130" s="23"/>
      <c r="Y130" s="34"/>
      <c r="Z130" s="23"/>
      <c r="AC130" s="244"/>
      <c r="AD130" s="244"/>
    </row>
    <row r="131" spans="10:30">
      <c r="J131" s="412">
        <v>40998</v>
      </c>
      <c r="K131" s="413">
        <v>14.354519</v>
      </c>
      <c r="L131" s="30">
        <f t="shared" si="6"/>
        <v>4.5662231474230151E-3</v>
      </c>
      <c r="M131" s="414">
        <v>1408.469971</v>
      </c>
      <c r="N131" s="31">
        <f t="shared" si="7"/>
        <v>-7.4487454261323999E-3</v>
      </c>
      <c r="P131" s="418">
        <v>41686</v>
      </c>
      <c r="Q131" s="417">
        <v>17.168921000000001</v>
      </c>
      <c r="R131" s="30">
        <f t="shared" si="8"/>
        <v>-3.9163030982531793E-2</v>
      </c>
      <c r="S131" s="423">
        <v>1838.630005</v>
      </c>
      <c r="T131" s="30">
        <f t="shared" si="9"/>
        <v>1.2961225323349123E-3</v>
      </c>
      <c r="U131" s="2"/>
      <c r="W131" s="34"/>
      <c r="X131" s="23"/>
      <c r="Y131" s="34"/>
      <c r="Z131" s="23"/>
      <c r="AC131" s="244"/>
      <c r="AD131" s="244"/>
    </row>
    <row r="132" spans="10:30">
      <c r="J132" s="412">
        <v>41001</v>
      </c>
      <c r="K132" s="413">
        <v>14.289270999999999</v>
      </c>
      <c r="L132" s="30">
        <f t="shared" si="6"/>
        <v>1.6578256366228096E-2</v>
      </c>
      <c r="M132" s="414">
        <v>1419.040039</v>
      </c>
      <c r="N132" s="31">
        <f t="shared" si="7"/>
        <v>4.0046087959196763E-3</v>
      </c>
      <c r="P132" s="418">
        <v>41693</v>
      </c>
      <c r="Q132" s="417">
        <v>17.868714000000001</v>
      </c>
      <c r="R132" s="30">
        <f t="shared" si="8"/>
        <v>9.5872491084116086E-3</v>
      </c>
      <c r="S132" s="423">
        <v>1836.25</v>
      </c>
      <c r="T132" s="30">
        <f t="shared" si="9"/>
        <v>-1.2476781635086909E-2</v>
      </c>
      <c r="U132" s="2"/>
      <c r="W132" s="34"/>
      <c r="X132" s="23"/>
      <c r="Y132" s="34"/>
      <c r="Z132" s="23"/>
      <c r="AC132" s="244"/>
      <c r="AD132" s="244"/>
    </row>
    <row r="133" spans="10:30">
      <c r="J133" s="412">
        <v>41002</v>
      </c>
      <c r="K133" s="413">
        <v>14.056243</v>
      </c>
      <c r="L133" s="30">
        <f t="shared" si="6"/>
        <v>2.9351536585982035E-2</v>
      </c>
      <c r="M133" s="414">
        <v>1413.380005</v>
      </c>
      <c r="N133" s="31">
        <f t="shared" si="7"/>
        <v>1.0307688856007196E-2</v>
      </c>
      <c r="P133" s="418">
        <v>41700</v>
      </c>
      <c r="Q133" s="417">
        <v>17.699028999999999</v>
      </c>
      <c r="R133" s="30">
        <f t="shared" si="8"/>
        <v>1.0892675023901986E-3</v>
      </c>
      <c r="S133" s="423">
        <v>1859.4499510000001</v>
      </c>
      <c r="T133" s="30">
        <f t="shared" si="9"/>
        <v>-9.8986643596260006E-3</v>
      </c>
      <c r="U133" s="2"/>
      <c r="W133" s="34"/>
      <c r="X133" s="23"/>
      <c r="Y133" s="34"/>
      <c r="Z133" s="23"/>
      <c r="AC133" s="244"/>
      <c r="AD133" s="244"/>
    </row>
    <row r="134" spans="10:30">
      <c r="J134" s="412">
        <v>41003</v>
      </c>
      <c r="K134" s="413">
        <v>13.655435000000001</v>
      </c>
      <c r="L134" s="30">
        <f t="shared" si="6"/>
        <v>1.3670369565630149E-3</v>
      </c>
      <c r="M134" s="414">
        <v>1398.959961</v>
      </c>
      <c r="N134" s="31">
        <f t="shared" si="7"/>
        <v>6.294382493814845E-4</v>
      </c>
      <c r="P134" s="418">
        <v>41707</v>
      </c>
      <c r="Q134" s="417">
        <v>17.679770999999999</v>
      </c>
      <c r="R134" s="30">
        <f t="shared" si="8"/>
        <v>3.0303074451375478E-2</v>
      </c>
      <c r="S134" s="423">
        <v>1878.040039</v>
      </c>
      <c r="T134" s="30">
        <f t="shared" si="9"/>
        <v>2.0047489259184603E-2</v>
      </c>
      <c r="U134" s="2"/>
      <c r="W134" s="34"/>
      <c r="X134" s="23"/>
      <c r="Y134" s="34"/>
      <c r="Z134" s="23"/>
      <c r="AC134" s="244"/>
      <c r="AD134" s="244"/>
    </row>
    <row r="135" spans="10:30">
      <c r="J135" s="412">
        <v>41004</v>
      </c>
      <c r="K135" s="413">
        <v>13.636793000000001</v>
      </c>
      <c r="L135" s="30">
        <f t="shared" si="6"/>
        <v>1.3157954369086291E-2</v>
      </c>
      <c r="M135" s="414">
        <v>1398.079956</v>
      </c>
      <c r="N135" s="31">
        <f t="shared" si="7"/>
        <v>1.1488934714916643E-2</v>
      </c>
      <c r="P135" s="418">
        <v>41714</v>
      </c>
      <c r="Q135" s="417">
        <v>17.159776999999998</v>
      </c>
      <c r="R135" s="30">
        <f t="shared" si="8"/>
        <v>-3.8835041729160615E-2</v>
      </c>
      <c r="S135" s="423">
        <v>1841.130005</v>
      </c>
      <c r="T135" s="30">
        <f t="shared" si="9"/>
        <v>-1.3602862400586493E-2</v>
      </c>
      <c r="U135" s="2"/>
      <c r="W135" s="34"/>
      <c r="X135" s="23"/>
      <c r="Y135" s="34"/>
      <c r="Z135" s="23"/>
      <c r="AC135" s="244"/>
      <c r="AD135" s="244"/>
    </row>
    <row r="136" spans="10:30">
      <c r="J136" s="412">
        <v>41008</v>
      </c>
      <c r="K136" s="413">
        <v>13.459690999999999</v>
      </c>
      <c r="L136" s="30">
        <f t="shared" si="6"/>
        <v>1.97739928932394E-2</v>
      </c>
      <c r="M136" s="414">
        <v>1382.1999510000001</v>
      </c>
      <c r="N136" s="31">
        <f t="shared" si="7"/>
        <v>1.7378300731539519E-2</v>
      </c>
      <c r="P136" s="418">
        <v>41721</v>
      </c>
      <c r="Q136" s="417">
        <v>17.853103000000001</v>
      </c>
      <c r="R136" s="30">
        <f t="shared" si="8"/>
        <v>3.5754289380525231E-2</v>
      </c>
      <c r="S136" s="423">
        <v>1866.5200199999999</v>
      </c>
      <c r="T136" s="30">
        <f t="shared" si="9"/>
        <v>4.7910902251027468E-3</v>
      </c>
      <c r="U136" s="2"/>
      <c r="W136" s="34"/>
      <c r="X136" s="23"/>
      <c r="Y136" s="34"/>
      <c r="Z136" s="23"/>
      <c r="AC136" s="244"/>
      <c r="AD136" s="244"/>
    </row>
    <row r="137" spans="10:30">
      <c r="J137" s="412">
        <v>41009</v>
      </c>
      <c r="K137" s="413">
        <v>13.198700000000001</v>
      </c>
      <c r="L137" s="30">
        <f t="shared" si="6"/>
        <v>-1.2552368869562583E-2</v>
      </c>
      <c r="M137" s="414">
        <v>1358.589966</v>
      </c>
      <c r="N137" s="31">
        <f t="shared" si="7"/>
        <v>-7.3938199387445077E-3</v>
      </c>
      <c r="P137" s="418">
        <v>41728</v>
      </c>
      <c r="Q137" s="417">
        <v>17.236813000000001</v>
      </c>
      <c r="R137" s="30">
        <f t="shared" si="8"/>
        <v>-1.3774126592449755E-2</v>
      </c>
      <c r="S137" s="423">
        <v>1857.619995</v>
      </c>
      <c r="T137" s="30">
        <f t="shared" si="9"/>
        <v>-4.0051531755439119E-3</v>
      </c>
      <c r="U137" s="2"/>
      <c r="W137" s="34"/>
      <c r="X137" s="23"/>
      <c r="Y137" s="34"/>
      <c r="Z137" s="23"/>
      <c r="AC137" s="244"/>
      <c r="AD137" s="244"/>
    </row>
    <row r="138" spans="10:30">
      <c r="J138" s="412">
        <v>41010</v>
      </c>
      <c r="K138" s="413">
        <v>13.366481</v>
      </c>
      <c r="L138" s="30">
        <f t="shared" ref="L138:L201" si="10">(K138-K139)/K139</f>
        <v>-2.3160765830185861E-2</v>
      </c>
      <c r="M138" s="414">
        <v>1368.709961</v>
      </c>
      <c r="N138" s="31">
        <f t="shared" ref="N138:N201" si="11">(M138-M139)/M139</f>
        <v>-1.3592096783566434E-2</v>
      </c>
      <c r="P138" s="418">
        <v>41735</v>
      </c>
      <c r="Q138" s="417">
        <v>17.477550999999998</v>
      </c>
      <c r="R138" s="30">
        <f t="shared" si="8"/>
        <v>1.655599629610502E-3</v>
      </c>
      <c r="S138" s="423">
        <v>1865.089966</v>
      </c>
      <c r="T138" s="30">
        <f t="shared" si="9"/>
        <v>2.7207302240597649E-2</v>
      </c>
      <c r="U138" s="2"/>
      <c r="W138" s="34"/>
      <c r="X138" s="23"/>
      <c r="Y138" s="34"/>
      <c r="Z138" s="23"/>
      <c r="AC138" s="244"/>
      <c r="AD138" s="244"/>
    </row>
    <row r="139" spans="10:30">
      <c r="J139" s="412">
        <v>41011</v>
      </c>
      <c r="K139" s="413">
        <v>13.683399</v>
      </c>
      <c r="L139" s="30">
        <f t="shared" si="10"/>
        <v>3.6723237894641068E-2</v>
      </c>
      <c r="M139" s="414">
        <v>1387.5699460000001</v>
      </c>
      <c r="N139" s="31">
        <f t="shared" si="11"/>
        <v>1.263259226254447E-2</v>
      </c>
      <c r="P139" s="418">
        <v>41742</v>
      </c>
      <c r="Q139" s="417">
        <v>17.448663</v>
      </c>
      <c r="R139" s="30">
        <f t="shared" ref="R139:R202" si="12">(Q139-Q140)/Q140</f>
        <v>-2.370682998775767E-2</v>
      </c>
      <c r="S139" s="423">
        <v>1815.6899410000001</v>
      </c>
      <c r="T139" s="30">
        <f t="shared" ref="T139:T202" si="13">(S139-S140)/S140</f>
        <v>-2.6361388654676358E-2</v>
      </c>
      <c r="U139" s="2"/>
      <c r="W139" s="34"/>
      <c r="X139" s="23"/>
      <c r="Y139" s="34"/>
      <c r="Z139" s="23"/>
      <c r="AC139" s="244"/>
      <c r="AD139" s="244"/>
    </row>
    <row r="140" spans="10:30">
      <c r="J140" s="412">
        <v>41012</v>
      </c>
      <c r="K140" s="413">
        <v>13.198700000000001</v>
      </c>
      <c r="L140" s="30">
        <f t="shared" si="10"/>
        <v>1.2151539223853345E-2</v>
      </c>
      <c r="M140" s="414">
        <v>1370.26001</v>
      </c>
      <c r="N140" s="31">
        <f t="shared" si="11"/>
        <v>5.038545143424847E-4</v>
      </c>
      <c r="P140" s="418">
        <v>41749</v>
      </c>
      <c r="Q140" s="417">
        <v>17.87236</v>
      </c>
      <c r="R140" s="30">
        <f t="shared" si="12"/>
        <v>-9.0763715493992359E-3</v>
      </c>
      <c r="S140" s="423">
        <v>1864.849976</v>
      </c>
      <c r="T140" s="30">
        <f t="shared" si="13"/>
        <v>7.7812170297575313E-4</v>
      </c>
      <c r="U140" s="2"/>
      <c r="W140" s="34"/>
      <c r="X140" s="23"/>
      <c r="Y140" s="34"/>
      <c r="Z140" s="23"/>
      <c r="AC140" s="244"/>
      <c r="AD140" s="244"/>
    </row>
    <row r="141" spans="10:30">
      <c r="J141" s="412">
        <v>41015</v>
      </c>
      <c r="K141" s="413">
        <v>13.040241</v>
      </c>
      <c r="L141" s="30">
        <f t="shared" si="10"/>
        <v>-2.1398501171355027E-3</v>
      </c>
      <c r="M141" s="414">
        <v>1369.5699460000001</v>
      </c>
      <c r="N141" s="31">
        <f t="shared" si="11"/>
        <v>-1.525049436843757E-2</v>
      </c>
      <c r="P141" s="418">
        <v>41756</v>
      </c>
      <c r="Q141" s="417">
        <v>18.036062000000001</v>
      </c>
      <c r="R141" s="30">
        <f t="shared" si="12"/>
        <v>1.6277800125620006E-2</v>
      </c>
      <c r="S141" s="423">
        <v>1863.400024</v>
      </c>
      <c r="T141" s="30">
        <f t="shared" si="13"/>
        <v>-9.4304468878144178E-3</v>
      </c>
      <c r="U141" s="2"/>
      <c r="W141" s="34"/>
      <c r="X141" s="23"/>
      <c r="Y141" s="34"/>
      <c r="Z141" s="23"/>
      <c r="AC141" s="244"/>
      <c r="AD141" s="244"/>
    </row>
    <row r="142" spans="10:30">
      <c r="J142" s="412">
        <v>41016</v>
      </c>
      <c r="K142" s="413">
        <v>13.068205000000001</v>
      </c>
      <c r="L142" s="30">
        <f t="shared" si="10"/>
        <v>1.0814728023323615E-2</v>
      </c>
      <c r="M142" s="414">
        <v>1390.780029</v>
      </c>
      <c r="N142" s="31">
        <f t="shared" si="11"/>
        <v>4.0718006403129324E-3</v>
      </c>
      <c r="P142" s="418">
        <v>41763</v>
      </c>
      <c r="Q142" s="417">
        <v>17.747177000000001</v>
      </c>
      <c r="R142" s="30">
        <f t="shared" si="12"/>
        <v>2.1052680027995745E-2</v>
      </c>
      <c r="S142" s="423">
        <v>1881.1400149999999</v>
      </c>
      <c r="T142" s="30">
        <f t="shared" si="13"/>
        <v>1.4160571463742082E-3</v>
      </c>
      <c r="U142" s="2"/>
      <c r="W142" s="34"/>
      <c r="X142" s="23"/>
      <c r="Y142" s="34"/>
      <c r="Z142" s="23"/>
      <c r="AC142" s="244"/>
      <c r="AD142" s="244"/>
    </row>
    <row r="143" spans="10:30">
      <c r="J143" s="412">
        <v>41017</v>
      </c>
      <c r="K143" s="413">
        <v>12.928388</v>
      </c>
      <c r="L143" s="30">
        <f t="shared" si="10"/>
        <v>1.5373317955538713E-2</v>
      </c>
      <c r="M143" s="414">
        <v>1385.1400149999999</v>
      </c>
      <c r="N143" s="31">
        <f t="shared" si="11"/>
        <v>5.9698244904044604E-3</v>
      </c>
      <c r="P143" s="418">
        <v>41770</v>
      </c>
      <c r="Q143" s="417">
        <v>17.381254999999999</v>
      </c>
      <c r="R143" s="30">
        <f t="shared" si="12"/>
        <v>5.0111046286728965E-3</v>
      </c>
      <c r="S143" s="423">
        <v>1878.4799800000001</v>
      </c>
      <c r="T143" s="30">
        <f t="shared" si="13"/>
        <v>3.3016039798090547E-4</v>
      </c>
      <c r="U143" s="2"/>
      <c r="W143" s="34"/>
      <c r="X143" s="23"/>
      <c r="Y143" s="34"/>
      <c r="Z143" s="23"/>
      <c r="AC143" s="244"/>
      <c r="AD143" s="244"/>
    </row>
    <row r="144" spans="10:30">
      <c r="J144" s="412">
        <v>41018</v>
      </c>
      <c r="K144" s="413">
        <v>12.732645</v>
      </c>
      <c r="L144" s="30">
        <f t="shared" si="10"/>
        <v>2.0164290049455184E-2</v>
      </c>
      <c r="M144" s="414">
        <v>1376.920044</v>
      </c>
      <c r="N144" s="31">
        <f t="shared" si="11"/>
        <v>-1.1678998397792984E-3</v>
      </c>
      <c r="P144" s="418">
        <v>41777</v>
      </c>
      <c r="Q144" s="417">
        <v>17.294589999999999</v>
      </c>
      <c r="R144" s="30">
        <f t="shared" si="12"/>
        <v>-3.3117421853685533E-2</v>
      </c>
      <c r="S144" s="423">
        <v>1877.8599850000001</v>
      </c>
      <c r="T144" s="30">
        <f t="shared" si="13"/>
        <v>-1.1928274562401014E-2</v>
      </c>
      <c r="U144" s="2"/>
      <c r="W144" s="34"/>
      <c r="X144" s="23"/>
      <c r="Y144" s="34"/>
      <c r="Z144" s="23"/>
      <c r="AC144" s="244"/>
      <c r="AD144" s="244"/>
    </row>
    <row r="145" spans="10:30">
      <c r="J145" s="412">
        <v>41019</v>
      </c>
      <c r="K145" s="413">
        <v>12.480975000000001</v>
      </c>
      <c r="L145" s="30">
        <f t="shared" si="10"/>
        <v>1.2093819606423707E-2</v>
      </c>
      <c r="M145" s="414">
        <v>1378.530029</v>
      </c>
      <c r="N145" s="31">
        <f t="shared" si="11"/>
        <v>8.4788567898023866E-3</v>
      </c>
      <c r="P145" s="418">
        <v>41784</v>
      </c>
      <c r="Q145" s="417">
        <v>17.886959999999998</v>
      </c>
      <c r="R145" s="30">
        <f t="shared" si="12"/>
        <v>-2.6842123102597835E-2</v>
      </c>
      <c r="S145" s="423">
        <v>1900.530029</v>
      </c>
      <c r="T145" s="30">
        <f t="shared" si="13"/>
        <v>-1.1977686097618026E-2</v>
      </c>
      <c r="U145" s="2"/>
      <c r="W145" s="34"/>
      <c r="X145" s="23"/>
      <c r="Y145" s="34"/>
      <c r="Z145" s="23"/>
      <c r="AC145" s="244"/>
      <c r="AD145" s="244"/>
    </row>
    <row r="146" spans="10:30">
      <c r="J146" s="412">
        <v>41022</v>
      </c>
      <c r="K146" s="413">
        <v>12.331835999999999</v>
      </c>
      <c r="L146" s="30">
        <f t="shared" si="10"/>
        <v>3.1981215215046405E-2</v>
      </c>
      <c r="M146" s="414">
        <v>1366.9399410000001</v>
      </c>
      <c r="N146" s="31">
        <f t="shared" si="11"/>
        <v>-3.6662828679359608E-3</v>
      </c>
      <c r="P146" s="418">
        <v>41791</v>
      </c>
      <c r="Q146" s="417">
        <v>18.380327000000001</v>
      </c>
      <c r="R146" s="30">
        <f t="shared" si="12"/>
        <v>-1.5765358364091449E-3</v>
      </c>
      <c r="S146" s="423">
        <v>1923.5699460000001</v>
      </c>
      <c r="T146" s="30">
        <f t="shared" si="13"/>
        <v>-1.3270475512433351E-2</v>
      </c>
      <c r="U146" s="2"/>
      <c r="W146" s="34"/>
      <c r="X146" s="23"/>
      <c r="Y146" s="34"/>
      <c r="Z146" s="23"/>
      <c r="AC146" s="244"/>
      <c r="AD146" s="244"/>
    </row>
    <row r="147" spans="10:30">
      <c r="J147" s="412">
        <v>41023</v>
      </c>
      <c r="K147" s="413">
        <v>11.949671</v>
      </c>
      <c r="L147" s="30">
        <f t="shared" si="10"/>
        <v>-1.9877674085180229E-2</v>
      </c>
      <c r="M147" s="414">
        <v>1371.969971</v>
      </c>
      <c r="N147" s="31">
        <f t="shared" si="11"/>
        <v>-1.3460922847071993E-2</v>
      </c>
      <c r="P147" s="418">
        <v>41798</v>
      </c>
      <c r="Q147" s="417">
        <v>18.40935</v>
      </c>
      <c r="R147" s="30">
        <f t="shared" si="12"/>
        <v>-2.61002704584887E-2</v>
      </c>
      <c r="S147" s="423">
        <v>1949.4399410000001</v>
      </c>
      <c r="T147" s="30">
        <f t="shared" si="13"/>
        <v>6.8588891242448271E-3</v>
      </c>
      <c r="U147" s="2"/>
      <c r="W147" s="34"/>
      <c r="X147" s="23"/>
      <c r="Y147" s="34"/>
      <c r="Z147" s="23"/>
      <c r="AC147" s="244"/>
      <c r="AD147" s="244"/>
    </row>
    <row r="148" spans="10:30">
      <c r="J148" s="412">
        <v>41024</v>
      </c>
      <c r="K148" s="413">
        <v>12.192019999999999</v>
      </c>
      <c r="L148" s="30">
        <f t="shared" si="10"/>
        <v>-7.6393242349344327E-4</v>
      </c>
      <c r="M148" s="414">
        <v>1390.6899410000001</v>
      </c>
      <c r="N148" s="31">
        <f t="shared" si="11"/>
        <v>-6.6358370353267323E-3</v>
      </c>
      <c r="P148" s="418">
        <v>41805</v>
      </c>
      <c r="Q148" s="417">
        <v>18.902716000000002</v>
      </c>
      <c r="R148" s="30">
        <f t="shared" si="12"/>
        <v>3.2223968499085202E-2</v>
      </c>
      <c r="S148" s="423">
        <v>1936.160034</v>
      </c>
      <c r="T148" s="30">
        <f t="shared" si="13"/>
        <v>-1.3607605734479639E-2</v>
      </c>
      <c r="U148" s="2"/>
      <c r="W148" s="34"/>
      <c r="X148" s="23"/>
      <c r="Y148" s="34"/>
      <c r="Z148" s="23"/>
      <c r="AC148" s="244"/>
      <c r="AD148" s="244"/>
    </row>
    <row r="149" spans="10:30">
      <c r="J149" s="412">
        <v>41025</v>
      </c>
      <c r="K149" s="413">
        <v>12.201340999999999</v>
      </c>
      <c r="L149" s="30">
        <f t="shared" si="10"/>
        <v>8.4746365096461836E-3</v>
      </c>
      <c r="M149" s="414">
        <v>1399.9799800000001</v>
      </c>
      <c r="N149" s="31">
        <f t="shared" si="11"/>
        <v>-2.4085088901832858E-3</v>
      </c>
      <c r="P149" s="418">
        <v>41812</v>
      </c>
      <c r="Q149" s="417">
        <v>18.312611</v>
      </c>
      <c r="R149" s="30">
        <f t="shared" si="12"/>
        <v>2.992393878546042E-2</v>
      </c>
      <c r="S149" s="423">
        <v>1962.869995</v>
      </c>
      <c r="T149" s="30">
        <f t="shared" si="13"/>
        <v>9.7403008627772593E-4</v>
      </c>
      <c r="U149" s="2"/>
      <c r="W149" s="34"/>
      <c r="X149" s="23"/>
      <c r="Y149" s="34"/>
      <c r="Z149" s="23"/>
      <c r="AC149" s="244"/>
      <c r="AD149" s="244"/>
    </row>
    <row r="150" spans="10:30">
      <c r="J150" s="412">
        <v>41026</v>
      </c>
      <c r="K150" s="413">
        <v>12.098808</v>
      </c>
      <c r="L150" s="30">
        <f t="shared" si="10"/>
        <v>-1.5385248927353493E-3</v>
      </c>
      <c r="M150" s="414">
        <v>1403.3599850000001</v>
      </c>
      <c r="N150" s="31">
        <f t="shared" si="11"/>
        <v>3.8986421639778113E-3</v>
      </c>
      <c r="P150" s="418">
        <v>41819</v>
      </c>
      <c r="Q150" s="417">
        <v>17.780546999999999</v>
      </c>
      <c r="R150" s="30">
        <f t="shared" si="12"/>
        <v>-2.4933781988920517E-2</v>
      </c>
      <c r="S150" s="423">
        <v>1960.959961</v>
      </c>
      <c r="T150" s="30">
        <f t="shared" si="13"/>
        <v>-1.2329750950648408E-2</v>
      </c>
      <c r="U150" s="2"/>
      <c r="W150" s="34"/>
      <c r="X150" s="23"/>
      <c r="Y150" s="34"/>
      <c r="Z150" s="23"/>
      <c r="AC150" s="244"/>
      <c r="AD150" s="244"/>
    </row>
    <row r="151" spans="10:30">
      <c r="J151" s="412">
        <v>41029</v>
      </c>
      <c r="K151" s="413">
        <v>12.117451000000001</v>
      </c>
      <c r="L151" s="30">
        <f t="shared" si="10"/>
        <v>-1.7384678161467465E-2</v>
      </c>
      <c r="M151" s="414">
        <v>1397.910034</v>
      </c>
      <c r="N151" s="31">
        <f t="shared" si="11"/>
        <v>-5.6265470002088563E-3</v>
      </c>
      <c r="P151" s="418">
        <v>41826</v>
      </c>
      <c r="Q151" s="417">
        <v>18.235220000000002</v>
      </c>
      <c r="R151" s="30">
        <f t="shared" si="12"/>
        <v>-1.0498626706957285E-2</v>
      </c>
      <c r="S151" s="423">
        <v>1985.4399410000001</v>
      </c>
      <c r="T151" s="30">
        <f t="shared" si="13"/>
        <v>9.0822666997577815E-3</v>
      </c>
      <c r="U151" s="2"/>
      <c r="W151" s="34"/>
      <c r="X151" s="23"/>
      <c r="Y151" s="34"/>
      <c r="Z151" s="23"/>
      <c r="AC151" s="244"/>
      <c r="AD151" s="244"/>
    </row>
    <row r="152" spans="10:30">
      <c r="J152" s="412">
        <v>41030</v>
      </c>
      <c r="K152" s="413">
        <v>12.331835999999999</v>
      </c>
      <c r="L152" s="30">
        <f t="shared" si="10"/>
        <v>2.9571864562578487E-2</v>
      </c>
      <c r="M152" s="414">
        <v>1405.8199460000001</v>
      </c>
      <c r="N152" s="31">
        <f t="shared" si="11"/>
        <v>2.5029321992477861E-3</v>
      </c>
      <c r="P152" s="418">
        <v>41833</v>
      </c>
      <c r="Q152" s="417">
        <v>18.428695999999999</v>
      </c>
      <c r="R152" s="30">
        <f t="shared" si="12"/>
        <v>3.3080189288481977E-2</v>
      </c>
      <c r="S152" s="423">
        <v>1967.5699460000001</v>
      </c>
      <c r="T152" s="30">
        <f t="shared" si="13"/>
        <v>-5.3836404222611673E-3</v>
      </c>
      <c r="U152" s="2"/>
      <c r="W152" s="34"/>
      <c r="X152" s="23"/>
      <c r="Y152" s="34"/>
      <c r="Z152" s="23"/>
      <c r="AC152" s="244"/>
      <c r="AD152" s="244"/>
    </row>
    <row r="153" spans="10:30">
      <c r="J153" s="412">
        <v>41031</v>
      </c>
      <c r="K153" s="413">
        <v>11.977634999999999</v>
      </c>
      <c r="L153" s="30">
        <f t="shared" si="10"/>
        <v>1.7418881348762367E-2</v>
      </c>
      <c r="M153" s="414">
        <v>1402.3100589999999</v>
      </c>
      <c r="N153" s="31">
        <f t="shared" si="11"/>
        <v>7.7179828659506254E-3</v>
      </c>
      <c r="P153" s="418">
        <v>41840</v>
      </c>
      <c r="Q153" s="417">
        <v>17.838591999999998</v>
      </c>
      <c r="R153" s="30">
        <f t="shared" si="12"/>
        <v>3.6537338742966691E-2</v>
      </c>
      <c r="S153" s="423">
        <v>1978.219971</v>
      </c>
      <c r="T153" s="30">
        <f t="shared" si="13"/>
        <v>-6.0654388053755354E-5</v>
      </c>
      <c r="U153" s="2"/>
      <c r="W153" s="34"/>
      <c r="X153" s="23"/>
      <c r="Y153" s="34"/>
      <c r="Z153" s="23"/>
      <c r="AC153" s="244"/>
      <c r="AD153" s="244"/>
    </row>
    <row r="154" spans="10:30">
      <c r="J154" s="412">
        <v>41032</v>
      </c>
      <c r="K154" s="413">
        <v>11.77257</v>
      </c>
      <c r="L154" s="30">
        <f t="shared" si="10"/>
        <v>3.0179417728291264E-2</v>
      </c>
      <c r="M154" s="414">
        <v>1391.5699460000001</v>
      </c>
      <c r="N154" s="31">
        <f t="shared" si="11"/>
        <v>1.6412219994078873E-2</v>
      </c>
      <c r="P154" s="418">
        <v>41847</v>
      </c>
      <c r="Q154" s="417">
        <v>17.209792</v>
      </c>
      <c r="R154" s="30">
        <f t="shared" si="12"/>
        <v>5.6529363872127002E-3</v>
      </c>
      <c r="S154" s="423">
        <v>1978.339966</v>
      </c>
      <c r="T154" s="30">
        <f t="shared" si="13"/>
        <v>2.7628985448876358E-2</v>
      </c>
      <c r="U154" s="2"/>
      <c r="W154" s="34"/>
      <c r="X154" s="23"/>
      <c r="Y154" s="34"/>
      <c r="Z154" s="23"/>
      <c r="AC154" s="244"/>
      <c r="AD154" s="244"/>
    </row>
    <row r="155" spans="10:30">
      <c r="J155" s="412">
        <v>41033</v>
      </c>
      <c r="K155" s="413">
        <v>11.427689000000001</v>
      </c>
      <c r="L155" s="30">
        <f t="shared" si="10"/>
        <v>-1.6840378986171939E-2</v>
      </c>
      <c r="M155" s="414">
        <v>1369.099976</v>
      </c>
      <c r="N155" s="31">
        <f t="shared" si="11"/>
        <v>-3.5045781584150805E-4</v>
      </c>
      <c r="P155" s="418">
        <v>41854</v>
      </c>
      <c r="Q155" s="417">
        <v>17.113053000000001</v>
      </c>
      <c r="R155" s="30">
        <f t="shared" si="12"/>
        <v>-6.8947304365150869E-2</v>
      </c>
      <c r="S155" s="423">
        <v>1925.150024</v>
      </c>
      <c r="T155" s="30">
        <f t="shared" si="13"/>
        <v>-3.3340108994954127E-3</v>
      </c>
      <c r="U155" s="2"/>
      <c r="W155" s="34"/>
      <c r="X155" s="23"/>
      <c r="Y155" s="34"/>
      <c r="Z155" s="23"/>
      <c r="AC155" s="244"/>
      <c r="AD155" s="244"/>
    </row>
    <row r="156" spans="10:30">
      <c r="J156" s="412">
        <v>41036</v>
      </c>
      <c r="K156" s="413">
        <v>11.623431999999999</v>
      </c>
      <c r="L156" s="30">
        <f t="shared" si="10"/>
        <v>8.0255819838469884E-4</v>
      </c>
      <c r="M156" s="414">
        <v>1369.579956</v>
      </c>
      <c r="N156" s="31">
        <f t="shared" si="11"/>
        <v>4.2970588717733543E-3</v>
      </c>
      <c r="P156" s="418">
        <v>41861</v>
      </c>
      <c r="Q156" s="417">
        <v>18.380327000000001</v>
      </c>
      <c r="R156" s="30">
        <f t="shared" si="12"/>
        <v>-2.100925651652286E-3</v>
      </c>
      <c r="S156" s="423">
        <v>1931.589966</v>
      </c>
      <c r="T156" s="30">
        <f t="shared" si="13"/>
        <v>-1.2004793863982215E-2</v>
      </c>
      <c r="U156" s="2"/>
      <c r="W156" s="34"/>
      <c r="X156" s="23"/>
      <c r="Y156" s="34"/>
      <c r="Z156" s="23"/>
      <c r="AC156" s="244"/>
      <c r="AD156" s="244"/>
    </row>
    <row r="157" spans="10:30">
      <c r="J157" s="412">
        <v>41037</v>
      </c>
      <c r="K157" s="413">
        <v>11.614110999999999</v>
      </c>
      <c r="L157" s="30">
        <f t="shared" si="10"/>
        <v>-3.9968382733240665E-3</v>
      </c>
      <c r="M157" s="414">
        <v>1363.719971</v>
      </c>
      <c r="N157" s="31">
        <f t="shared" si="11"/>
        <v>6.7474902160739991E-3</v>
      </c>
      <c r="P157" s="418">
        <v>41868</v>
      </c>
      <c r="Q157" s="417">
        <v>18.419024</v>
      </c>
      <c r="R157" s="30">
        <f t="shared" si="12"/>
        <v>-6.4913212526273344E-3</v>
      </c>
      <c r="S157" s="423">
        <v>1955.0600589999999</v>
      </c>
      <c r="T157" s="30">
        <f t="shared" si="13"/>
        <v>-1.6767232245819025E-2</v>
      </c>
      <c r="U157" s="2"/>
      <c r="W157" s="34"/>
      <c r="X157" s="23"/>
      <c r="Y157" s="34"/>
      <c r="Z157" s="23"/>
      <c r="AC157" s="244"/>
      <c r="AD157" s="244"/>
    </row>
    <row r="158" spans="10:30">
      <c r="J158" s="412">
        <v>41038</v>
      </c>
      <c r="K158" s="413">
        <v>11.660717</v>
      </c>
      <c r="L158" s="30">
        <f t="shared" si="10"/>
        <v>7.2464594354272483E-3</v>
      </c>
      <c r="M158" s="414">
        <v>1354.579956</v>
      </c>
      <c r="N158" s="31">
        <f t="shared" si="11"/>
        <v>-2.5110892017694447E-3</v>
      </c>
      <c r="P158" s="418">
        <v>41875</v>
      </c>
      <c r="Q158" s="417">
        <v>18.539369000000001</v>
      </c>
      <c r="R158" s="30">
        <f t="shared" si="12"/>
        <v>-1.9023132846196972E-2</v>
      </c>
      <c r="S158" s="423">
        <v>1988.400024</v>
      </c>
      <c r="T158" s="30">
        <f t="shared" si="13"/>
        <v>-7.4723945338913723E-3</v>
      </c>
      <c r="U158" s="2"/>
      <c r="W158" s="34"/>
      <c r="X158" s="23"/>
      <c r="Y158" s="34"/>
      <c r="Z158" s="23"/>
      <c r="AC158" s="244"/>
      <c r="AD158" s="244"/>
    </row>
    <row r="159" spans="10:30">
      <c r="J159" s="412">
        <v>41039</v>
      </c>
      <c r="K159" s="413">
        <v>11.576826000000001</v>
      </c>
      <c r="L159" s="30">
        <f t="shared" si="10"/>
        <v>-5.9803243593559575E-2</v>
      </c>
      <c r="M159" s="414">
        <v>1357.98999</v>
      </c>
      <c r="N159" s="31">
        <f t="shared" si="11"/>
        <v>3.3988539512020016E-3</v>
      </c>
      <c r="P159" s="418">
        <v>41882</v>
      </c>
      <c r="Q159" s="417">
        <v>18.898885</v>
      </c>
      <c r="R159" s="30">
        <f t="shared" si="12"/>
        <v>-2.6039017426684567E-2</v>
      </c>
      <c r="S159" s="423">
        <v>2003.369995</v>
      </c>
      <c r="T159" s="30">
        <f t="shared" si="13"/>
        <v>-2.1616498818576137E-3</v>
      </c>
      <c r="U159" s="2"/>
      <c r="W159" s="34"/>
      <c r="X159" s="23"/>
      <c r="Y159" s="34"/>
      <c r="Z159" s="23"/>
      <c r="AC159" s="244"/>
      <c r="AD159" s="244"/>
    </row>
    <row r="160" spans="10:30">
      <c r="J160" s="412">
        <v>41040</v>
      </c>
      <c r="K160" s="413">
        <v>12.313195</v>
      </c>
      <c r="L160" s="30">
        <f t="shared" si="10"/>
        <v>6.0929225225119493E-3</v>
      </c>
      <c r="M160" s="414">
        <v>1353.3900149999999</v>
      </c>
      <c r="N160" s="31">
        <f t="shared" si="11"/>
        <v>1.1237747427583156E-2</v>
      </c>
      <c r="P160" s="418">
        <v>41889</v>
      </c>
      <c r="Q160" s="417">
        <v>19.404150000000001</v>
      </c>
      <c r="R160" s="30">
        <f t="shared" si="12"/>
        <v>4.4455996791083981E-2</v>
      </c>
      <c r="S160" s="423">
        <v>2007.709961</v>
      </c>
      <c r="T160" s="30">
        <f t="shared" si="13"/>
        <v>1.1165688711654352E-2</v>
      </c>
      <c r="U160" s="2"/>
      <c r="W160" s="34"/>
      <c r="X160" s="23"/>
      <c r="Y160" s="34"/>
      <c r="Z160" s="23"/>
      <c r="AC160" s="244"/>
      <c r="AD160" s="244"/>
    </row>
    <row r="161" spans="10:30">
      <c r="J161" s="412">
        <v>41043</v>
      </c>
      <c r="K161" s="413">
        <v>12.238626</v>
      </c>
      <c r="L161" s="30">
        <f t="shared" si="10"/>
        <v>1.0000040437547396E-2</v>
      </c>
      <c r="M161" s="414">
        <v>1338.349976</v>
      </c>
      <c r="N161" s="31">
        <f t="shared" si="11"/>
        <v>5.779043334520088E-3</v>
      </c>
      <c r="P161" s="418">
        <v>41896</v>
      </c>
      <c r="Q161" s="417">
        <v>18.578236</v>
      </c>
      <c r="R161" s="30">
        <f t="shared" si="12"/>
        <v>2.0964575439433651E-3</v>
      </c>
      <c r="S161" s="423">
        <v>1985.540039</v>
      </c>
      <c r="T161" s="30">
        <f t="shared" si="13"/>
        <v>-1.2365690759661497E-2</v>
      </c>
      <c r="U161" s="2"/>
      <c r="W161" s="34"/>
      <c r="X161" s="23"/>
      <c r="Y161" s="34"/>
      <c r="Z161" s="23"/>
      <c r="AC161" s="244"/>
      <c r="AD161" s="244"/>
    </row>
    <row r="162" spans="10:30">
      <c r="J162" s="412">
        <v>41044</v>
      </c>
      <c r="K162" s="413">
        <v>12.117451000000001</v>
      </c>
      <c r="L162" s="30">
        <f t="shared" si="10"/>
        <v>2.0408161546738784E-2</v>
      </c>
      <c r="M162" s="414">
        <v>1330.660034</v>
      </c>
      <c r="N162" s="31">
        <f t="shared" si="11"/>
        <v>4.4232976926769814E-3</v>
      </c>
      <c r="P162" s="418">
        <v>41903</v>
      </c>
      <c r="Q162" s="417">
        <v>18.539369000000001</v>
      </c>
      <c r="R162" s="30">
        <f t="shared" si="12"/>
        <v>2.8571515754906584E-2</v>
      </c>
      <c r="S162" s="423">
        <v>2010.400024</v>
      </c>
      <c r="T162" s="30">
        <f t="shared" si="13"/>
        <v>1.3894166645717054E-2</v>
      </c>
      <c r="U162" s="2"/>
      <c r="W162" s="34"/>
      <c r="X162" s="23"/>
      <c r="Y162" s="34"/>
      <c r="Z162" s="23"/>
      <c r="AC162" s="244"/>
      <c r="AD162" s="244"/>
    </row>
    <row r="163" spans="10:30">
      <c r="J163" s="412">
        <v>41045</v>
      </c>
      <c r="K163" s="413">
        <v>11.875102</v>
      </c>
      <c r="L163" s="30">
        <f t="shared" si="10"/>
        <v>7.1146206174564786E-3</v>
      </c>
      <c r="M163" s="414">
        <v>1324.8000489999999</v>
      </c>
      <c r="N163" s="31">
        <f t="shared" si="11"/>
        <v>1.5281382086369897E-2</v>
      </c>
      <c r="P163" s="418">
        <v>41910</v>
      </c>
      <c r="Q163" s="417">
        <v>18.024384999999999</v>
      </c>
      <c r="R163" s="30">
        <f t="shared" si="12"/>
        <v>1.7553438056374302E-2</v>
      </c>
      <c r="S163" s="423">
        <v>1982.849976</v>
      </c>
      <c r="T163" s="30">
        <f t="shared" si="13"/>
        <v>7.5969062542172823E-3</v>
      </c>
      <c r="U163" s="2"/>
      <c r="W163" s="34"/>
      <c r="X163" s="23"/>
      <c r="Y163" s="34"/>
      <c r="Z163" s="23"/>
      <c r="AC163" s="244"/>
      <c r="AD163" s="244"/>
    </row>
    <row r="164" spans="10:30">
      <c r="J164" s="412">
        <v>41046</v>
      </c>
      <c r="K164" s="413">
        <v>11.791212</v>
      </c>
      <c r="L164" s="30">
        <f t="shared" si="10"/>
        <v>4.7185465458510004E-2</v>
      </c>
      <c r="M164" s="414">
        <v>1304.8599850000001</v>
      </c>
      <c r="N164" s="31">
        <f t="shared" si="11"/>
        <v>7.4427620140517931E-3</v>
      </c>
      <c r="P164" s="418">
        <v>41917</v>
      </c>
      <c r="Q164" s="417">
        <v>17.713453000000001</v>
      </c>
      <c r="R164" s="30">
        <f t="shared" si="12"/>
        <v>8.1899063286147974E-2</v>
      </c>
      <c r="S164" s="423">
        <v>1967.900024</v>
      </c>
      <c r="T164" s="30">
        <f t="shared" si="13"/>
        <v>3.2405984291716788E-2</v>
      </c>
      <c r="U164" s="2"/>
      <c r="W164" s="34"/>
      <c r="X164" s="23"/>
      <c r="Y164" s="34"/>
      <c r="Z164" s="23"/>
      <c r="AC164" s="244"/>
      <c r="AD164" s="244"/>
    </row>
    <row r="165" spans="10:30">
      <c r="J165" s="412">
        <v>41047</v>
      </c>
      <c r="K165" s="413">
        <v>11.259907999999999</v>
      </c>
      <c r="L165" s="30">
        <f t="shared" si="10"/>
        <v>-1.7087111235571859E-2</v>
      </c>
      <c r="M165" s="414">
        <v>1295.219971</v>
      </c>
      <c r="N165" s="31">
        <f t="shared" si="11"/>
        <v>-1.578280925981819E-2</v>
      </c>
      <c r="P165" s="418">
        <v>41924</v>
      </c>
      <c r="Q165" s="417">
        <v>16.372555999999999</v>
      </c>
      <c r="R165" s="30">
        <f t="shared" si="12"/>
        <v>-3.2721006025792226E-2</v>
      </c>
      <c r="S165" s="423">
        <v>1906.130005</v>
      </c>
      <c r="T165" s="30">
        <f t="shared" si="13"/>
        <v>1.0266273875499417E-2</v>
      </c>
      <c r="U165" s="2"/>
      <c r="W165" s="34"/>
      <c r="X165" s="23"/>
      <c r="Y165" s="34"/>
      <c r="Z165" s="23"/>
      <c r="AC165" s="244"/>
      <c r="AD165" s="244"/>
    </row>
    <row r="166" spans="10:30">
      <c r="J166" s="412">
        <v>41050</v>
      </c>
      <c r="K166" s="413">
        <v>11.455652000000001</v>
      </c>
      <c r="L166" s="30">
        <f t="shared" si="10"/>
        <v>1.2355871219401904E-2</v>
      </c>
      <c r="M166" s="414">
        <v>1315.98999</v>
      </c>
      <c r="N166" s="31">
        <f t="shared" si="11"/>
        <v>-4.8610087691260573E-4</v>
      </c>
      <c r="P166" s="418">
        <v>41931</v>
      </c>
      <c r="Q166" s="417">
        <v>16.926404999999999</v>
      </c>
      <c r="R166" s="30">
        <f t="shared" si="12"/>
        <v>-5.7359257876689863E-2</v>
      </c>
      <c r="S166" s="423">
        <v>1886.76001</v>
      </c>
      <c r="T166" s="30">
        <f t="shared" si="13"/>
        <v>-3.9611493419919666E-2</v>
      </c>
      <c r="U166" s="2"/>
      <c r="W166" s="34"/>
      <c r="X166" s="23"/>
      <c r="Y166" s="34"/>
      <c r="Z166" s="23"/>
      <c r="AC166" s="244"/>
      <c r="AD166" s="244"/>
    </row>
    <row r="167" spans="10:30">
      <c r="J167" s="412">
        <v>41051</v>
      </c>
      <c r="K167" s="413">
        <v>11.315835</v>
      </c>
      <c r="L167" s="30">
        <f t="shared" si="10"/>
        <v>-2.4115714863772678E-2</v>
      </c>
      <c r="M167" s="414">
        <v>1316.630005</v>
      </c>
      <c r="N167" s="31">
        <f t="shared" si="11"/>
        <v>-1.690839077205052E-3</v>
      </c>
      <c r="P167" s="418">
        <v>41938</v>
      </c>
      <c r="Q167" s="417">
        <v>17.956368999999999</v>
      </c>
      <c r="R167" s="30">
        <f t="shared" si="12"/>
        <v>-5.4247752396658001E-2</v>
      </c>
      <c r="S167" s="423">
        <v>1964.579956</v>
      </c>
      <c r="T167" s="30">
        <f t="shared" si="13"/>
        <v>-2.649592017130389E-2</v>
      </c>
      <c r="U167" s="2"/>
      <c r="W167" s="34"/>
      <c r="X167" s="23"/>
      <c r="Y167" s="34"/>
      <c r="Z167" s="23"/>
      <c r="AC167" s="244"/>
      <c r="AD167" s="244"/>
    </row>
    <row r="168" spans="10:30">
      <c r="J168" s="412">
        <v>41052</v>
      </c>
      <c r="K168" s="413">
        <v>11.595468</v>
      </c>
      <c r="L168" s="30">
        <f t="shared" si="10"/>
        <v>2.7250222827670464E-2</v>
      </c>
      <c r="M168" s="414">
        <v>1318.8599850000001</v>
      </c>
      <c r="N168" s="31">
        <f t="shared" si="11"/>
        <v>-1.3781301493025167E-3</v>
      </c>
      <c r="P168" s="418">
        <v>41945</v>
      </c>
      <c r="Q168" s="417">
        <v>18.986335</v>
      </c>
      <c r="R168" s="30">
        <f t="shared" si="12"/>
        <v>-1.2632680667973902E-2</v>
      </c>
      <c r="S168" s="423">
        <v>2018.0500489999999</v>
      </c>
      <c r="T168" s="30">
        <f t="shared" si="13"/>
        <v>-6.8260535354018178E-3</v>
      </c>
      <c r="U168" s="2"/>
      <c r="W168" s="34"/>
      <c r="X168" s="23"/>
      <c r="Y168" s="34"/>
      <c r="Z168" s="23"/>
      <c r="AC168" s="244"/>
      <c r="AD168" s="244"/>
    </row>
    <row r="169" spans="10:30">
      <c r="J169" s="412">
        <v>41053</v>
      </c>
      <c r="K169" s="413">
        <v>11.287871000000001</v>
      </c>
      <c r="L169" s="30">
        <f t="shared" si="10"/>
        <v>-2.3387151476391081E-2</v>
      </c>
      <c r="M169" s="414">
        <v>1320.6800539999999</v>
      </c>
      <c r="N169" s="31">
        <f t="shared" si="11"/>
        <v>2.1703329113216007E-3</v>
      </c>
      <c r="P169" s="418">
        <v>41952</v>
      </c>
      <c r="Q169" s="417">
        <v>19.229251999999999</v>
      </c>
      <c r="R169" s="30">
        <f t="shared" si="12"/>
        <v>0</v>
      </c>
      <c r="S169" s="423">
        <v>2031.920044</v>
      </c>
      <c r="T169" s="30">
        <f t="shared" si="13"/>
        <v>-3.8728428043325498E-3</v>
      </c>
      <c r="U169" s="2"/>
      <c r="W169" s="34"/>
      <c r="X169" s="23"/>
      <c r="Y169" s="34"/>
      <c r="Z169" s="23"/>
      <c r="AC169" s="244"/>
      <c r="AD169" s="244"/>
    </row>
    <row r="170" spans="10:30">
      <c r="J170" s="412">
        <v>41054</v>
      </c>
      <c r="K170" s="413">
        <v>11.558184000000001</v>
      </c>
      <c r="L170" s="30">
        <f t="shared" si="10"/>
        <v>-2.5157256044384204E-2</v>
      </c>
      <c r="M170" s="414">
        <v>1317.8199460000001</v>
      </c>
      <c r="N170" s="31">
        <f t="shared" si="11"/>
        <v>-1.0957579080069654E-2</v>
      </c>
      <c r="P170" s="418">
        <v>41959</v>
      </c>
      <c r="Q170" s="417">
        <v>19.229251999999999</v>
      </c>
      <c r="R170" s="30">
        <f t="shared" si="12"/>
        <v>-3.6351942570555809E-2</v>
      </c>
      <c r="S170" s="423">
        <v>2039.8199460000001</v>
      </c>
      <c r="T170" s="30">
        <f t="shared" si="13"/>
        <v>-1.1475674339714043E-2</v>
      </c>
      <c r="U170" s="2"/>
      <c r="W170" s="34"/>
      <c r="X170" s="23"/>
      <c r="Y170" s="34"/>
      <c r="Z170" s="23"/>
      <c r="AC170" s="244"/>
      <c r="AD170" s="244"/>
    </row>
    <row r="171" spans="10:30">
      <c r="J171" s="412">
        <v>41058</v>
      </c>
      <c r="K171" s="413">
        <v>11.85646</v>
      </c>
      <c r="L171" s="30">
        <f t="shared" si="10"/>
        <v>1.1933196223525865E-2</v>
      </c>
      <c r="M171" s="414">
        <v>1332.420044</v>
      </c>
      <c r="N171" s="31">
        <f t="shared" si="11"/>
        <v>1.4543370073814357E-2</v>
      </c>
      <c r="P171" s="418">
        <v>41966</v>
      </c>
      <c r="Q171" s="417">
        <v>19.954642</v>
      </c>
      <c r="R171" s="30">
        <f t="shared" si="12"/>
        <v>-2.4797277105000994E-2</v>
      </c>
      <c r="S171" s="423">
        <v>2063.5</v>
      </c>
      <c r="T171" s="30">
        <f t="shared" si="13"/>
        <v>-1.9636957980140157E-3</v>
      </c>
      <c r="U171" s="2"/>
      <c r="W171" s="34"/>
      <c r="X171" s="23"/>
      <c r="Y171" s="34"/>
      <c r="Z171" s="23"/>
      <c r="AC171" s="244"/>
      <c r="AD171" s="244"/>
    </row>
    <row r="172" spans="10:30">
      <c r="J172" s="412">
        <v>41059</v>
      </c>
      <c r="K172" s="413">
        <v>11.716642999999999</v>
      </c>
      <c r="L172" s="30">
        <f t="shared" si="10"/>
        <v>1.1263018563201489E-2</v>
      </c>
      <c r="M172" s="414">
        <v>1313.3199460000001</v>
      </c>
      <c r="N172" s="31">
        <f t="shared" si="11"/>
        <v>2.2818603713582767E-3</v>
      </c>
      <c r="P172" s="418">
        <v>41973</v>
      </c>
      <c r="Q172" s="417">
        <v>20.462045</v>
      </c>
      <c r="R172" s="30">
        <f t="shared" si="12"/>
        <v>-4.746098700350615E-3</v>
      </c>
      <c r="S172" s="423">
        <v>2067.5600589999999</v>
      </c>
      <c r="T172" s="30">
        <f t="shared" si="13"/>
        <v>-3.7632121307064319E-3</v>
      </c>
      <c r="U172" s="2"/>
      <c r="W172" s="34"/>
      <c r="X172" s="23"/>
      <c r="Y172" s="34"/>
      <c r="Z172" s="23"/>
      <c r="AC172" s="244"/>
      <c r="AD172" s="244"/>
    </row>
    <row r="173" spans="10:30">
      <c r="J173" s="412">
        <v>41060</v>
      </c>
      <c r="K173" s="413">
        <v>11.586148</v>
      </c>
      <c r="L173" s="30">
        <f t="shared" si="10"/>
        <v>3.7562674083482385E-2</v>
      </c>
      <c r="M173" s="414">
        <v>1310.329956</v>
      </c>
      <c r="N173" s="31">
        <f t="shared" si="11"/>
        <v>2.5265184199757346E-2</v>
      </c>
      <c r="P173" s="418">
        <v>41980</v>
      </c>
      <c r="Q173" s="417">
        <v>20.559622999999998</v>
      </c>
      <c r="R173" s="30">
        <f t="shared" si="12"/>
        <v>7.3357163064998357E-2</v>
      </c>
      <c r="S173" s="423">
        <v>2075.3701169999999</v>
      </c>
      <c r="T173" s="30">
        <f t="shared" si="13"/>
        <v>3.6477584916079581E-2</v>
      </c>
      <c r="U173" s="2"/>
      <c r="W173" s="34"/>
      <c r="X173" s="23"/>
      <c r="Y173" s="34"/>
      <c r="Z173" s="23"/>
      <c r="AC173" s="244"/>
      <c r="AD173" s="244"/>
    </row>
    <row r="174" spans="10:30">
      <c r="J174" s="412">
        <v>41061</v>
      </c>
      <c r="K174" s="413">
        <v>11.166696999999999</v>
      </c>
      <c r="L174" s="30">
        <f t="shared" si="10"/>
        <v>2.1312882253889259E-2</v>
      </c>
      <c r="M174" s="414">
        <v>1278.040039</v>
      </c>
      <c r="N174" s="31">
        <f t="shared" si="11"/>
        <v>-1.0954246982792339E-4</v>
      </c>
      <c r="P174" s="418">
        <v>41987</v>
      </c>
      <c r="Q174" s="417">
        <v>19.154502999999998</v>
      </c>
      <c r="R174" s="30">
        <f t="shared" si="12"/>
        <v>-3.8687616710516994E-2</v>
      </c>
      <c r="S174" s="423">
        <v>2002.329956</v>
      </c>
      <c r="T174" s="30">
        <f t="shared" si="13"/>
        <v>-3.2994445818199963E-2</v>
      </c>
      <c r="U174" s="2"/>
      <c r="W174" s="34"/>
      <c r="X174" s="23"/>
      <c r="Y174" s="34"/>
      <c r="Z174" s="23"/>
      <c r="AC174" s="244"/>
      <c r="AD174" s="244"/>
    </row>
    <row r="175" spans="10:30">
      <c r="J175" s="412">
        <v>41064</v>
      </c>
      <c r="K175" s="413">
        <v>10.933669</v>
      </c>
      <c r="L175" s="30">
        <f t="shared" si="10"/>
        <v>-2.8169019092070431E-2</v>
      </c>
      <c r="M175" s="414">
        <v>1278.1800539999999</v>
      </c>
      <c r="N175" s="31">
        <f t="shared" si="11"/>
        <v>-5.6942403733956223E-3</v>
      </c>
      <c r="P175" s="418">
        <v>41994</v>
      </c>
      <c r="Q175" s="417">
        <v>19.925367999999999</v>
      </c>
      <c r="R175" s="30">
        <f t="shared" si="12"/>
        <v>-8.2564300379518382E-3</v>
      </c>
      <c r="S175" s="423">
        <v>2070.6499020000001</v>
      </c>
      <c r="T175" s="30">
        <f t="shared" si="13"/>
        <v>-8.6750182291489512E-3</v>
      </c>
      <c r="U175" s="2"/>
      <c r="W175" s="34"/>
      <c r="X175" s="23"/>
      <c r="Y175" s="34"/>
      <c r="Z175" s="23"/>
      <c r="AC175" s="244"/>
      <c r="AD175" s="244"/>
    </row>
    <row r="176" spans="10:30">
      <c r="J176" s="412">
        <v>41065</v>
      </c>
      <c r="K176" s="413">
        <v>11.250586999999999</v>
      </c>
      <c r="L176" s="30">
        <f t="shared" si="10"/>
        <v>-2.5827304384856007E-2</v>
      </c>
      <c r="M176" s="414">
        <v>1285.5</v>
      </c>
      <c r="N176" s="31">
        <f t="shared" si="11"/>
        <v>-2.253009579839978E-2</v>
      </c>
      <c r="P176" s="418">
        <v>42001</v>
      </c>
      <c r="Q176" s="417">
        <v>20.091249999999999</v>
      </c>
      <c r="R176" s="30">
        <f t="shared" si="12"/>
        <v>2.2851493850646994E-2</v>
      </c>
      <c r="S176" s="423">
        <v>2088.7700199999999</v>
      </c>
      <c r="T176" s="30">
        <f t="shared" si="13"/>
        <v>1.4852817864050117E-2</v>
      </c>
      <c r="U176" s="2"/>
      <c r="W176" s="34"/>
      <c r="X176" s="23"/>
      <c r="Y176" s="34"/>
      <c r="Z176" s="23"/>
      <c r="AC176" s="244"/>
      <c r="AD176" s="244"/>
    </row>
    <row r="177" spans="10:30">
      <c r="J177" s="412">
        <v>41066</v>
      </c>
      <c r="K177" s="413">
        <v>11.548863000000001</v>
      </c>
      <c r="L177" s="30">
        <f t="shared" si="10"/>
        <v>4.2052162416976131E-2</v>
      </c>
      <c r="M177" s="414">
        <v>1315.130005</v>
      </c>
      <c r="N177" s="31">
        <f t="shared" si="11"/>
        <v>1.0647609568491733E-4</v>
      </c>
      <c r="P177" s="418">
        <v>42008</v>
      </c>
      <c r="Q177" s="417">
        <v>19.642392000000001</v>
      </c>
      <c r="R177" s="30">
        <f t="shared" si="12"/>
        <v>9.5285006996969519E-3</v>
      </c>
      <c r="S177" s="423">
        <v>2058.1999510000001</v>
      </c>
      <c r="T177" s="30">
        <f t="shared" si="13"/>
        <v>6.5482326542096424E-3</v>
      </c>
      <c r="U177" s="2"/>
      <c r="W177" s="34"/>
      <c r="X177" s="23"/>
      <c r="Y177" s="34"/>
      <c r="Z177" s="23"/>
      <c r="AC177" s="244"/>
      <c r="AD177" s="244"/>
    </row>
    <row r="178" spans="10:30">
      <c r="J178" s="412">
        <v>41067</v>
      </c>
      <c r="K178" s="413">
        <v>11.082807000000001</v>
      </c>
      <c r="L178" s="30">
        <f t="shared" si="10"/>
        <v>-1.8976926392246223E-2</v>
      </c>
      <c r="M178" s="414">
        <v>1314.98999</v>
      </c>
      <c r="N178" s="31">
        <f t="shared" si="11"/>
        <v>-8.0488539492320262E-3</v>
      </c>
      <c r="P178" s="418">
        <v>42015</v>
      </c>
      <c r="Q178" s="417">
        <v>19.456996</v>
      </c>
      <c r="R178" s="30">
        <f t="shared" si="12"/>
        <v>-1.0019248828461013E-3</v>
      </c>
      <c r="S178" s="423">
        <v>2044.8100589999999</v>
      </c>
      <c r="T178" s="30">
        <f t="shared" si="13"/>
        <v>1.2572924130092446E-2</v>
      </c>
      <c r="U178" s="2"/>
      <c r="W178" s="34"/>
      <c r="X178" s="23"/>
      <c r="Y178" s="34"/>
      <c r="Z178" s="23"/>
      <c r="AC178" s="244"/>
      <c r="AD178" s="244"/>
    </row>
    <row r="179" spans="10:30">
      <c r="J179" s="412">
        <v>41068</v>
      </c>
      <c r="K179" s="413">
        <v>11.297193</v>
      </c>
      <c r="L179" s="30">
        <f t="shared" si="10"/>
        <v>-1.1419281711289204E-2</v>
      </c>
      <c r="M179" s="414">
        <v>1325.660034</v>
      </c>
      <c r="N179" s="31">
        <f t="shared" si="11"/>
        <v>1.2781416355193621E-2</v>
      </c>
      <c r="P179" s="418">
        <v>42022</v>
      </c>
      <c r="Q179" s="417">
        <v>19.476510000000001</v>
      </c>
      <c r="R179" s="30">
        <f t="shared" si="12"/>
        <v>-3.6214399171668764E-2</v>
      </c>
      <c r="S179" s="423">
        <v>2019.420044</v>
      </c>
      <c r="T179" s="30">
        <f t="shared" si="13"/>
        <v>-1.57908700208697E-2</v>
      </c>
      <c r="U179" s="2"/>
      <c r="W179" s="34"/>
      <c r="X179" s="23"/>
      <c r="Y179" s="34"/>
      <c r="Z179" s="23"/>
      <c r="AC179" s="244"/>
      <c r="AD179" s="244"/>
    </row>
    <row r="180" spans="10:30">
      <c r="J180" s="412">
        <v>41071</v>
      </c>
      <c r="K180" s="413">
        <v>11.427689000000001</v>
      </c>
      <c r="L180" s="30">
        <f t="shared" si="10"/>
        <v>-1.9984019850580296E-2</v>
      </c>
      <c r="M180" s="414">
        <v>1308.9300539999999</v>
      </c>
      <c r="N180" s="31">
        <f t="shared" si="11"/>
        <v>-1.151656072294229E-2</v>
      </c>
      <c r="P180" s="418">
        <v>42029</v>
      </c>
      <c r="Q180" s="417">
        <v>20.208342999999999</v>
      </c>
      <c r="R180" s="30">
        <f t="shared" si="12"/>
        <v>7.864575463115106E-2</v>
      </c>
      <c r="S180" s="423">
        <v>2051.820068</v>
      </c>
      <c r="T180" s="30">
        <f t="shared" si="13"/>
        <v>2.8486397568340659E-2</v>
      </c>
      <c r="U180" s="2"/>
      <c r="W180" s="34"/>
      <c r="X180" s="23"/>
      <c r="Y180" s="34"/>
      <c r="Z180" s="23"/>
      <c r="AC180" s="244"/>
      <c r="AD180" s="244"/>
    </row>
    <row r="181" spans="10:30">
      <c r="J181" s="412">
        <v>41072</v>
      </c>
      <c r="K181" s="413">
        <v>11.660717</v>
      </c>
      <c r="L181" s="30">
        <f t="shared" si="10"/>
        <v>2.7093609509984871E-2</v>
      </c>
      <c r="M181" s="414">
        <v>1324.1800539999999</v>
      </c>
      <c r="N181" s="31">
        <f t="shared" si="11"/>
        <v>7.0729260195875783E-3</v>
      </c>
      <c r="P181" s="418">
        <v>42036</v>
      </c>
      <c r="Q181" s="417">
        <v>18.734921</v>
      </c>
      <c r="R181" s="30">
        <f t="shared" si="12"/>
        <v>-5.8823455534583478E-2</v>
      </c>
      <c r="S181" s="423">
        <v>1994.98999</v>
      </c>
      <c r="T181" s="30">
        <f t="shared" si="13"/>
        <v>-2.9423918545779599E-2</v>
      </c>
      <c r="U181" s="2"/>
      <c r="W181" s="34"/>
      <c r="X181" s="23"/>
      <c r="Y181" s="34"/>
      <c r="Z181" s="23"/>
      <c r="AC181" s="244"/>
      <c r="AD181" s="244"/>
    </row>
    <row r="182" spans="10:30">
      <c r="J182" s="412">
        <v>41073</v>
      </c>
      <c r="K182" s="413">
        <v>11.353120000000001</v>
      </c>
      <c r="L182" s="30">
        <f t="shared" si="10"/>
        <v>1.2468850614310587E-2</v>
      </c>
      <c r="M182" s="414">
        <v>1314.880005</v>
      </c>
      <c r="N182" s="31">
        <f t="shared" si="11"/>
        <v>-1.0698947601214905E-2</v>
      </c>
      <c r="P182" s="418">
        <v>42043</v>
      </c>
      <c r="Q182" s="417">
        <v>19.905851999999999</v>
      </c>
      <c r="R182" s="30">
        <f t="shared" si="12"/>
        <v>-8.5611825599255814E-2</v>
      </c>
      <c r="S182" s="423">
        <v>2055.469971</v>
      </c>
      <c r="T182" s="30">
        <f t="shared" si="13"/>
        <v>-1.9799817451679896E-2</v>
      </c>
      <c r="U182" s="2"/>
      <c r="W182" s="34"/>
      <c r="X182" s="23"/>
      <c r="Y182" s="34"/>
      <c r="Z182" s="23"/>
      <c r="AC182" s="244"/>
      <c r="AD182" s="244"/>
    </row>
    <row r="183" spans="10:30">
      <c r="J183" s="412">
        <v>41074</v>
      </c>
      <c r="K183" s="413">
        <v>11.213303</v>
      </c>
      <c r="L183" s="30">
        <f t="shared" si="10"/>
        <v>-2.1155408701311877E-2</v>
      </c>
      <c r="M183" s="414">
        <v>1329.099976</v>
      </c>
      <c r="N183" s="31">
        <f t="shared" si="11"/>
        <v>-1.0232038327640924E-2</v>
      </c>
      <c r="P183" s="418">
        <v>42050</v>
      </c>
      <c r="Q183" s="417">
        <v>21.769586</v>
      </c>
      <c r="R183" s="30">
        <f t="shared" si="12"/>
        <v>-1.3429142624889975E-3</v>
      </c>
      <c r="S183" s="423">
        <v>2096.98999</v>
      </c>
      <c r="T183" s="30">
        <f t="shared" si="13"/>
        <v>-6.3071879310750614E-3</v>
      </c>
      <c r="U183" s="2"/>
      <c r="W183" s="34"/>
      <c r="X183" s="23"/>
      <c r="Y183" s="34"/>
      <c r="Z183" s="23"/>
      <c r="AC183" s="244"/>
      <c r="AD183" s="244"/>
    </row>
    <row r="184" spans="10:30">
      <c r="J184" s="412">
        <v>41075</v>
      </c>
      <c r="K184" s="413">
        <v>11.455652000000001</v>
      </c>
      <c r="L184" s="30">
        <f t="shared" si="10"/>
        <v>-8.870943739950848E-3</v>
      </c>
      <c r="M184" s="414">
        <v>1342.839966</v>
      </c>
      <c r="N184" s="31">
        <f t="shared" si="11"/>
        <v>-1.4426619656470294E-3</v>
      </c>
      <c r="P184" s="418">
        <v>42057</v>
      </c>
      <c r="Q184" s="417">
        <v>21.798860000000001</v>
      </c>
      <c r="R184" s="30">
        <f t="shared" si="12"/>
        <v>8.8082357487857706E-3</v>
      </c>
      <c r="S184" s="423">
        <v>2110.3000489999999</v>
      </c>
      <c r="T184" s="30">
        <f t="shared" si="13"/>
        <v>2.756022333095721E-3</v>
      </c>
      <c r="U184" s="2"/>
      <c r="W184" s="34"/>
      <c r="X184" s="23"/>
      <c r="Y184" s="34"/>
      <c r="Z184" s="23"/>
      <c r="AC184" s="244"/>
      <c r="AD184" s="244"/>
    </row>
    <row r="185" spans="10:30">
      <c r="J185" s="412">
        <v>41078</v>
      </c>
      <c r="K185" s="413">
        <v>11.558184000000001</v>
      </c>
      <c r="L185" s="30">
        <f t="shared" si="10"/>
        <v>-6.3444127366329761E-2</v>
      </c>
      <c r="M185" s="414">
        <v>1344.780029</v>
      </c>
      <c r="N185" s="31">
        <f t="shared" si="11"/>
        <v>-9.7202839470432074E-3</v>
      </c>
      <c r="P185" s="418">
        <v>42064</v>
      </c>
      <c r="Q185" s="417">
        <v>21.608526999999999</v>
      </c>
      <c r="R185" s="30">
        <f t="shared" si="12"/>
        <v>-2.1729453944763586E-2</v>
      </c>
      <c r="S185" s="423">
        <v>2104.5</v>
      </c>
      <c r="T185" s="30">
        <f t="shared" si="13"/>
        <v>1.6048197637919943E-2</v>
      </c>
      <c r="U185" s="2"/>
      <c r="W185" s="34"/>
      <c r="X185" s="23"/>
      <c r="Y185" s="34"/>
      <c r="Z185" s="23"/>
      <c r="AC185" s="244"/>
      <c r="AD185" s="244"/>
    </row>
    <row r="186" spans="10:30">
      <c r="J186" s="412">
        <v>41079</v>
      </c>
      <c r="K186" s="413">
        <v>12.341158</v>
      </c>
      <c r="L186" s="30">
        <f t="shared" si="10"/>
        <v>-1.5613348147201627E-2</v>
      </c>
      <c r="M186" s="414">
        <v>1357.9799800000001</v>
      </c>
      <c r="N186" s="31">
        <f t="shared" si="11"/>
        <v>1.6892055703465448E-3</v>
      </c>
      <c r="P186" s="418">
        <v>42071</v>
      </c>
      <c r="Q186" s="417">
        <v>22.088498000000001</v>
      </c>
      <c r="R186" s="30">
        <f t="shared" si="12"/>
        <v>-6.608012527754112E-3</v>
      </c>
      <c r="S186" s="423">
        <v>2071.26001</v>
      </c>
      <c r="T186" s="30">
        <f t="shared" si="13"/>
        <v>8.6978225637413392E-3</v>
      </c>
      <c r="U186" s="2"/>
      <c r="W186" s="34"/>
      <c r="X186" s="23"/>
      <c r="Y186" s="34"/>
      <c r="Z186" s="23"/>
      <c r="AC186" s="244"/>
      <c r="AD186" s="244"/>
    </row>
    <row r="187" spans="10:30">
      <c r="J187" s="412">
        <v>41080</v>
      </c>
      <c r="K187" s="413">
        <v>12.536901</v>
      </c>
      <c r="L187" s="30">
        <f t="shared" si="10"/>
        <v>4.7507781589602484E-2</v>
      </c>
      <c r="M187" s="414">
        <v>1355.6899410000001</v>
      </c>
      <c r="N187" s="31">
        <f t="shared" si="11"/>
        <v>2.2768542502368674E-2</v>
      </c>
      <c r="P187" s="418">
        <v>42078</v>
      </c>
      <c r="Q187" s="417">
        <v>22.235430000000001</v>
      </c>
      <c r="R187" s="30">
        <f t="shared" si="12"/>
        <v>-3.2807778450060367E-2</v>
      </c>
      <c r="S187" s="423">
        <v>2053.3999020000001</v>
      </c>
      <c r="T187" s="30">
        <f t="shared" si="13"/>
        <v>-2.5947627464129923E-2</v>
      </c>
      <c r="U187" s="2"/>
      <c r="W187" s="34"/>
      <c r="X187" s="23"/>
      <c r="Y187" s="34"/>
      <c r="Z187" s="23"/>
      <c r="AC187" s="244"/>
      <c r="AD187" s="244"/>
    </row>
    <row r="188" spans="10:30">
      <c r="J188" s="412">
        <v>41081</v>
      </c>
      <c r="K188" s="413">
        <v>11.968313</v>
      </c>
      <c r="L188" s="30">
        <f t="shared" si="10"/>
        <v>-1.2307703988239825E-2</v>
      </c>
      <c r="M188" s="414">
        <v>1325.51001</v>
      </c>
      <c r="N188" s="31">
        <f t="shared" si="11"/>
        <v>-7.1234961704918602E-3</v>
      </c>
      <c r="P188" s="418">
        <v>42085</v>
      </c>
      <c r="Q188" s="417">
        <v>22.98967</v>
      </c>
      <c r="R188" s="30">
        <f t="shared" si="12"/>
        <v>9.775492763666585E-2</v>
      </c>
      <c r="S188" s="423">
        <v>2108.1000979999999</v>
      </c>
      <c r="T188" s="30">
        <f t="shared" si="13"/>
        <v>2.2843095915196378E-2</v>
      </c>
      <c r="U188" s="2"/>
      <c r="W188" s="34"/>
      <c r="X188" s="23"/>
      <c r="Y188" s="34"/>
      <c r="Z188" s="23"/>
      <c r="AC188" s="244"/>
      <c r="AD188" s="244"/>
    </row>
    <row r="189" spans="10:30">
      <c r="J189" s="412">
        <v>41082</v>
      </c>
      <c r="K189" s="413">
        <v>12.117451000000001</v>
      </c>
      <c r="L189" s="30">
        <f t="shared" si="10"/>
        <v>3.2565549111078389E-2</v>
      </c>
      <c r="M189" s="414">
        <v>1335.0200199999999</v>
      </c>
      <c r="N189" s="31">
        <f t="shared" si="11"/>
        <v>1.6213538250306424E-2</v>
      </c>
      <c r="P189" s="418">
        <v>42092</v>
      </c>
      <c r="Q189" s="417">
        <v>20.942443000000001</v>
      </c>
      <c r="R189" s="30">
        <f t="shared" si="12"/>
        <v>1.5194683288451544E-2</v>
      </c>
      <c r="S189" s="423">
        <v>2061.0200199999999</v>
      </c>
      <c r="T189" s="30">
        <f t="shared" si="13"/>
        <v>-2.8737571661167217E-3</v>
      </c>
      <c r="U189" s="2"/>
      <c r="W189" s="34"/>
      <c r="X189" s="23"/>
      <c r="Y189" s="34"/>
      <c r="Z189" s="23"/>
      <c r="AC189" s="244"/>
      <c r="AD189" s="244"/>
    </row>
    <row r="190" spans="10:30">
      <c r="J190" s="412">
        <v>41085</v>
      </c>
      <c r="K190" s="413">
        <v>11.735284999999999</v>
      </c>
      <c r="L190" s="30">
        <f t="shared" si="10"/>
        <v>-1.0997674742185182E-2</v>
      </c>
      <c r="M190" s="414">
        <v>1313.719971</v>
      </c>
      <c r="N190" s="31">
        <f t="shared" si="11"/>
        <v>-4.7500504151550783E-3</v>
      </c>
      <c r="P190" s="418">
        <v>42099</v>
      </c>
      <c r="Q190" s="417">
        <v>20.628992</v>
      </c>
      <c r="R190" s="30">
        <f t="shared" si="12"/>
        <v>-7.469251422410178E-2</v>
      </c>
      <c r="S190" s="423">
        <v>2066.959961</v>
      </c>
      <c r="T190" s="30">
        <f t="shared" si="13"/>
        <v>-1.6697952016032237E-2</v>
      </c>
      <c r="U190" s="2"/>
      <c r="W190" s="34"/>
      <c r="X190" s="23"/>
      <c r="Y190" s="34"/>
      <c r="Z190" s="23"/>
      <c r="AC190" s="244"/>
      <c r="AD190" s="244"/>
    </row>
    <row r="191" spans="10:30">
      <c r="J191" s="412">
        <v>41086</v>
      </c>
      <c r="K191" s="413">
        <v>11.865781</v>
      </c>
      <c r="L191" s="30">
        <f t="shared" si="10"/>
        <v>-3.1202453766333231E-2</v>
      </c>
      <c r="M191" s="414">
        <v>1319.98999</v>
      </c>
      <c r="N191" s="31">
        <f t="shared" si="11"/>
        <v>-8.9048963574857899E-3</v>
      </c>
      <c r="P191" s="418">
        <v>42106</v>
      </c>
      <c r="Q191" s="417">
        <v>22.294201999999999</v>
      </c>
      <c r="R191" s="30">
        <f t="shared" si="12"/>
        <v>2.5225213873681301E-2</v>
      </c>
      <c r="S191" s="423">
        <v>2102.0600589999999</v>
      </c>
      <c r="T191" s="30">
        <f t="shared" si="13"/>
        <v>1.003283122182244E-2</v>
      </c>
      <c r="U191" s="2"/>
      <c r="W191" s="34"/>
      <c r="X191" s="23"/>
      <c r="Y191" s="34"/>
      <c r="Z191" s="23"/>
      <c r="AC191" s="244"/>
      <c r="AD191" s="244"/>
    </row>
    <row r="192" spans="10:30">
      <c r="J192" s="412">
        <v>41087</v>
      </c>
      <c r="K192" s="413">
        <v>12.247947</v>
      </c>
      <c r="L192" s="30">
        <f t="shared" si="10"/>
        <v>-7.5528568712919936E-3</v>
      </c>
      <c r="M192" s="414">
        <v>1331.849976</v>
      </c>
      <c r="N192" s="31">
        <f t="shared" si="11"/>
        <v>2.1142606073134198E-3</v>
      </c>
      <c r="P192" s="418">
        <v>42113</v>
      </c>
      <c r="Q192" s="417">
        <v>21.745663</v>
      </c>
      <c r="R192" s="30">
        <f t="shared" si="12"/>
        <v>7.7167572278823444E-3</v>
      </c>
      <c r="S192" s="423">
        <v>2081.179932</v>
      </c>
      <c r="T192" s="30">
        <f t="shared" si="13"/>
        <v>-1.7240488464878665E-2</v>
      </c>
      <c r="U192" s="2"/>
      <c r="W192" s="34"/>
      <c r="X192" s="23"/>
      <c r="Y192" s="34"/>
      <c r="Z192" s="23"/>
      <c r="AC192" s="244"/>
      <c r="AD192" s="244"/>
    </row>
    <row r="193" spans="10:30">
      <c r="J193" s="412">
        <v>41088</v>
      </c>
      <c r="K193" s="413">
        <v>12.341158</v>
      </c>
      <c r="L193" s="30">
        <f t="shared" si="10"/>
        <v>-4.1968106586495517E-2</v>
      </c>
      <c r="M193" s="414">
        <v>1329.040039</v>
      </c>
      <c r="N193" s="31">
        <f t="shared" si="11"/>
        <v>-2.431432003091644E-2</v>
      </c>
      <c r="P193" s="418">
        <v>42120</v>
      </c>
      <c r="Q193" s="417">
        <v>21.579142000000001</v>
      </c>
      <c r="R193" s="30">
        <f t="shared" si="12"/>
        <v>-3.1648319457112731E-2</v>
      </c>
      <c r="S193" s="423">
        <v>2117.6899410000001</v>
      </c>
      <c r="T193" s="30">
        <f t="shared" si="13"/>
        <v>4.4585430970677329E-3</v>
      </c>
      <c r="U193" s="2"/>
      <c r="W193" s="34"/>
      <c r="X193" s="23"/>
      <c r="Y193" s="34"/>
      <c r="Z193" s="23"/>
      <c r="AC193" s="244"/>
      <c r="AD193" s="244"/>
    </row>
    <row r="194" spans="10:30">
      <c r="J194" s="412">
        <v>41089</v>
      </c>
      <c r="K194" s="413">
        <v>12.881781999999999</v>
      </c>
      <c r="L194" s="30">
        <f t="shared" si="10"/>
        <v>2.7509270432940252E-2</v>
      </c>
      <c r="M194" s="414">
        <v>1362.160034</v>
      </c>
      <c r="N194" s="31">
        <f t="shared" si="11"/>
        <v>-2.4532782443681756E-3</v>
      </c>
      <c r="P194" s="418">
        <v>42127</v>
      </c>
      <c r="Q194" s="417">
        <v>22.284406000000001</v>
      </c>
      <c r="R194" s="30">
        <f t="shared" si="12"/>
        <v>9.2174752618397637E-2</v>
      </c>
      <c r="S194" s="423">
        <v>2108.290039</v>
      </c>
      <c r="T194" s="30">
        <f t="shared" si="13"/>
        <v>-3.690779565381368E-3</v>
      </c>
      <c r="U194" s="2"/>
      <c r="W194" s="34"/>
      <c r="X194" s="23"/>
      <c r="Y194" s="34"/>
      <c r="Z194" s="23"/>
      <c r="AC194" s="244"/>
      <c r="AD194" s="244"/>
    </row>
    <row r="195" spans="10:30">
      <c r="J195" s="412">
        <v>41092</v>
      </c>
      <c r="K195" s="413">
        <v>12.536901</v>
      </c>
      <c r="L195" s="30">
        <f t="shared" si="10"/>
        <v>-2.5362390103630231E-2</v>
      </c>
      <c r="M195" s="414">
        <v>1365.51001</v>
      </c>
      <c r="N195" s="31">
        <f t="shared" si="11"/>
        <v>-6.1935123769157061E-3</v>
      </c>
      <c r="P195" s="418">
        <v>42134</v>
      </c>
      <c r="Q195" s="417">
        <v>20.403700000000001</v>
      </c>
      <c r="R195" s="30">
        <f t="shared" si="12"/>
        <v>-2.2065674594806031E-2</v>
      </c>
      <c r="S195" s="423">
        <v>2116.1000979999999</v>
      </c>
      <c r="T195" s="30">
        <f t="shared" si="13"/>
        <v>-3.1232808988735251E-3</v>
      </c>
      <c r="U195" s="2"/>
      <c r="W195" s="34"/>
      <c r="X195" s="23"/>
      <c r="Y195" s="34"/>
      <c r="Z195" s="23"/>
      <c r="AC195" s="244"/>
      <c r="AD195" s="244"/>
    </row>
    <row r="196" spans="10:30">
      <c r="J196" s="412">
        <v>41093</v>
      </c>
      <c r="K196" s="413">
        <v>12.863141000000001</v>
      </c>
      <c r="L196" s="30">
        <f t="shared" si="10"/>
        <v>1.0248930995877198E-2</v>
      </c>
      <c r="M196" s="414">
        <v>1374.0200199999999</v>
      </c>
      <c r="N196" s="31">
        <f t="shared" si="11"/>
        <v>4.7090950490648259E-3</v>
      </c>
      <c r="P196" s="418">
        <v>42141</v>
      </c>
      <c r="Q196" s="417">
        <v>20.864080000000001</v>
      </c>
      <c r="R196" s="30">
        <f t="shared" si="12"/>
        <v>1.6388272471489346E-2</v>
      </c>
      <c r="S196" s="423">
        <v>2122.7299800000001</v>
      </c>
      <c r="T196" s="30">
        <f t="shared" si="13"/>
        <v>-1.5663146419138112E-3</v>
      </c>
      <c r="U196" s="2"/>
      <c r="W196" s="34"/>
      <c r="X196" s="23"/>
      <c r="Y196" s="34"/>
      <c r="Z196" s="23"/>
      <c r="AC196" s="244"/>
      <c r="AD196" s="244"/>
    </row>
    <row r="197" spans="10:30">
      <c r="J197" s="412">
        <v>41095</v>
      </c>
      <c r="K197" s="413">
        <v>12.732645</v>
      </c>
      <c r="L197" s="30">
        <f t="shared" si="10"/>
        <v>1.9403064539308325E-2</v>
      </c>
      <c r="M197" s="414">
        <v>1367.579956</v>
      </c>
      <c r="N197" s="31">
        <f t="shared" si="11"/>
        <v>9.5224713480575925E-3</v>
      </c>
      <c r="P197" s="418">
        <v>42148</v>
      </c>
      <c r="Q197" s="417">
        <v>20.527667000000001</v>
      </c>
      <c r="R197" s="30">
        <f t="shared" si="12"/>
        <v>-5.7388122833393521E-2</v>
      </c>
      <c r="S197" s="423">
        <v>2126.0600589999999</v>
      </c>
      <c r="T197" s="30">
        <f t="shared" si="13"/>
        <v>8.8593791125294533E-3</v>
      </c>
      <c r="U197" s="2"/>
      <c r="W197" s="34"/>
      <c r="X197" s="23"/>
      <c r="Y197" s="34"/>
      <c r="Z197" s="23"/>
      <c r="AC197" s="244"/>
      <c r="AD197" s="244"/>
    </row>
    <row r="198" spans="10:30">
      <c r="J198" s="412">
        <v>41096</v>
      </c>
      <c r="K198" s="413">
        <v>12.490295</v>
      </c>
      <c r="L198" s="30">
        <f t="shared" si="10"/>
        <v>1.3615644727099519E-2</v>
      </c>
      <c r="M198" s="414">
        <v>1354.6800539999999</v>
      </c>
      <c r="N198" s="31">
        <f t="shared" si="11"/>
        <v>1.6415221625920697E-3</v>
      </c>
      <c r="P198" s="418">
        <v>42155</v>
      </c>
      <c r="Q198" s="417">
        <v>21.777432999999998</v>
      </c>
      <c r="R198" s="30">
        <f t="shared" si="12"/>
        <v>-5.8401223481209944E-3</v>
      </c>
      <c r="S198" s="423">
        <v>2107.389893</v>
      </c>
      <c r="T198" s="30">
        <f t="shared" si="13"/>
        <v>6.956998159121484E-3</v>
      </c>
      <c r="U198" s="2"/>
      <c r="W198" s="34"/>
      <c r="X198" s="23"/>
      <c r="Y198" s="34"/>
      <c r="Z198" s="23"/>
      <c r="AC198" s="244"/>
      <c r="AD198" s="244"/>
    </row>
    <row r="199" spans="10:30">
      <c r="J199" s="412">
        <v>41099</v>
      </c>
      <c r="K199" s="413">
        <v>12.322516</v>
      </c>
      <c r="L199" s="30">
        <f t="shared" si="10"/>
        <v>3.1201277424290581E-2</v>
      </c>
      <c r="M199" s="414">
        <v>1352.459961</v>
      </c>
      <c r="N199" s="31">
        <f t="shared" si="11"/>
        <v>8.1924979593896805E-3</v>
      </c>
      <c r="P199" s="418">
        <v>42162</v>
      </c>
      <c r="Q199" s="417">
        <v>21.905363000000001</v>
      </c>
      <c r="R199" s="30">
        <f t="shared" si="12"/>
        <v>5.4476567565002042E-2</v>
      </c>
      <c r="S199" s="423">
        <v>2092.830078</v>
      </c>
      <c r="T199" s="30">
        <f t="shared" si="13"/>
        <v>-6.1125200423857808E-4</v>
      </c>
      <c r="U199" s="2"/>
      <c r="W199" s="34"/>
      <c r="X199" s="23"/>
      <c r="Y199" s="34"/>
      <c r="Z199" s="23"/>
      <c r="AC199" s="244"/>
      <c r="AD199" s="244"/>
    </row>
    <row r="200" spans="10:30">
      <c r="J200" s="412">
        <v>41100</v>
      </c>
      <c r="K200" s="413">
        <v>11.949671</v>
      </c>
      <c r="L200" s="30">
        <f t="shared" si="10"/>
        <v>1.665349801815183E-2</v>
      </c>
      <c r="M200" s="414">
        <v>1341.469971</v>
      </c>
      <c r="N200" s="31">
        <f t="shared" si="11"/>
        <v>1.4924149786585153E-5</v>
      </c>
      <c r="P200" s="418">
        <v>42169</v>
      </c>
      <c r="Q200" s="417">
        <v>20.773683999999999</v>
      </c>
      <c r="R200" s="30">
        <f t="shared" si="12"/>
        <v>-3.4750845628087626E-2</v>
      </c>
      <c r="S200" s="423">
        <v>2094.110107</v>
      </c>
      <c r="T200" s="30">
        <f t="shared" si="13"/>
        <v>-7.5260466046097509E-3</v>
      </c>
      <c r="U200" s="2"/>
      <c r="W200" s="34"/>
      <c r="X200" s="23"/>
      <c r="Y200" s="34"/>
      <c r="Z200" s="23"/>
      <c r="AC200" s="244"/>
      <c r="AD200" s="244"/>
    </row>
    <row r="201" spans="10:30">
      <c r="J201" s="412">
        <v>41101</v>
      </c>
      <c r="K201" s="413">
        <v>11.753926999999999</v>
      </c>
      <c r="L201" s="30">
        <f t="shared" si="10"/>
        <v>1.6935445914340732E-2</v>
      </c>
      <c r="M201" s="414">
        <v>1341.4499510000001</v>
      </c>
      <c r="N201" s="31">
        <f t="shared" si="11"/>
        <v>5.0120927731421095E-3</v>
      </c>
      <c r="P201" s="418">
        <v>42176</v>
      </c>
      <c r="Q201" s="417">
        <v>21.521577000000001</v>
      </c>
      <c r="R201" s="30">
        <f t="shared" si="12"/>
        <v>5.4484174048086684E-2</v>
      </c>
      <c r="S201" s="423">
        <v>2109.98999</v>
      </c>
      <c r="T201" s="30">
        <f t="shared" si="13"/>
        <v>4.0447492210039029E-3</v>
      </c>
      <c r="U201" s="2"/>
      <c r="W201" s="34"/>
      <c r="X201" s="23"/>
      <c r="Y201" s="34"/>
      <c r="Z201" s="23"/>
      <c r="AC201" s="244"/>
      <c r="AD201" s="244"/>
    </row>
    <row r="202" spans="10:30">
      <c r="J202" s="412">
        <v>41102</v>
      </c>
      <c r="K202" s="413">
        <v>11.558184000000001</v>
      </c>
      <c r="L202" s="30">
        <f t="shared" ref="L202:L265" si="14">(K202-K203)/K203</f>
        <v>-1.2738865472394018E-2</v>
      </c>
      <c r="M202" s="414">
        <v>1334.76001</v>
      </c>
      <c r="N202" s="31">
        <f t="shared" ref="N202:N265" si="15">(M202-M203)/M203</f>
        <v>-1.6229616097923893E-2</v>
      </c>
      <c r="P202" s="418">
        <v>42183</v>
      </c>
      <c r="Q202" s="417">
        <v>20.409578</v>
      </c>
      <c r="R202" s="30">
        <f t="shared" si="12"/>
        <v>1.5670866468766777E-2</v>
      </c>
      <c r="S202" s="423">
        <v>2101.48999</v>
      </c>
      <c r="T202" s="30">
        <f t="shared" si="13"/>
        <v>1.1898208117832407E-2</v>
      </c>
      <c r="U202" s="2"/>
      <c r="W202" s="34"/>
      <c r="X202" s="23"/>
      <c r="Y202" s="34"/>
      <c r="Z202" s="23"/>
      <c r="AC202" s="244"/>
      <c r="AD202" s="244"/>
    </row>
    <row r="203" spans="10:30">
      <c r="J203" s="412">
        <v>41103</v>
      </c>
      <c r="K203" s="413">
        <v>11.707322</v>
      </c>
      <c r="L203" s="30">
        <f t="shared" si="14"/>
        <v>-3.1746485855167973E-3</v>
      </c>
      <c r="M203" s="414">
        <v>1356.780029</v>
      </c>
      <c r="N203" s="31">
        <f t="shared" si="15"/>
        <v>2.3196817212884067E-3</v>
      </c>
      <c r="P203" s="418">
        <v>42190</v>
      </c>
      <c r="Q203" s="417">
        <v>20.094677000000001</v>
      </c>
      <c r="R203" s="30">
        <f t="shared" ref="R203:R267" si="16">(Q203-Q204)/Q204</f>
        <v>3.3924059308216251E-2</v>
      </c>
      <c r="S203" s="423">
        <v>2076.780029</v>
      </c>
      <c r="T203" s="30">
        <f t="shared" ref="T203:T266" si="17">(S203-S204)/S204</f>
        <v>7.7005899485888807E-5</v>
      </c>
      <c r="U203" s="2"/>
      <c r="W203" s="34"/>
      <c r="X203" s="23"/>
      <c r="Y203" s="34"/>
      <c r="Z203" s="23"/>
      <c r="AA203" s="2"/>
      <c r="AC203" s="244"/>
      <c r="AD203" s="244"/>
    </row>
    <row r="204" spans="10:30">
      <c r="J204" s="412">
        <v>41106</v>
      </c>
      <c r="K204" s="413">
        <v>11.744607</v>
      </c>
      <c r="L204" s="30">
        <f t="shared" si="14"/>
        <v>1.8593399033721997E-2</v>
      </c>
      <c r="M204" s="414">
        <v>1353.6400149999999</v>
      </c>
      <c r="N204" s="31">
        <f t="shared" si="15"/>
        <v>-7.3551729350740313E-3</v>
      </c>
      <c r="P204" s="418">
        <v>42197</v>
      </c>
      <c r="Q204" s="417">
        <v>19.435351000000001</v>
      </c>
      <c r="R204" s="30">
        <f t="shared" si="16"/>
        <v>-1.5944150991086037E-2</v>
      </c>
      <c r="S204" s="423">
        <v>2076.6201169999999</v>
      </c>
      <c r="T204" s="30">
        <f t="shared" si="17"/>
        <v>-2.3520566958535886E-2</v>
      </c>
      <c r="U204" s="2"/>
      <c r="W204" s="34"/>
      <c r="X204" s="23"/>
      <c r="Y204" s="34"/>
      <c r="Z204" s="23"/>
      <c r="AA204" s="2"/>
      <c r="AC204" s="244"/>
      <c r="AD204" s="244"/>
    </row>
    <row r="205" spans="10:30">
      <c r="J205" s="412">
        <v>41107</v>
      </c>
      <c r="K205" s="413">
        <v>11.530220999999999</v>
      </c>
      <c r="L205" s="30">
        <f t="shared" si="14"/>
        <v>-5.2833075585100572E-2</v>
      </c>
      <c r="M205" s="414">
        <v>1363.670044</v>
      </c>
      <c r="N205" s="31">
        <f t="shared" si="15"/>
        <v>-6.6361578749336916E-3</v>
      </c>
      <c r="P205" s="418">
        <v>42204</v>
      </c>
      <c r="Q205" s="417">
        <v>19.750252</v>
      </c>
      <c r="R205" s="30">
        <f t="shared" si="16"/>
        <v>3.3470625319717749E-2</v>
      </c>
      <c r="S205" s="423">
        <v>2126.639893</v>
      </c>
      <c r="T205" s="30">
        <f t="shared" si="17"/>
        <v>2.2595144959163378E-2</v>
      </c>
      <c r="U205" s="2"/>
      <c r="W205" s="34"/>
      <c r="X205" s="23"/>
      <c r="Y205" s="34"/>
      <c r="Z205" s="23"/>
      <c r="AA205" s="2"/>
      <c r="AC205" s="244"/>
      <c r="AD205" s="244"/>
    </row>
    <row r="206" spans="10:30">
      <c r="J206" s="412">
        <v>41108</v>
      </c>
      <c r="K206" s="413">
        <v>12.173378</v>
      </c>
      <c r="L206" s="30">
        <f t="shared" si="14"/>
        <v>-9.8559101624849689E-3</v>
      </c>
      <c r="M206" s="414">
        <v>1372.780029</v>
      </c>
      <c r="N206" s="31">
        <f t="shared" si="15"/>
        <v>-2.7097376502187242E-3</v>
      </c>
      <c r="P206" s="418">
        <v>42211</v>
      </c>
      <c r="Q206" s="417">
        <v>19.110607999999999</v>
      </c>
      <c r="R206" s="30">
        <f t="shared" si="16"/>
        <v>-2.6566453572491946E-2</v>
      </c>
      <c r="S206" s="423">
        <v>2079.6499020000001</v>
      </c>
      <c r="T206" s="30">
        <f t="shared" si="17"/>
        <v>-1.1498110592139175E-2</v>
      </c>
      <c r="U206" s="2"/>
      <c r="W206" s="34"/>
      <c r="X206" s="23"/>
      <c r="Y206" s="34"/>
      <c r="Z206" s="23"/>
      <c r="AA206" s="2"/>
      <c r="AC206" s="244"/>
      <c r="AD206" s="244"/>
    </row>
    <row r="207" spans="10:30">
      <c r="J207" s="412">
        <v>41109</v>
      </c>
      <c r="K207" s="413">
        <v>12.294551999999999</v>
      </c>
      <c r="L207" s="30">
        <f t="shared" si="14"/>
        <v>2.9664289572751135E-2</v>
      </c>
      <c r="M207" s="414">
        <v>1376.51001</v>
      </c>
      <c r="N207" s="31">
        <f t="shared" si="15"/>
        <v>1.0163926184394111E-2</v>
      </c>
      <c r="P207" s="418">
        <v>42218</v>
      </c>
      <c r="Q207" s="417">
        <v>19.632165000000001</v>
      </c>
      <c r="R207" s="30">
        <f t="shared" si="16"/>
        <v>-0.13185373538768708</v>
      </c>
      <c r="S207" s="423">
        <v>2103.8400879999999</v>
      </c>
      <c r="T207" s="30">
        <f t="shared" si="17"/>
        <v>1.2644589178784766E-2</v>
      </c>
      <c r="U207" s="2"/>
      <c r="W207" s="34"/>
      <c r="X207" s="23"/>
      <c r="Y207" s="34"/>
      <c r="Z207" s="23"/>
      <c r="AA207" s="2"/>
      <c r="AC207" s="244"/>
      <c r="AD207" s="244"/>
    </row>
    <row r="208" spans="10:30">
      <c r="J208" s="412">
        <v>41110</v>
      </c>
      <c r="K208" s="413">
        <v>11.94035</v>
      </c>
      <c r="L208" s="30">
        <f t="shared" si="14"/>
        <v>-1.3096992695478723E-2</v>
      </c>
      <c r="M208" s="414">
        <v>1362.660034</v>
      </c>
      <c r="N208" s="31">
        <f t="shared" si="15"/>
        <v>8.9891403461016938E-3</v>
      </c>
      <c r="P208" s="418">
        <v>42225</v>
      </c>
      <c r="Q208" s="417">
        <v>22.613890999999999</v>
      </c>
      <c r="R208" s="30">
        <f t="shared" si="16"/>
        <v>-2.3789367144038401E-2</v>
      </c>
      <c r="S208" s="423">
        <v>2077.570068</v>
      </c>
      <c r="T208" s="30">
        <f t="shared" si="17"/>
        <v>-6.6792749550609902E-3</v>
      </c>
      <c r="U208" s="2"/>
      <c r="W208" s="34"/>
      <c r="X208" s="23"/>
      <c r="Y208" s="34"/>
      <c r="Z208" s="23"/>
      <c r="AA208" s="2"/>
      <c r="AC208" s="244"/>
      <c r="AD208" s="244"/>
    </row>
    <row r="209" spans="10:30">
      <c r="J209" s="412">
        <v>41113</v>
      </c>
      <c r="K209" s="413">
        <v>12.098808</v>
      </c>
      <c r="L209" s="30">
        <f t="shared" si="14"/>
        <v>1.0903374602585995E-2</v>
      </c>
      <c r="M209" s="414">
        <v>1350.5200199999999</v>
      </c>
      <c r="N209" s="31">
        <f t="shared" si="15"/>
        <v>9.1234171916210801E-3</v>
      </c>
      <c r="P209" s="418">
        <v>42232</v>
      </c>
      <c r="Q209" s="417">
        <v>23.164971000000001</v>
      </c>
      <c r="R209" s="30">
        <f t="shared" si="16"/>
        <v>9.1819932485711186E-2</v>
      </c>
      <c r="S209" s="423">
        <v>2091.540039</v>
      </c>
      <c r="T209" s="30">
        <f t="shared" si="17"/>
        <v>6.1216010574796094E-2</v>
      </c>
      <c r="U209" s="2"/>
      <c r="W209" s="34"/>
      <c r="X209" s="23"/>
      <c r="Y209" s="34"/>
      <c r="Z209" s="23"/>
      <c r="AA209" s="2"/>
      <c r="AC209" s="244"/>
      <c r="AD209" s="244"/>
    </row>
    <row r="210" spans="10:30">
      <c r="J210" s="412">
        <v>41114</v>
      </c>
      <c r="K210" s="413">
        <v>11.968313</v>
      </c>
      <c r="L210" s="30">
        <f t="shared" si="14"/>
        <v>-1.9098556461949481E-2</v>
      </c>
      <c r="M210" s="414">
        <v>1338.3100589999999</v>
      </c>
      <c r="N210" s="31">
        <f t="shared" si="15"/>
        <v>3.1396003803792623E-4</v>
      </c>
      <c r="P210" s="418">
        <v>42239</v>
      </c>
      <c r="Q210" s="417">
        <v>21.216842</v>
      </c>
      <c r="R210" s="30">
        <f t="shared" si="16"/>
        <v>-5.5433346607612767E-2</v>
      </c>
      <c r="S210" s="423">
        <v>1970.8900149999999</v>
      </c>
      <c r="T210" s="30">
        <f t="shared" si="17"/>
        <v>-9.040299288139278E-3</v>
      </c>
      <c r="U210" s="2"/>
      <c r="W210" s="34"/>
      <c r="X210" s="23"/>
      <c r="Y210" s="34"/>
      <c r="Z210" s="23"/>
      <c r="AA210" s="2"/>
      <c r="AC210" s="244"/>
      <c r="AD210" s="244"/>
    </row>
    <row r="211" spans="10:30">
      <c r="J211" s="412">
        <v>41115</v>
      </c>
      <c r="K211" s="413">
        <v>12.201340999999999</v>
      </c>
      <c r="L211" s="30">
        <f t="shared" si="14"/>
        <v>-4.5626810609576546E-3</v>
      </c>
      <c r="M211" s="414">
        <v>1337.8900149999999</v>
      </c>
      <c r="N211" s="31">
        <f t="shared" si="15"/>
        <v>-1.627182296919422E-2</v>
      </c>
      <c r="P211" s="418">
        <v>42246</v>
      </c>
      <c r="Q211" s="417">
        <v>22.461984999999999</v>
      </c>
      <c r="R211" s="30">
        <f t="shared" si="16"/>
        <v>4.5057443070920612E-2</v>
      </c>
      <c r="S211" s="423">
        <v>1988.869995</v>
      </c>
      <c r="T211" s="30">
        <f t="shared" si="17"/>
        <v>3.5212013731456278E-2</v>
      </c>
      <c r="U211" s="2"/>
      <c r="W211" s="34"/>
      <c r="X211" s="23"/>
      <c r="Y211" s="34"/>
      <c r="Z211" s="23"/>
      <c r="AA211" s="2"/>
      <c r="AC211" s="244"/>
      <c r="AD211" s="244"/>
    </row>
    <row r="212" spans="10:30">
      <c r="J212" s="412">
        <v>41116</v>
      </c>
      <c r="K212" s="413">
        <v>12.257267000000001</v>
      </c>
      <c r="L212" s="30">
        <f t="shared" si="14"/>
        <v>-2.4480726572129984E-2</v>
      </c>
      <c r="M212" s="414">
        <v>1360.0200199999999</v>
      </c>
      <c r="N212" s="31">
        <f t="shared" si="15"/>
        <v>-1.8723314027703459E-2</v>
      </c>
      <c r="P212" s="418">
        <v>42253</v>
      </c>
      <c r="Q212" s="417">
        <v>21.493541</v>
      </c>
      <c r="R212" s="30">
        <f t="shared" si="16"/>
        <v>-3.9735060578312151E-2</v>
      </c>
      <c r="S212" s="423">
        <v>1921.219971</v>
      </c>
      <c r="T212" s="30">
        <f t="shared" si="17"/>
        <v>-2.0310587187874447E-2</v>
      </c>
      <c r="U212" s="2"/>
      <c r="W212" s="34"/>
      <c r="X212" s="23"/>
      <c r="Y212" s="34"/>
      <c r="Z212" s="23"/>
      <c r="AA212" s="2"/>
      <c r="AC212" s="244"/>
      <c r="AD212" s="244"/>
    </row>
    <row r="213" spans="10:30">
      <c r="J213" s="412">
        <v>41117</v>
      </c>
      <c r="K213" s="413">
        <v>12.564864</v>
      </c>
      <c r="L213" s="30">
        <f t="shared" si="14"/>
        <v>1.1252753309282968E-2</v>
      </c>
      <c r="M213" s="414">
        <v>1385.969971</v>
      </c>
      <c r="N213" s="31">
        <f t="shared" si="15"/>
        <v>4.8359342835773073E-4</v>
      </c>
      <c r="P213" s="418">
        <v>42260</v>
      </c>
      <c r="Q213" s="417">
        <v>22.382928</v>
      </c>
      <c r="R213" s="30">
        <f t="shared" si="16"/>
        <v>-2.7479664361874847E-2</v>
      </c>
      <c r="S213" s="423">
        <v>1961.0500489999999</v>
      </c>
      <c r="T213" s="30">
        <f t="shared" si="17"/>
        <v>1.5423767538142957E-3</v>
      </c>
      <c r="U213" s="2"/>
      <c r="W213" s="34"/>
      <c r="X213" s="23"/>
      <c r="Y213" s="34"/>
      <c r="Z213" s="23"/>
      <c r="AA213" s="2"/>
      <c r="AC213" s="244"/>
      <c r="AD213" s="244"/>
    </row>
    <row r="214" spans="10:30">
      <c r="J214" s="412">
        <v>41120</v>
      </c>
      <c r="K214" s="413">
        <v>12.425048</v>
      </c>
      <c r="L214" s="30">
        <f t="shared" si="14"/>
        <v>-1.5509566714162386E-2</v>
      </c>
      <c r="M214" s="414">
        <v>1385.3000489999999</v>
      </c>
      <c r="N214" s="31">
        <f t="shared" si="15"/>
        <v>4.3355444959250027E-3</v>
      </c>
      <c r="P214" s="418">
        <v>42267</v>
      </c>
      <c r="Q214" s="417">
        <v>23.015383</v>
      </c>
      <c r="R214" s="30">
        <f t="shared" si="16"/>
        <v>-1.3553586743478112E-2</v>
      </c>
      <c r="S214" s="423">
        <v>1958.030029</v>
      </c>
      <c r="T214" s="30">
        <f t="shared" si="17"/>
        <v>1.3819453576201721E-2</v>
      </c>
      <c r="U214" s="2"/>
      <c r="W214" s="34"/>
      <c r="X214" s="23"/>
      <c r="Y214" s="34"/>
      <c r="Z214" s="23"/>
      <c r="AA214" s="2"/>
      <c r="AC214" s="244"/>
      <c r="AD214" s="244"/>
    </row>
    <row r="215" spans="10:30">
      <c r="J215" s="412">
        <v>41121</v>
      </c>
      <c r="K215" s="413">
        <v>12.620791000000001</v>
      </c>
      <c r="L215" s="30">
        <f t="shared" si="14"/>
        <v>1.120232994617806E-2</v>
      </c>
      <c r="M215" s="414">
        <v>1379.3199460000001</v>
      </c>
      <c r="N215" s="31">
        <f t="shared" si="15"/>
        <v>2.9084141560177736E-3</v>
      </c>
      <c r="P215" s="418">
        <v>42274</v>
      </c>
      <c r="Q215" s="417">
        <v>23.331610000000001</v>
      </c>
      <c r="R215" s="30">
        <f t="shared" si="16"/>
        <v>-4.7983813332505287E-2</v>
      </c>
      <c r="S215" s="423">
        <v>1931.339966</v>
      </c>
      <c r="T215" s="30">
        <f t="shared" si="17"/>
        <v>-1.0259521130848671E-2</v>
      </c>
      <c r="U215" s="2"/>
      <c r="W215" s="34"/>
      <c r="X215" s="23"/>
      <c r="Y215" s="34"/>
      <c r="Z215" s="23"/>
      <c r="AA215" s="2"/>
      <c r="AC215" s="244"/>
      <c r="AD215" s="244"/>
    </row>
    <row r="216" spans="10:30">
      <c r="J216" s="412">
        <v>41122</v>
      </c>
      <c r="K216" s="413">
        <v>12.480975000000001</v>
      </c>
      <c r="L216" s="30">
        <f t="shared" si="14"/>
        <v>-3.7201917688811058E-3</v>
      </c>
      <c r="M216" s="414">
        <v>1375.3199460000001</v>
      </c>
      <c r="N216" s="31">
        <f t="shared" si="15"/>
        <v>7.560400000000053E-3</v>
      </c>
      <c r="P216" s="418">
        <v>42281</v>
      </c>
      <c r="Q216" s="417">
        <v>24.507577000000001</v>
      </c>
      <c r="R216" s="30">
        <f t="shared" si="16"/>
        <v>-4.8714993928020152E-2</v>
      </c>
      <c r="S216" s="423">
        <v>1951.3599850000001</v>
      </c>
      <c r="T216" s="30">
        <f t="shared" si="17"/>
        <v>-3.1530271889307022E-2</v>
      </c>
      <c r="U216" s="2"/>
      <c r="W216" s="34"/>
      <c r="X216" s="23"/>
      <c r="Y216" s="34"/>
      <c r="Z216" s="23"/>
      <c r="AA216" s="2"/>
      <c r="AC216" s="244"/>
      <c r="AD216" s="244"/>
    </row>
    <row r="217" spans="10:30">
      <c r="J217" s="412">
        <v>41123</v>
      </c>
      <c r="K217" s="413">
        <v>12.52758</v>
      </c>
      <c r="L217" s="30">
        <f t="shared" si="14"/>
        <v>-2.0408220714556707E-2</v>
      </c>
      <c r="M217" s="414">
        <v>1365</v>
      </c>
      <c r="N217" s="31">
        <f t="shared" si="15"/>
        <v>-1.8684526982110081E-2</v>
      </c>
      <c r="P217" s="418">
        <v>42288</v>
      </c>
      <c r="Q217" s="417">
        <v>25.762602000000001</v>
      </c>
      <c r="R217" s="30">
        <f t="shared" si="16"/>
        <v>-6.4249866253186322E-2</v>
      </c>
      <c r="S217" s="423">
        <v>2014.8900149999999</v>
      </c>
      <c r="T217" s="30">
        <f t="shared" si="17"/>
        <v>-8.9616253593875796E-3</v>
      </c>
      <c r="U217" s="2"/>
      <c r="W217" s="34"/>
      <c r="X217" s="23"/>
      <c r="Y217" s="34"/>
      <c r="Z217" s="23"/>
      <c r="AA217" s="2"/>
      <c r="AC217" s="244"/>
      <c r="AD217" s="244"/>
    </row>
    <row r="218" spans="10:30">
      <c r="J218" s="412">
        <v>41124</v>
      </c>
      <c r="K218" s="413">
        <v>12.788572</v>
      </c>
      <c r="L218" s="30">
        <f t="shared" si="14"/>
        <v>-2.0699471715959844E-2</v>
      </c>
      <c r="M218" s="414">
        <v>1390.98999</v>
      </c>
      <c r="N218" s="31">
        <f t="shared" si="15"/>
        <v>-2.3238562120146307E-3</v>
      </c>
      <c r="P218" s="418">
        <v>42295</v>
      </c>
      <c r="Q218" s="417">
        <v>27.531497000000002</v>
      </c>
      <c r="R218" s="30">
        <f t="shared" si="16"/>
        <v>-2.5533388815564953E-2</v>
      </c>
      <c r="S218" s="423">
        <v>2033.1099850000001</v>
      </c>
      <c r="T218" s="30">
        <f t="shared" si="17"/>
        <v>-2.0258737433610258E-2</v>
      </c>
      <c r="U218" s="2"/>
      <c r="W218" s="34"/>
      <c r="X218" s="23"/>
      <c r="Y218" s="34"/>
      <c r="Z218" s="23"/>
      <c r="AA218" s="2"/>
      <c r="AC218" s="244"/>
      <c r="AD218" s="244"/>
    </row>
    <row r="219" spans="10:30">
      <c r="J219" s="412">
        <v>41127</v>
      </c>
      <c r="K219" s="413">
        <v>13.058884000000001</v>
      </c>
      <c r="L219" s="30">
        <f t="shared" si="14"/>
        <v>-9.8939457270884254E-3</v>
      </c>
      <c r="M219" s="414">
        <v>1394.2299800000001</v>
      </c>
      <c r="N219" s="31">
        <f t="shared" si="15"/>
        <v>-5.0808121610870895E-3</v>
      </c>
      <c r="P219" s="418">
        <v>42302</v>
      </c>
      <c r="Q219" s="417">
        <v>28.252889</v>
      </c>
      <c r="R219" s="30">
        <f t="shared" si="16"/>
        <v>7.7546369450942742E-3</v>
      </c>
      <c r="S219" s="423">
        <v>2075.1499020000001</v>
      </c>
      <c r="T219" s="30">
        <f t="shared" si="17"/>
        <v>-2.0247599181241098E-3</v>
      </c>
      <c r="U219" s="2"/>
      <c r="W219" s="34"/>
      <c r="X219" s="23"/>
      <c r="Y219" s="34"/>
      <c r="Z219" s="23"/>
      <c r="AA219" s="2"/>
      <c r="AC219" s="244"/>
      <c r="AD219" s="244"/>
    </row>
    <row r="220" spans="10:30">
      <c r="J220" s="412">
        <v>41128</v>
      </c>
      <c r="K220" s="413">
        <v>13.189379000000001</v>
      </c>
      <c r="L220" s="30">
        <f t="shared" si="14"/>
        <v>-5.6219309665567563E-3</v>
      </c>
      <c r="M220" s="414">
        <v>1401.349976</v>
      </c>
      <c r="N220" s="31">
        <f t="shared" si="15"/>
        <v>-6.2044117042462038E-4</v>
      </c>
      <c r="P220" s="418">
        <v>42309</v>
      </c>
      <c r="Q220" s="417">
        <v>28.035484</v>
      </c>
      <c r="R220" s="30">
        <f t="shared" si="16"/>
        <v>-0.10079233469410116</v>
      </c>
      <c r="S220" s="423">
        <v>2079.360107</v>
      </c>
      <c r="T220" s="30">
        <f t="shared" si="17"/>
        <v>-9.45114541878154E-3</v>
      </c>
      <c r="U220" s="2"/>
      <c r="W220" s="34"/>
      <c r="X220" s="23"/>
      <c r="Y220" s="34"/>
      <c r="Z220" s="23"/>
      <c r="AA220" s="2"/>
      <c r="AC220" s="244"/>
      <c r="AD220" s="244"/>
    </row>
    <row r="221" spans="10:30">
      <c r="J221" s="412">
        <v>41129</v>
      </c>
      <c r="K221" s="413">
        <v>13.263947999999999</v>
      </c>
      <c r="L221" s="30">
        <f t="shared" si="14"/>
        <v>-3.2630893998714369E-2</v>
      </c>
      <c r="M221" s="414">
        <v>1402.219971</v>
      </c>
      <c r="N221" s="31">
        <f t="shared" si="15"/>
        <v>-4.1351438532773941E-4</v>
      </c>
      <c r="P221" s="418">
        <v>42316</v>
      </c>
      <c r="Q221" s="417">
        <v>31.177986000000001</v>
      </c>
      <c r="R221" s="30">
        <f t="shared" si="16"/>
        <v>5.8724821104526467E-2</v>
      </c>
      <c r="S221" s="423">
        <v>2099.1999510000001</v>
      </c>
      <c r="T221" s="30">
        <f t="shared" si="17"/>
        <v>3.7646270232815734E-2</v>
      </c>
      <c r="U221" s="2"/>
      <c r="W221" s="34"/>
      <c r="X221" s="23"/>
      <c r="Y221" s="34"/>
      <c r="Z221" s="23"/>
      <c r="AA221" s="2"/>
      <c r="AC221" s="244"/>
      <c r="AD221" s="244"/>
    </row>
    <row r="222" spans="10:30">
      <c r="J222" s="412">
        <v>41130</v>
      </c>
      <c r="K222" s="413">
        <v>13.711361999999999</v>
      </c>
      <c r="L222" s="30">
        <f t="shared" si="14"/>
        <v>6.155947339315777E-3</v>
      </c>
      <c r="M222" s="414">
        <v>1402.8000489999999</v>
      </c>
      <c r="N222" s="31">
        <f t="shared" si="15"/>
        <v>-2.1836627930878292E-3</v>
      </c>
      <c r="P222" s="418">
        <v>42323</v>
      </c>
      <c r="Q222" s="417">
        <v>29.448620999999999</v>
      </c>
      <c r="R222" s="30">
        <f t="shared" si="16"/>
        <v>-5.4244401434725413E-2</v>
      </c>
      <c r="S222" s="423">
        <v>2023.040039</v>
      </c>
      <c r="T222" s="30">
        <f t="shared" si="17"/>
        <v>-3.1653664119715423E-2</v>
      </c>
      <c r="U222" s="2"/>
      <c r="W222" s="34"/>
      <c r="X222" s="23"/>
      <c r="Y222" s="34"/>
      <c r="Z222" s="23"/>
      <c r="AA222" s="2"/>
      <c r="AC222" s="244"/>
      <c r="AD222" s="244"/>
    </row>
    <row r="223" spans="10:30">
      <c r="J223" s="412">
        <v>41131</v>
      </c>
      <c r="K223" s="413">
        <v>13.627471999999999</v>
      </c>
      <c r="L223" s="30">
        <f t="shared" si="14"/>
        <v>-1.2829154512783584E-2</v>
      </c>
      <c r="M223" s="414">
        <v>1405.869995</v>
      </c>
      <c r="N223" s="31">
        <f t="shared" si="15"/>
        <v>1.2534701831067496E-3</v>
      </c>
      <c r="P223" s="418">
        <v>42330</v>
      </c>
      <c r="Q223" s="417">
        <v>31.137664999999998</v>
      </c>
      <c r="R223" s="30">
        <f t="shared" si="16"/>
        <v>0</v>
      </c>
      <c r="S223" s="423">
        <v>2089.169922</v>
      </c>
      <c r="T223" s="30">
        <f t="shared" si="17"/>
        <v>-4.4982558423651913E-4</v>
      </c>
      <c r="U223" s="2"/>
      <c r="W223" s="34"/>
      <c r="X223" s="23"/>
      <c r="Y223" s="34"/>
      <c r="Z223" s="23"/>
      <c r="AA223" s="2"/>
      <c r="AC223" s="244"/>
      <c r="AD223" s="244"/>
    </row>
    <row r="224" spans="10:30">
      <c r="J224" s="412">
        <v>41134</v>
      </c>
      <c r="K224" s="413">
        <v>13.804573</v>
      </c>
      <c r="L224" s="30">
        <f t="shared" si="14"/>
        <v>1.5078779682413545E-2</v>
      </c>
      <c r="M224" s="414">
        <v>1404.1099850000001</v>
      </c>
      <c r="N224" s="31">
        <f t="shared" si="15"/>
        <v>1.2816236783839388E-4</v>
      </c>
      <c r="P224" s="418">
        <v>42337</v>
      </c>
      <c r="Q224" s="417">
        <v>31.137664999999998</v>
      </c>
      <c r="R224" s="30">
        <f t="shared" si="16"/>
        <v>-6.9925935581597029E-2</v>
      </c>
      <c r="S224" s="423">
        <v>2090.110107</v>
      </c>
      <c r="T224" s="30">
        <f t="shared" si="17"/>
        <v>-7.5529071925680737E-4</v>
      </c>
      <c r="U224" s="2"/>
      <c r="W224" s="34"/>
      <c r="X224" s="23"/>
      <c r="Y224" s="34"/>
      <c r="Z224" s="23"/>
      <c r="AA224" s="2"/>
      <c r="AC224" s="244"/>
      <c r="AD224" s="244"/>
    </row>
    <row r="225" spans="10:30">
      <c r="J225" s="412">
        <v>41135</v>
      </c>
      <c r="K225" s="413">
        <v>13.599508999999999</v>
      </c>
      <c r="L225" s="30">
        <f t="shared" si="14"/>
        <v>7.5967387065072438E-3</v>
      </c>
      <c r="M225" s="414">
        <v>1403.9300539999999</v>
      </c>
      <c r="N225" s="31">
        <f t="shared" si="15"/>
        <v>-1.1383428080426205E-3</v>
      </c>
      <c r="P225" s="418">
        <v>42344</v>
      </c>
      <c r="Q225" s="417">
        <v>33.478693999999997</v>
      </c>
      <c r="R225" s="30">
        <f t="shared" si="16"/>
        <v>3.8781123381976153E-2</v>
      </c>
      <c r="S225" s="423">
        <v>2091.6899410000001</v>
      </c>
      <c r="T225" s="30">
        <f t="shared" si="17"/>
        <v>3.9416184000497421E-2</v>
      </c>
      <c r="U225" s="2"/>
      <c r="W225" s="34"/>
      <c r="X225" s="23"/>
      <c r="Y225" s="34"/>
      <c r="Z225" s="23"/>
      <c r="AA225" s="2"/>
      <c r="AC225" s="244"/>
      <c r="AD225" s="244"/>
    </row>
    <row r="226" spans="10:30">
      <c r="J226" s="412">
        <v>41136</v>
      </c>
      <c r="K226" s="413">
        <v>13.496976</v>
      </c>
      <c r="L226" s="30">
        <f t="shared" si="14"/>
        <v>-2.0297736525894231E-2</v>
      </c>
      <c r="M226" s="414">
        <v>1405.530029</v>
      </c>
      <c r="N226" s="31">
        <f t="shared" si="15"/>
        <v>-7.0504489049851033E-3</v>
      </c>
      <c r="P226" s="418">
        <v>42351</v>
      </c>
      <c r="Q226" s="417">
        <v>32.228824000000003</v>
      </c>
      <c r="R226" s="30">
        <f t="shared" si="16"/>
        <v>1.088990539883219E-2</v>
      </c>
      <c r="S226" s="423">
        <v>2012.369995</v>
      </c>
      <c r="T226" s="30">
        <f t="shared" si="17"/>
        <v>3.4005364280989196E-3</v>
      </c>
      <c r="U226" s="2"/>
      <c r="W226" s="34"/>
      <c r="X226" s="23"/>
      <c r="Y226" s="34"/>
      <c r="Z226" s="23"/>
      <c r="AA226" s="2"/>
      <c r="AC226" s="244"/>
      <c r="AD226" s="244"/>
    </row>
    <row r="227" spans="10:30">
      <c r="J227" s="412">
        <v>41137</v>
      </c>
      <c r="K227" s="413">
        <v>13.77661</v>
      </c>
      <c r="L227" s="30">
        <f t="shared" si="14"/>
        <v>8.873756127139058E-3</v>
      </c>
      <c r="M227" s="414">
        <v>1415.51001</v>
      </c>
      <c r="N227" s="31">
        <f t="shared" si="15"/>
        <v>-1.8686353701038161E-3</v>
      </c>
      <c r="P227" s="418">
        <v>42358</v>
      </c>
      <c r="Q227" s="417">
        <v>31.881636</v>
      </c>
      <c r="R227" s="30">
        <f t="shared" si="16"/>
        <v>-3.1052122192402491E-2</v>
      </c>
      <c r="S227" s="423">
        <v>2005.5500489999999</v>
      </c>
      <c r="T227" s="30">
        <f t="shared" si="17"/>
        <v>-2.68996653399564E-2</v>
      </c>
      <c r="U227" s="2"/>
      <c r="W227" s="34"/>
      <c r="X227" s="23"/>
      <c r="Y227" s="34"/>
      <c r="Z227" s="23"/>
      <c r="AA227" s="2"/>
      <c r="AC227" s="244"/>
      <c r="AD227" s="244"/>
    </row>
    <row r="228" spans="10:30">
      <c r="J228" s="412">
        <v>41138</v>
      </c>
      <c r="K228" s="413">
        <v>13.655435000000001</v>
      </c>
      <c r="L228" s="30">
        <f t="shared" si="14"/>
        <v>0</v>
      </c>
      <c r="M228" s="414">
        <v>1418.160034</v>
      </c>
      <c r="N228" s="31">
        <f t="shared" si="15"/>
        <v>2.1175068501574496E-5</v>
      </c>
      <c r="P228" s="418">
        <v>42365</v>
      </c>
      <c r="Q228" s="417">
        <v>32.903354999999998</v>
      </c>
      <c r="R228" s="30">
        <f t="shared" si="16"/>
        <v>6.371332609309068E-3</v>
      </c>
      <c r="S228" s="423">
        <v>2060.98999</v>
      </c>
      <c r="T228" s="30">
        <f t="shared" si="17"/>
        <v>8.3417563588772514E-3</v>
      </c>
      <c r="U228" s="2"/>
      <c r="W228" s="34"/>
      <c r="X228" s="23"/>
      <c r="Y228" s="34"/>
      <c r="Z228" s="23"/>
      <c r="AA228" s="2"/>
      <c r="AC228" s="244"/>
      <c r="AD228" s="244"/>
    </row>
    <row r="229" spans="10:30">
      <c r="J229" s="412">
        <v>41141</v>
      </c>
      <c r="K229" s="413">
        <v>13.655435000000001</v>
      </c>
      <c r="L229" s="30">
        <f t="shared" si="14"/>
        <v>2.7378902420667037E-3</v>
      </c>
      <c r="M229" s="414">
        <v>1418.130005</v>
      </c>
      <c r="N229" s="31">
        <f t="shared" si="15"/>
        <v>3.5098118737082579E-3</v>
      </c>
      <c r="P229" s="418">
        <v>42372</v>
      </c>
      <c r="Q229" s="417">
        <v>32.695044000000003</v>
      </c>
      <c r="R229" s="30">
        <f t="shared" si="16"/>
        <v>0.11238612985140219</v>
      </c>
      <c r="S229" s="423">
        <v>2043.9399410000001</v>
      </c>
      <c r="T229" s="30">
        <f t="shared" si="17"/>
        <v>6.3427683314306885E-2</v>
      </c>
      <c r="U229" s="2"/>
      <c r="W229" s="34"/>
      <c r="X229" s="23"/>
      <c r="Y229" s="34"/>
      <c r="Z229" s="23"/>
      <c r="AA229" s="2"/>
      <c r="AC229" s="244"/>
      <c r="AD229" s="244"/>
    </row>
    <row r="230" spans="10:30">
      <c r="J230" s="412">
        <v>41142</v>
      </c>
      <c r="K230" s="413">
        <v>13.61815</v>
      </c>
      <c r="L230" s="30">
        <f t="shared" si="14"/>
        <v>-2.0492280806096714E-3</v>
      </c>
      <c r="M230" s="414">
        <v>1413.170044</v>
      </c>
      <c r="N230" s="31">
        <f t="shared" si="15"/>
        <v>-2.2635179751083533E-4</v>
      </c>
      <c r="P230" s="418">
        <v>42379</v>
      </c>
      <c r="Q230" s="417">
        <v>29.391812000000002</v>
      </c>
      <c r="R230" s="30">
        <f t="shared" si="16"/>
        <v>9.2954573859335712E-2</v>
      </c>
      <c r="S230" s="423">
        <v>1922.030029</v>
      </c>
      <c r="T230" s="30">
        <f t="shared" si="17"/>
        <v>2.2176997641790468E-2</v>
      </c>
      <c r="U230" s="2"/>
      <c r="W230" s="34"/>
      <c r="X230" s="23"/>
      <c r="Y230" s="34"/>
      <c r="Z230" s="23"/>
      <c r="AA230" s="2"/>
      <c r="AC230" s="244"/>
      <c r="AD230" s="244"/>
    </row>
    <row r="231" spans="10:30">
      <c r="J231" s="412">
        <v>41143</v>
      </c>
      <c r="K231" s="413">
        <v>13.646114000000001</v>
      </c>
      <c r="L231" s="30">
        <f t="shared" si="14"/>
        <v>2.3060732834037499E-2</v>
      </c>
      <c r="M231" s="414">
        <v>1413.48999</v>
      </c>
      <c r="N231" s="31">
        <f t="shared" si="15"/>
        <v>8.1379338968311996E-3</v>
      </c>
      <c r="P231" s="418">
        <v>42386</v>
      </c>
      <c r="Q231" s="417">
        <v>26.892071000000001</v>
      </c>
      <c r="R231" s="30">
        <f t="shared" si="16"/>
        <v>-4.7100204455499853E-2</v>
      </c>
      <c r="S231" s="423">
        <v>1880.329956</v>
      </c>
      <c r="T231" s="30">
        <f t="shared" si="17"/>
        <v>-1.3933645007914684E-2</v>
      </c>
      <c r="U231" s="2"/>
      <c r="W231" s="34"/>
      <c r="X231" s="23"/>
      <c r="Y231" s="34"/>
      <c r="Z231" s="23"/>
      <c r="AA231" s="2"/>
      <c r="AC231" s="244"/>
      <c r="AD231" s="244"/>
    </row>
    <row r="232" spans="10:30">
      <c r="J232" s="412">
        <v>41144</v>
      </c>
      <c r="K232" s="413">
        <v>13.338518000000001</v>
      </c>
      <c r="L232" s="30">
        <f t="shared" si="14"/>
        <v>-1.9862986017166705E-2</v>
      </c>
      <c r="M232" s="414">
        <v>1402.079956</v>
      </c>
      <c r="N232" s="31">
        <f t="shared" si="15"/>
        <v>-6.4133346806695846E-3</v>
      </c>
      <c r="P232" s="418">
        <v>42393</v>
      </c>
      <c r="Q232" s="417">
        <v>28.221299999999999</v>
      </c>
      <c r="R232" s="30">
        <f t="shared" si="16"/>
        <v>-2.8678712492058476E-2</v>
      </c>
      <c r="S232" s="423">
        <v>1906.900024</v>
      </c>
      <c r="T232" s="30">
        <f t="shared" si="17"/>
        <v>-1.71834237887242E-2</v>
      </c>
      <c r="U232" s="2"/>
      <c r="W232" s="34"/>
      <c r="X232" s="23"/>
      <c r="Y232" s="34"/>
      <c r="Z232" s="23"/>
      <c r="AA232" s="2"/>
      <c r="AC232" s="244"/>
      <c r="AD232" s="244"/>
    </row>
    <row r="233" spans="10:30">
      <c r="J233" s="412">
        <v>41145</v>
      </c>
      <c r="K233" s="413">
        <v>13.608829999999999</v>
      </c>
      <c r="L233" s="30">
        <f t="shared" si="14"/>
        <v>1.7421609560308915E-2</v>
      </c>
      <c r="M233" s="414">
        <v>1411.130005</v>
      </c>
      <c r="N233" s="31">
        <f t="shared" si="15"/>
        <v>4.8925443752722891E-4</v>
      </c>
      <c r="P233" s="418">
        <v>42400</v>
      </c>
      <c r="Q233" s="417">
        <v>29.054546999999999</v>
      </c>
      <c r="R233" s="30">
        <f t="shared" si="16"/>
        <v>0.10821039367656846</v>
      </c>
      <c r="S233" s="423">
        <v>1940.23999</v>
      </c>
      <c r="T233" s="30">
        <f t="shared" si="17"/>
        <v>3.201507376466662E-2</v>
      </c>
      <c r="U233" s="2"/>
      <c r="W233" s="34"/>
      <c r="X233" s="23"/>
      <c r="Y233" s="34"/>
      <c r="Z233" s="23"/>
      <c r="AA233" s="2"/>
      <c r="AC233" s="244"/>
      <c r="AD233" s="244"/>
    </row>
    <row r="234" spans="10:30">
      <c r="J234" s="412">
        <v>41148</v>
      </c>
      <c r="K234" s="413">
        <v>13.375802</v>
      </c>
      <c r="L234" s="30">
        <f t="shared" si="14"/>
        <v>4.1987631265308798E-3</v>
      </c>
      <c r="M234" s="414">
        <v>1410.4399410000001</v>
      </c>
      <c r="N234" s="31">
        <f t="shared" si="15"/>
        <v>8.0883556401561258E-4</v>
      </c>
      <c r="P234" s="418">
        <v>42407</v>
      </c>
      <c r="Q234" s="417">
        <v>26.217537</v>
      </c>
      <c r="R234" s="30">
        <f t="shared" si="16"/>
        <v>2.7205600371489943E-2</v>
      </c>
      <c r="S234" s="423">
        <v>1880.0500489999999</v>
      </c>
      <c r="T234" s="30">
        <f t="shared" si="17"/>
        <v>8.1886441095084962E-3</v>
      </c>
      <c r="U234" s="2"/>
      <c r="W234" s="34"/>
      <c r="X234" s="23"/>
      <c r="Y234" s="34"/>
      <c r="Z234" s="23"/>
      <c r="AA234" s="2"/>
      <c r="AC234" s="244"/>
      <c r="AD234" s="244"/>
    </row>
    <row r="235" spans="10:30">
      <c r="J235" s="412">
        <v>41149</v>
      </c>
      <c r="K235" s="413">
        <v>13.319875</v>
      </c>
      <c r="L235" s="30">
        <f t="shared" si="14"/>
        <v>-2.0949460129797604E-3</v>
      </c>
      <c r="M235" s="414">
        <v>1409.3000489999999</v>
      </c>
      <c r="N235" s="31">
        <f t="shared" si="15"/>
        <v>-8.4363661453569754E-4</v>
      </c>
      <c r="P235" s="418">
        <v>42414</v>
      </c>
      <c r="Q235" s="417">
        <v>25.523164000000001</v>
      </c>
      <c r="R235" s="30">
        <f t="shared" si="16"/>
        <v>-0.15473065463194716</v>
      </c>
      <c r="S235" s="423">
        <v>1864.780029</v>
      </c>
      <c r="T235" s="30">
        <f t="shared" si="17"/>
        <v>-2.7636120513589935E-2</v>
      </c>
      <c r="U235" s="2"/>
      <c r="W235" s="34"/>
      <c r="X235" s="23"/>
      <c r="Y235" s="34"/>
      <c r="Z235" s="23"/>
      <c r="AA235" s="2"/>
      <c r="AC235" s="244"/>
      <c r="AD235" s="244"/>
    </row>
    <row r="236" spans="10:30">
      <c r="J236" s="412">
        <v>41150</v>
      </c>
      <c r="K236" s="413">
        <v>13.347837999999999</v>
      </c>
      <c r="L236" s="30">
        <f t="shared" si="14"/>
        <v>1.9217071741901823E-2</v>
      </c>
      <c r="M236" s="414">
        <v>1410.48999</v>
      </c>
      <c r="N236" s="31">
        <f t="shared" si="15"/>
        <v>7.8672150779891571E-3</v>
      </c>
      <c r="P236" s="418">
        <v>42421</v>
      </c>
      <c r="Q236" s="417">
        <v>30.195302999999999</v>
      </c>
      <c r="R236" s="30">
        <f t="shared" si="16"/>
        <v>-3.9141381918168329E-2</v>
      </c>
      <c r="S236" s="423">
        <v>1917.780029</v>
      </c>
      <c r="T236" s="30">
        <f t="shared" si="17"/>
        <v>-1.5538625414443822E-2</v>
      </c>
      <c r="U236" s="2"/>
      <c r="W236" s="34"/>
      <c r="X236" s="23"/>
      <c r="Y236" s="34"/>
      <c r="Z236" s="23"/>
      <c r="AA236" s="2"/>
      <c r="AC236" s="244"/>
      <c r="AD236" s="244"/>
    </row>
    <row r="237" spans="10:30">
      <c r="J237" s="412">
        <v>41151</v>
      </c>
      <c r="K237" s="413">
        <v>13.096168</v>
      </c>
      <c r="L237" s="30">
        <f t="shared" si="14"/>
        <v>1.4254989819939814E-3</v>
      </c>
      <c r="M237" s="414">
        <v>1399.4799800000001</v>
      </c>
      <c r="N237" s="31">
        <f t="shared" si="15"/>
        <v>-5.0476874561690178E-3</v>
      </c>
      <c r="P237" s="418">
        <v>42428</v>
      </c>
      <c r="Q237" s="417">
        <v>31.425333999999999</v>
      </c>
      <c r="R237" s="30">
        <f t="shared" si="16"/>
        <v>-3.0261087045246691E-2</v>
      </c>
      <c r="S237" s="423">
        <v>1948.0500489999999</v>
      </c>
      <c r="T237" s="30">
        <f t="shared" si="17"/>
        <v>-2.5970100480352948E-2</v>
      </c>
      <c r="U237" s="2"/>
      <c r="W237" s="34"/>
      <c r="X237" s="23"/>
      <c r="Y237" s="34"/>
      <c r="Z237" s="23"/>
      <c r="AA237" s="2"/>
      <c r="AC237" s="244"/>
      <c r="AD237" s="244"/>
    </row>
    <row r="238" spans="10:30">
      <c r="J238" s="412">
        <v>41152</v>
      </c>
      <c r="K238" s="413">
        <v>13.077526000000001</v>
      </c>
      <c r="L238" s="30">
        <f t="shared" si="14"/>
        <v>5.6475928069138343E-2</v>
      </c>
      <c r="M238" s="414">
        <v>1406.579956</v>
      </c>
      <c r="N238" s="31">
        <f t="shared" si="15"/>
        <v>1.1673203616324184E-3</v>
      </c>
      <c r="P238" s="418">
        <v>42435</v>
      </c>
      <c r="Q238" s="417">
        <v>32.405974000000001</v>
      </c>
      <c r="R238" s="30">
        <f t="shared" si="16"/>
        <v>1.0242028072318554E-2</v>
      </c>
      <c r="S238" s="423">
        <v>1999.98999</v>
      </c>
      <c r="T238" s="30">
        <f t="shared" si="17"/>
        <v>-1.0978172994482348E-2</v>
      </c>
      <c r="U238" s="2"/>
      <c r="W238" s="34"/>
      <c r="X238" s="23"/>
      <c r="Y238" s="34"/>
      <c r="Z238" s="23"/>
      <c r="AA238" s="2"/>
      <c r="AC238" s="244"/>
      <c r="AD238" s="244"/>
    </row>
    <row r="239" spans="10:30">
      <c r="J239" s="412">
        <v>41156</v>
      </c>
      <c r="K239" s="413">
        <v>12.378442</v>
      </c>
      <c r="L239" s="30">
        <f t="shared" si="14"/>
        <v>-3.0030460560223882E-3</v>
      </c>
      <c r="M239" s="414">
        <v>1404.9399410000001</v>
      </c>
      <c r="N239" s="31">
        <f t="shared" si="15"/>
        <v>1.0688024162481776E-3</v>
      </c>
      <c r="P239" s="418">
        <v>42442</v>
      </c>
      <c r="Q239" s="417">
        <v>32.077435999999999</v>
      </c>
      <c r="R239" s="30">
        <f t="shared" si="16"/>
        <v>-4.7027514615764723E-2</v>
      </c>
      <c r="S239" s="423">
        <v>2022.1899410000001</v>
      </c>
      <c r="T239" s="30">
        <f t="shared" si="17"/>
        <v>-1.3363779875694063E-2</v>
      </c>
      <c r="U239" s="2"/>
      <c r="W239" s="34"/>
      <c r="X239" s="23"/>
      <c r="Y239" s="34"/>
      <c r="Z239" s="23"/>
      <c r="AA239" s="2"/>
      <c r="AC239" s="244"/>
      <c r="AD239" s="244"/>
    </row>
    <row r="240" spans="10:30">
      <c r="J240" s="412">
        <v>41157</v>
      </c>
      <c r="K240" s="413">
        <v>12.415727</v>
      </c>
      <c r="L240" s="30">
        <f t="shared" si="14"/>
        <v>-2.9861558450407208E-2</v>
      </c>
      <c r="M240" s="414">
        <v>1403.4399410000001</v>
      </c>
      <c r="N240" s="31">
        <f t="shared" si="15"/>
        <v>-2.0026292559374485E-2</v>
      </c>
      <c r="P240" s="418">
        <v>42449</v>
      </c>
      <c r="Q240" s="417">
        <v>33.660401</v>
      </c>
      <c r="R240" s="30">
        <f t="shared" si="16"/>
        <v>-1.9431484450599962E-2</v>
      </c>
      <c r="S240" s="423">
        <v>2049.580078</v>
      </c>
      <c r="T240" s="30">
        <f t="shared" si="17"/>
        <v>6.6996755283951015E-3</v>
      </c>
      <c r="U240" s="2"/>
      <c r="W240" s="34"/>
      <c r="X240" s="23"/>
      <c r="Y240" s="34"/>
      <c r="Z240" s="23"/>
      <c r="AA240" s="2"/>
      <c r="AC240" s="244"/>
      <c r="AD240" s="244"/>
    </row>
    <row r="241" spans="10:30">
      <c r="J241" s="412">
        <v>41158</v>
      </c>
      <c r="K241" s="413">
        <v>12.797891999999999</v>
      </c>
      <c r="L241" s="30">
        <f t="shared" si="14"/>
        <v>2.4626880309872541E-2</v>
      </c>
      <c r="M241" s="414">
        <v>1432.119995</v>
      </c>
      <c r="N241" s="31">
        <f t="shared" si="15"/>
        <v>-4.033638048375341E-3</v>
      </c>
      <c r="P241" s="418">
        <v>42456</v>
      </c>
      <c r="Q241" s="417">
        <v>34.327433999999997</v>
      </c>
      <c r="R241" s="30">
        <f t="shared" si="16"/>
        <v>-4.6196466484192157E-2</v>
      </c>
      <c r="S241" s="423">
        <v>2035.9399410000001</v>
      </c>
      <c r="T241" s="30">
        <f t="shared" si="17"/>
        <v>-1.7773274290843681E-2</v>
      </c>
      <c r="U241" s="2"/>
      <c r="W241" s="34"/>
      <c r="X241" s="23"/>
      <c r="Y241" s="34"/>
      <c r="Z241" s="23"/>
      <c r="AA241" s="2"/>
      <c r="AC241" s="244"/>
      <c r="AD241" s="244"/>
    </row>
    <row r="242" spans="10:30">
      <c r="J242" s="412">
        <v>41159</v>
      </c>
      <c r="K242" s="413">
        <v>12.490295</v>
      </c>
      <c r="L242" s="30">
        <f t="shared" si="14"/>
        <v>9.0361129453932886E-3</v>
      </c>
      <c r="M242" s="414">
        <v>1437.920044</v>
      </c>
      <c r="N242" s="31">
        <f t="shared" si="15"/>
        <v>6.185859624498101E-3</v>
      </c>
      <c r="P242" s="418">
        <v>42463</v>
      </c>
      <c r="Q242" s="417">
        <v>35.990046999999997</v>
      </c>
      <c r="R242" s="30">
        <f t="shared" si="16"/>
        <v>1.3740946233408026E-2</v>
      </c>
      <c r="S242" s="423">
        <v>2072.780029</v>
      </c>
      <c r="T242" s="30">
        <f t="shared" si="17"/>
        <v>1.2297349724133834E-2</v>
      </c>
      <c r="U242" s="2"/>
      <c r="W242" s="34"/>
      <c r="X242" s="23"/>
      <c r="Y242" s="34"/>
      <c r="Z242" s="23"/>
      <c r="AA242" s="2"/>
      <c r="AC242" s="244"/>
      <c r="AD242" s="244"/>
    </row>
    <row r="243" spans="10:30">
      <c r="J243" s="412">
        <v>41162</v>
      </c>
      <c r="K243" s="413">
        <v>12.378442</v>
      </c>
      <c r="L243" s="30">
        <f t="shared" si="14"/>
        <v>-1.1904773308172899E-2</v>
      </c>
      <c r="M243" s="414">
        <v>1429.079956</v>
      </c>
      <c r="N243" s="31">
        <f t="shared" si="15"/>
        <v>-3.1251589159961885E-3</v>
      </c>
      <c r="P243" s="418">
        <v>42470</v>
      </c>
      <c r="Q243" s="417">
        <v>35.502212999999998</v>
      </c>
      <c r="R243" s="30">
        <f t="shared" si="16"/>
        <v>-3.9590663888235983E-2</v>
      </c>
      <c r="S243" s="423">
        <v>2047.599976</v>
      </c>
      <c r="T243" s="30">
        <f t="shared" si="17"/>
        <v>-1.5922298577156126E-2</v>
      </c>
      <c r="U243" s="2"/>
      <c r="W243" s="34"/>
      <c r="X243" s="23"/>
      <c r="Y243" s="34"/>
      <c r="Z243" s="23"/>
      <c r="AA243" s="2"/>
      <c r="AC243" s="244"/>
      <c r="AD243" s="244"/>
    </row>
    <row r="244" spans="10:30">
      <c r="J244" s="412">
        <v>41163</v>
      </c>
      <c r="K244" s="413">
        <v>12.52758</v>
      </c>
      <c r="L244" s="30">
        <f t="shared" si="14"/>
        <v>-1.1037547808756525E-2</v>
      </c>
      <c r="M244" s="414">
        <v>1433.5600589999999</v>
      </c>
      <c r="N244" s="31">
        <f t="shared" si="15"/>
        <v>-2.0883220170330521E-3</v>
      </c>
      <c r="P244" s="418">
        <v>42477</v>
      </c>
      <c r="Q244" s="417">
        <v>36.965710000000001</v>
      </c>
      <c r="R244" s="30">
        <f t="shared" si="16"/>
        <v>2.3711063413618255E-2</v>
      </c>
      <c r="S244" s="423">
        <v>2080.7299800000001</v>
      </c>
      <c r="T244" s="30">
        <f t="shared" si="17"/>
        <v>-5.1875125959197866E-3</v>
      </c>
      <c r="U244" s="2"/>
      <c r="W244" s="34"/>
      <c r="X244" s="23"/>
      <c r="Y244" s="34"/>
      <c r="Z244" s="23"/>
      <c r="AA244" s="2"/>
      <c r="AC244" s="244"/>
      <c r="AD244" s="244"/>
    </row>
    <row r="245" spans="10:30">
      <c r="J245" s="412">
        <v>41164</v>
      </c>
      <c r="K245" s="413">
        <v>12.667396999999999</v>
      </c>
      <c r="L245" s="30">
        <f t="shared" si="14"/>
        <v>-6.5789437568145271E-3</v>
      </c>
      <c r="M245" s="414">
        <v>1436.5600589999999</v>
      </c>
      <c r="N245" s="31">
        <f t="shared" si="15"/>
        <v>-1.6048007972986257E-2</v>
      </c>
      <c r="P245" s="418">
        <v>42484</v>
      </c>
      <c r="Q245" s="417">
        <v>36.109515000000002</v>
      </c>
      <c r="R245" s="30">
        <f t="shared" si="16"/>
        <v>2.0827536150883428E-2</v>
      </c>
      <c r="S245" s="423">
        <v>2091.580078</v>
      </c>
      <c r="T245" s="30">
        <f t="shared" si="17"/>
        <v>1.2724557389481771E-2</v>
      </c>
      <c r="U245" s="2"/>
      <c r="W245" s="34"/>
      <c r="X245" s="23"/>
      <c r="Y245" s="34"/>
      <c r="Z245" s="23"/>
      <c r="AA245" s="2"/>
      <c r="AC245" s="244"/>
      <c r="AD245" s="244"/>
    </row>
    <row r="246" spans="10:30">
      <c r="J246" s="412">
        <v>41165</v>
      </c>
      <c r="K246" s="413">
        <v>12.751287</v>
      </c>
      <c r="L246" s="30">
        <f t="shared" si="14"/>
        <v>-1.1560704395397877E-2</v>
      </c>
      <c r="M246" s="414">
        <v>1459.98999</v>
      </c>
      <c r="N246" s="31">
        <f t="shared" si="15"/>
        <v>-3.9433403065508854E-3</v>
      </c>
      <c r="P246" s="418">
        <v>42491</v>
      </c>
      <c r="Q246" s="417">
        <v>35.372787000000002</v>
      </c>
      <c r="R246" s="30">
        <f t="shared" si="16"/>
        <v>5.6608244660246478E-3</v>
      </c>
      <c r="S246" s="423">
        <v>2065.3000489999999</v>
      </c>
      <c r="T246" s="30">
        <f t="shared" si="17"/>
        <v>3.9667482156984816E-3</v>
      </c>
      <c r="U246" s="2"/>
      <c r="W246" s="34"/>
      <c r="X246" s="23"/>
      <c r="Y246" s="34"/>
      <c r="Z246" s="23"/>
      <c r="AA246" s="2"/>
      <c r="AC246" s="244"/>
      <c r="AD246" s="244"/>
    </row>
    <row r="247" spans="10:30">
      <c r="J247" s="412">
        <v>41166</v>
      </c>
      <c r="K247" s="413">
        <v>12.900425</v>
      </c>
      <c r="L247" s="30">
        <f t="shared" si="14"/>
        <v>2.8231845411311872E-2</v>
      </c>
      <c r="M247" s="414">
        <v>1465.7700199999999</v>
      </c>
      <c r="N247" s="31">
        <f t="shared" si="15"/>
        <v>3.1344857170761491E-3</v>
      </c>
      <c r="P247" s="418">
        <v>42498</v>
      </c>
      <c r="Q247" s="417">
        <v>35.173675000000003</v>
      </c>
      <c r="R247" s="30">
        <f t="shared" si="16"/>
        <v>-0.13787208226110681</v>
      </c>
      <c r="S247" s="423">
        <v>2057.139893</v>
      </c>
      <c r="T247" s="30">
        <f t="shared" si="17"/>
        <v>5.1450486791209402E-3</v>
      </c>
      <c r="U247" s="2"/>
      <c r="W247" s="34"/>
      <c r="X247" s="23"/>
      <c r="Y247" s="34"/>
      <c r="Z247" s="23"/>
      <c r="AA247" s="2"/>
      <c r="AC247" s="244"/>
      <c r="AD247" s="244"/>
    </row>
    <row r="248" spans="10:30">
      <c r="J248" s="412">
        <v>41169</v>
      </c>
      <c r="K248" s="413">
        <v>12.546222</v>
      </c>
      <c r="L248" s="30">
        <f t="shared" si="14"/>
        <v>-6.6421416815510281E-3</v>
      </c>
      <c r="M248" s="414">
        <v>1461.1899410000001</v>
      </c>
      <c r="N248" s="31">
        <f t="shared" si="15"/>
        <v>1.2814153641397684E-3</v>
      </c>
      <c r="P248" s="418">
        <v>42505</v>
      </c>
      <c r="Q248" s="417">
        <v>40.798673000000001</v>
      </c>
      <c r="R248" s="30">
        <f t="shared" si="16"/>
        <v>-7.5569653979678617E-2</v>
      </c>
      <c r="S248" s="423">
        <v>2046.6099850000001</v>
      </c>
      <c r="T248" s="30">
        <f t="shared" si="17"/>
        <v>-2.782257547948871E-3</v>
      </c>
      <c r="U248" s="2"/>
      <c r="W248" s="34"/>
      <c r="X248" s="23"/>
      <c r="Y248" s="34"/>
      <c r="Z248" s="23"/>
      <c r="AA248" s="2"/>
      <c r="AC248" s="244"/>
      <c r="AD248" s="244"/>
    </row>
    <row r="249" spans="10:30">
      <c r="J249" s="412">
        <v>41170</v>
      </c>
      <c r="K249" s="413">
        <v>12.630113</v>
      </c>
      <c r="L249" s="30">
        <f t="shared" si="14"/>
        <v>-1.1670246688968417E-2</v>
      </c>
      <c r="M249" s="414">
        <v>1459.3199460000001</v>
      </c>
      <c r="N249" s="31">
        <f t="shared" si="15"/>
        <v>-1.1841504000386725E-3</v>
      </c>
      <c r="P249" s="418">
        <v>42512</v>
      </c>
      <c r="Q249" s="417">
        <v>44.133853000000002</v>
      </c>
      <c r="R249" s="30">
        <f t="shared" si="16"/>
        <v>-3.670629635036974E-2</v>
      </c>
      <c r="S249" s="423">
        <v>2052.320068</v>
      </c>
      <c r="T249" s="30">
        <f t="shared" si="17"/>
        <v>-2.2267105126218746E-2</v>
      </c>
      <c r="U249" s="2"/>
      <c r="W249" s="34"/>
      <c r="X249" s="23"/>
      <c r="Y249" s="34"/>
      <c r="Z249" s="23"/>
      <c r="AA249" s="2"/>
      <c r="AC249" s="244"/>
      <c r="AD249" s="244"/>
    </row>
    <row r="250" spans="10:30">
      <c r="J250" s="412">
        <v>41171</v>
      </c>
      <c r="K250" s="413">
        <v>12.779249999999999</v>
      </c>
      <c r="L250" s="30">
        <f t="shared" si="14"/>
        <v>7.347525890469055E-3</v>
      </c>
      <c r="M250" s="414">
        <v>1461.0500489999999</v>
      </c>
      <c r="N250" s="31">
        <f t="shared" si="15"/>
        <v>5.4102625189330418E-4</v>
      </c>
      <c r="P250" s="418">
        <v>42519</v>
      </c>
      <c r="Q250" s="417">
        <v>45.815573000000001</v>
      </c>
      <c r="R250" s="30">
        <f t="shared" si="16"/>
        <v>-1.2478439256511875E-2</v>
      </c>
      <c r="S250" s="423">
        <v>2099.0600589999999</v>
      </c>
      <c r="T250" s="30">
        <f t="shared" si="17"/>
        <v>-3.3263306175396542E-5</v>
      </c>
      <c r="U250" s="2"/>
      <c r="W250" s="34"/>
      <c r="X250" s="23"/>
      <c r="Y250" s="34"/>
      <c r="Z250" s="23"/>
      <c r="AA250" s="2"/>
      <c r="AC250" s="244"/>
      <c r="AD250" s="244"/>
    </row>
    <row r="251" spans="10:30">
      <c r="J251" s="412">
        <v>41172</v>
      </c>
      <c r="K251" s="413">
        <v>12.686038999999999</v>
      </c>
      <c r="L251" s="30">
        <f t="shared" si="14"/>
        <v>-4.3891970830875317E-3</v>
      </c>
      <c r="M251" s="414">
        <v>1460.26001</v>
      </c>
      <c r="N251" s="31">
        <f t="shared" si="15"/>
        <v>7.5325136590166777E-5</v>
      </c>
      <c r="P251" s="418">
        <v>42526</v>
      </c>
      <c r="Q251" s="417">
        <v>46.394503999999998</v>
      </c>
      <c r="R251" s="30">
        <f t="shared" si="16"/>
        <v>6.0605632164842565E-3</v>
      </c>
      <c r="S251" s="423">
        <v>2099.1298830000001</v>
      </c>
      <c r="T251" s="30">
        <f t="shared" si="17"/>
        <v>1.4597866009887946E-3</v>
      </c>
      <c r="U251" s="2"/>
      <c r="W251" s="34"/>
      <c r="X251" s="23"/>
      <c r="Y251" s="34"/>
      <c r="Z251" s="23"/>
      <c r="AA251" s="2"/>
      <c r="AC251" s="244"/>
      <c r="AD251" s="244"/>
    </row>
    <row r="252" spans="10:30">
      <c r="J252" s="412">
        <v>41173</v>
      </c>
      <c r="K252" s="413">
        <v>12.741966</v>
      </c>
      <c r="L252" s="30">
        <f t="shared" si="14"/>
        <v>7.3205527995164499E-4</v>
      </c>
      <c r="M252" s="414">
        <v>1460.150024</v>
      </c>
      <c r="N252" s="31">
        <f t="shared" si="15"/>
        <v>2.2376493533728297E-3</v>
      </c>
      <c r="P252" s="418">
        <v>42533</v>
      </c>
      <c r="Q252" s="417">
        <v>46.115020999999999</v>
      </c>
      <c r="R252" s="30">
        <f t="shared" si="16"/>
        <v>-1.1130125823904248E-2</v>
      </c>
      <c r="S252" s="423">
        <v>2096.070068</v>
      </c>
      <c r="T252" s="30">
        <f t="shared" si="17"/>
        <v>1.1997806774720407E-2</v>
      </c>
      <c r="U252" s="2"/>
      <c r="W252" s="34"/>
      <c r="X252" s="23"/>
      <c r="Y252" s="34"/>
      <c r="Z252" s="23"/>
      <c r="AA252" s="2"/>
      <c r="AC252" s="244"/>
      <c r="AD252" s="244"/>
    </row>
    <row r="253" spans="10:30">
      <c r="J253" s="412">
        <v>41176</v>
      </c>
      <c r="K253" s="413">
        <v>12.732645</v>
      </c>
      <c r="L253" s="30">
        <f t="shared" si="14"/>
        <v>1.8642811215735577E-2</v>
      </c>
      <c r="M253" s="414">
        <v>1456.8900149999999</v>
      </c>
      <c r="N253" s="31">
        <f t="shared" si="15"/>
        <v>1.061331540927217E-2</v>
      </c>
      <c r="P253" s="418">
        <v>42540</v>
      </c>
      <c r="Q253" s="417">
        <v>46.634064000000002</v>
      </c>
      <c r="R253" s="30">
        <f t="shared" si="16"/>
        <v>2.1648830374278647E-2</v>
      </c>
      <c r="S253" s="423">
        <v>2071.219971</v>
      </c>
      <c r="T253" s="30">
        <f t="shared" si="17"/>
        <v>1.6594566845055593E-2</v>
      </c>
      <c r="U253" s="2"/>
      <c r="W253" s="34"/>
      <c r="X253" s="23"/>
      <c r="Y253" s="34"/>
      <c r="Z253" s="23"/>
      <c r="AA253" s="2"/>
      <c r="AC253" s="244"/>
      <c r="AD253" s="244"/>
    </row>
    <row r="254" spans="10:30">
      <c r="J254" s="412">
        <v>41177</v>
      </c>
      <c r="K254" s="413">
        <v>12.499617000000001</v>
      </c>
      <c r="L254" s="30">
        <f t="shared" si="14"/>
        <v>1.7450709718034692E-2</v>
      </c>
      <c r="M254" s="414">
        <v>1441.589966</v>
      </c>
      <c r="N254" s="31">
        <f t="shared" si="15"/>
        <v>5.7698352856103566E-3</v>
      </c>
      <c r="P254" s="418">
        <v>42547</v>
      </c>
      <c r="Q254" s="417">
        <v>45.645884000000002</v>
      </c>
      <c r="R254" s="30">
        <f t="shared" si="16"/>
        <v>-1.9931411342505201E-2</v>
      </c>
      <c r="S254" s="423">
        <v>2037.410034</v>
      </c>
      <c r="T254" s="30">
        <f t="shared" si="17"/>
        <v>-3.1165704618331194E-2</v>
      </c>
      <c r="U254" s="2"/>
      <c r="W254" s="34"/>
      <c r="X254" s="23"/>
      <c r="Y254" s="34"/>
      <c r="Z254" s="23"/>
      <c r="AA254" s="2"/>
      <c r="AC254" s="244"/>
      <c r="AD254" s="244"/>
    </row>
    <row r="255" spans="10:30">
      <c r="J255" s="412">
        <v>41178</v>
      </c>
      <c r="K255" s="413">
        <v>12.285231</v>
      </c>
      <c r="L255" s="30">
        <f t="shared" si="14"/>
        <v>-7.5301075854295844E-3</v>
      </c>
      <c r="M255" s="414">
        <v>1433.3199460000001</v>
      </c>
      <c r="N255" s="31">
        <f t="shared" si="15"/>
        <v>-9.556768662984147E-3</v>
      </c>
      <c r="P255" s="418">
        <v>42554</v>
      </c>
      <c r="Q255" s="417">
        <v>46.574173000000002</v>
      </c>
      <c r="R255" s="30">
        <f t="shared" si="16"/>
        <v>-8.2399197816475145E-2</v>
      </c>
      <c r="S255" s="423">
        <v>2102.9499510000001</v>
      </c>
      <c r="T255" s="30">
        <f t="shared" si="17"/>
        <v>-1.2653153781871977E-2</v>
      </c>
      <c r="U255" s="2"/>
      <c r="W255" s="34"/>
      <c r="X255" s="23"/>
      <c r="Y255" s="34"/>
      <c r="Z255" s="23"/>
      <c r="AA255" s="2"/>
      <c r="AC255" s="244"/>
      <c r="AD255" s="244"/>
    </row>
    <row r="256" spans="10:30">
      <c r="J256" s="412">
        <v>41179</v>
      </c>
      <c r="K256" s="413">
        <v>12.378442</v>
      </c>
      <c r="L256" s="30">
        <f t="shared" si="14"/>
        <v>-4.4977754802033379E-3</v>
      </c>
      <c r="M256" s="414">
        <v>1447.150024</v>
      </c>
      <c r="N256" s="31">
        <f t="shared" si="15"/>
        <v>4.4978932039209316E-3</v>
      </c>
      <c r="P256" s="418">
        <v>42561</v>
      </c>
      <c r="Q256" s="417">
        <v>50.756464999999999</v>
      </c>
      <c r="R256" s="30">
        <f t="shared" si="16"/>
        <v>-3.5104400002250909E-2</v>
      </c>
      <c r="S256" s="423">
        <v>2129.8999020000001</v>
      </c>
      <c r="T256" s="30">
        <f t="shared" si="17"/>
        <v>-1.4728916589085223E-2</v>
      </c>
      <c r="U256" s="2"/>
      <c r="W256" s="34"/>
      <c r="X256" s="23"/>
      <c r="Y256" s="34"/>
      <c r="Z256" s="23"/>
      <c r="AA256" s="2"/>
      <c r="AC256" s="244"/>
      <c r="AD256" s="244"/>
    </row>
    <row r="257" spans="10:30">
      <c r="J257" s="412">
        <v>41180</v>
      </c>
      <c r="K257" s="413">
        <v>12.434369</v>
      </c>
      <c r="L257" s="30">
        <f t="shared" si="14"/>
        <v>1.6768329579508315E-2</v>
      </c>
      <c r="M257" s="414">
        <v>1440.670044</v>
      </c>
      <c r="N257" s="31">
        <f t="shared" si="15"/>
        <v>-2.6444946150163853E-3</v>
      </c>
      <c r="P257" s="418">
        <v>42568</v>
      </c>
      <c r="Q257" s="417">
        <v>52.603064000000003</v>
      </c>
      <c r="R257" s="30">
        <f t="shared" si="16"/>
        <v>-3.6034345818258103E-2</v>
      </c>
      <c r="S257" s="423">
        <v>2161.73999</v>
      </c>
      <c r="T257" s="30">
        <f t="shared" si="17"/>
        <v>-6.1102783974482672E-3</v>
      </c>
      <c r="U257" s="2"/>
      <c r="W257" s="34"/>
      <c r="X257" s="23"/>
      <c r="Y257" s="34"/>
      <c r="Z257" s="23"/>
      <c r="AA257" s="2"/>
      <c r="AC257" s="244"/>
      <c r="AD257" s="244"/>
    </row>
    <row r="258" spans="10:30">
      <c r="J258" s="412">
        <v>41183</v>
      </c>
      <c r="K258" s="413">
        <v>12.229304000000001</v>
      </c>
      <c r="L258" s="30">
        <f t="shared" si="14"/>
        <v>-3.7965413562007881E-3</v>
      </c>
      <c r="M258" s="414">
        <v>1444.48999</v>
      </c>
      <c r="N258" s="31">
        <f t="shared" si="15"/>
        <v>-8.7152688915785278E-4</v>
      </c>
      <c r="P258" s="418">
        <v>42575</v>
      </c>
      <c r="Q258" s="417">
        <v>54.569437999999998</v>
      </c>
      <c r="R258" s="30">
        <f t="shared" si="16"/>
        <v>-4.2556931647774028E-2</v>
      </c>
      <c r="S258" s="423">
        <v>2175.030029</v>
      </c>
      <c r="T258" s="30">
        <f t="shared" si="17"/>
        <v>6.5786296261021067E-4</v>
      </c>
      <c r="U258" s="2"/>
      <c r="W258" s="34"/>
      <c r="X258" s="23"/>
      <c r="Y258" s="34"/>
      <c r="Z258" s="23"/>
      <c r="AA258" s="2"/>
      <c r="AC258" s="244"/>
      <c r="AD258" s="244"/>
    </row>
    <row r="259" spans="10:30">
      <c r="J259" s="412">
        <v>41184</v>
      </c>
      <c r="K259" s="413">
        <v>12.27591</v>
      </c>
      <c r="L259" s="30">
        <f t="shared" si="14"/>
        <v>9.9692827552980093E-3</v>
      </c>
      <c r="M259" s="414">
        <v>1445.75</v>
      </c>
      <c r="N259" s="31">
        <f t="shared" si="15"/>
        <v>-3.6113205715499349E-3</v>
      </c>
      <c r="P259" s="418">
        <v>42582</v>
      </c>
      <c r="Q259" s="417">
        <v>56.994968999999998</v>
      </c>
      <c r="R259" s="30">
        <f t="shared" si="16"/>
        <v>-1.8900383571513746E-2</v>
      </c>
      <c r="S259" s="423">
        <v>2173.6000979999999</v>
      </c>
      <c r="T259" s="30">
        <f t="shared" si="17"/>
        <v>-4.2467112119067268E-3</v>
      </c>
      <c r="U259" s="2"/>
      <c r="W259" s="34"/>
      <c r="X259" s="23"/>
      <c r="Y259" s="34"/>
      <c r="Z259" s="23"/>
      <c r="AA259" s="2"/>
      <c r="AC259" s="244"/>
      <c r="AD259" s="244"/>
    </row>
    <row r="260" spans="10:30">
      <c r="J260" s="412">
        <v>41185</v>
      </c>
      <c r="K260" s="413">
        <v>12.154736</v>
      </c>
      <c r="L260" s="30">
        <f t="shared" si="14"/>
        <v>-4.258437728429923E-2</v>
      </c>
      <c r="M260" s="414">
        <v>1450.98999</v>
      </c>
      <c r="N260" s="31">
        <f t="shared" si="15"/>
        <v>-7.1233295668811317E-3</v>
      </c>
      <c r="P260" s="418">
        <v>42589</v>
      </c>
      <c r="Q260" s="417">
        <v>58.092948</v>
      </c>
      <c r="R260" s="30">
        <f t="shared" si="16"/>
        <v>-7.6776643968136507E-2</v>
      </c>
      <c r="S260" s="423">
        <v>2182.8701169999999</v>
      </c>
      <c r="T260" s="30">
        <f t="shared" si="17"/>
        <v>-5.4024952429101037E-4</v>
      </c>
      <c r="U260" s="2"/>
      <c r="W260" s="34"/>
      <c r="X260" s="23"/>
      <c r="Y260" s="34"/>
      <c r="Z260" s="23"/>
      <c r="AA260" s="2"/>
      <c r="AC260" s="244"/>
      <c r="AD260" s="244"/>
    </row>
    <row r="261" spans="10:30">
      <c r="J261" s="412">
        <v>41186</v>
      </c>
      <c r="K261" s="413">
        <v>12.695360000000001</v>
      </c>
      <c r="L261" s="30">
        <f t="shared" si="14"/>
        <v>2.4060091545714195E-2</v>
      </c>
      <c r="M261" s="414">
        <v>1461.400024</v>
      </c>
      <c r="N261" s="31">
        <f t="shared" si="15"/>
        <v>3.2169233476533231E-4</v>
      </c>
      <c r="P261" s="418">
        <v>42596</v>
      </c>
      <c r="Q261" s="417">
        <v>62.924045</v>
      </c>
      <c r="R261" s="30">
        <f t="shared" si="16"/>
        <v>1.2528152290149771E-2</v>
      </c>
      <c r="S261" s="423">
        <v>2184.0500489999999</v>
      </c>
      <c r="T261" s="30">
        <f t="shared" si="17"/>
        <v>8.2391346719456928E-5</v>
      </c>
      <c r="U261" s="170"/>
      <c r="W261" s="184"/>
      <c r="X261" s="23"/>
      <c r="Y261" s="34"/>
      <c r="Z261" s="23"/>
      <c r="AA261" s="2"/>
      <c r="AC261" s="244"/>
    </row>
    <row r="262" spans="10:30">
      <c r="J262" s="412">
        <v>41187</v>
      </c>
      <c r="K262" s="413">
        <v>12.397085000000001</v>
      </c>
      <c r="L262" s="30">
        <f t="shared" si="14"/>
        <v>9.870958649908718E-3</v>
      </c>
      <c r="M262" s="414">
        <v>1460.9300539999999</v>
      </c>
      <c r="N262" s="31">
        <f t="shared" si="15"/>
        <v>3.4687261193617016E-3</v>
      </c>
      <c r="P262" s="418">
        <v>42603</v>
      </c>
      <c r="Q262" s="417">
        <v>62.145477</v>
      </c>
      <c r="R262" s="30">
        <f t="shared" si="16"/>
        <v>1.8616476198879688E-3</v>
      </c>
      <c r="S262" s="423">
        <v>2183.8701169999999</v>
      </c>
      <c r="T262" s="30">
        <f t="shared" si="17"/>
        <v>6.8371619395449796E-3</v>
      </c>
      <c r="U262" s="170"/>
      <c r="W262" s="184"/>
      <c r="X262" s="23"/>
      <c r="Y262" s="34"/>
      <c r="Z262" s="23"/>
      <c r="AA262" s="2"/>
      <c r="AC262" s="244"/>
    </row>
    <row r="263" spans="10:30">
      <c r="J263" s="412">
        <v>41190</v>
      </c>
      <c r="K263" s="413">
        <v>12.27591</v>
      </c>
      <c r="L263" s="30">
        <f t="shared" si="14"/>
        <v>2.1722243820370229E-2</v>
      </c>
      <c r="M263" s="414">
        <v>1455.880005</v>
      </c>
      <c r="N263" s="31">
        <f t="shared" si="15"/>
        <v>9.9897502565383621E-3</v>
      </c>
      <c r="P263" s="418">
        <v>42610</v>
      </c>
      <c r="Q263" s="417">
        <v>62.029998999999997</v>
      </c>
      <c r="R263" s="30">
        <f t="shared" si="16"/>
        <v>-7.9961619701928999E-3</v>
      </c>
      <c r="S263" s="423">
        <v>2169.040039</v>
      </c>
      <c r="T263" s="30">
        <f t="shared" si="17"/>
        <v>-5.0183676457432828E-3</v>
      </c>
      <c r="U263" s="170"/>
      <c r="W263" s="184"/>
      <c r="X263" s="23"/>
      <c r="Y263" s="34"/>
      <c r="Z263" s="23"/>
      <c r="AA263" s="2"/>
      <c r="AC263" s="244"/>
    </row>
    <row r="264" spans="10:30">
      <c r="J264" s="412">
        <v>41191</v>
      </c>
      <c r="K264" s="413">
        <v>12.014919000000001</v>
      </c>
      <c r="L264" s="30">
        <f t="shared" si="14"/>
        <v>1.7363889511250619E-2</v>
      </c>
      <c r="M264" s="414">
        <v>1441.4799800000001</v>
      </c>
      <c r="N264" s="31">
        <f t="shared" si="15"/>
        <v>6.2265598876369054E-3</v>
      </c>
      <c r="P264" s="418">
        <v>42617</v>
      </c>
      <c r="Q264" s="417">
        <v>62.529998999999997</v>
      </c>
      <c r="R264" s="30">
        <f t="shared" si="16"/>
        <v>5.0571219758064404E-2</v>
      </c>
      <c r="S264" s="423">
        <v>2179.9799800000001</v>
      </c>
      <c r="T264" s="30">
        <f t="shared" si="17"/>
        <v>2.4518128758409145E-2</v>
      </c>
      <c r="U264" s="170"/>
      <c r="W264" s="184"/>
      <c r="X264" s="23"/>
      <c r="Y264" s="34"/>
      <c r="Z264" s="23"/>
      <c r="AA264" s="2"/>
      <c r="AC264" s="244"/>
    </row>
    <row r="265" spans="10:30">
      <c r="J265" s="412">
        <v>41192</v>
      </c>
      <c r="K265" s="413">
        <v>11.809854</v>
      </c>
      <c r="L265" s="30">
        <f t="shared" si="14"/>
        <v>-5.4945212260071883E-3</v>
      </c>
      <c r="M265" s="414">
        <v>1432.5600589999999</v>
      </c>
      <c r="N265" s="31">
        <f t="shared" si="15"/>
        <v>-1.9535119527793366E-4</v>
      </c>
      <c r="P265" s="418">
        <v>42624</v>
      </c>
      <c r="Q265" s="417">
        <v>59.52</v>
      </c>
      <c r="R265" s="30">
        <f t="shared" si="16"/>
        <v>-5.2832590706556333E-2</v>
      </c>
      <c r="S265" s="423">
        <v>2127.8100589999999</v>
      </c>
      <c r="T265" s="30">
        <f t="shared" si="17"/>
        <v>-5.3057524761618508E-3</v>
      </c>
      <c r="U265" s="170"/>
      <c r="W265" s="184"/>
      <c r="X265" s="23"/>
      <c r="Y265" s="34"/>
      <c r="Z265" s="23"/>
      <c r="AA265" s="2"/>
      <c r="AC265" s="244"/>
    </row>
    <row r="266" spans="10:30">
      <c r="J266" s="412">
        <v>41193</v>
      </c>
      <c r="K266" s="413">
        <v>11.875102</v>
      </c>
      <c r="L266" s="30">
        <f t="shared" ref="L266:L324" si="18">(K266-K267)/K267</f>
        <v>8.7093982027713641E-3</v>
      </c>
      <c r="M266" s="414">
        <v>1432.839966</v>
      </c>
      <c r="N266" s="31">
        <f t="shared" ref="N266:N329" si="19">(M266-M267)/M267</f>
        <v>2.9749613963059294E-3</v>
      </c>
      <c r="P266" s="418">
        <v>42631</v>
      </c>
      <c r="Q266" s="417">
        <v>62.84</v>
      </c>
      <c r="R266" s="30">
        <f t="shared" si="16"/>
        <v>-3.2486483409691194E-2</v>
      </c>
      <c r="S266" s="423">
        <v>2139.1599120000001</v>
      </c>
      <c r="T266" s="30">
        <f t="shared" si="17"/>
        <v>-1.1793850249152154E-2</v>
      </c>
      <c r="U266" s="170"/>
      <c r="W266" s="184"/>
      <c r="X266" s="23"/>
      <c r="Y266" s="34"/>
      <c r="Z266" s="23"/>
      <c r="AA266" s="2"/>
      <c r="AC266" s="244"/>
    </row>
    <row r="267" spans="10:30">
      <c r="J267" s="412">
        <v>41194</v>
      </c>
      <c r="K267" s="413">
        <v>11.77257</v>
      </c>
      <c r="L267" s="30">
        <f t="shared" si="18"/>
        <v>-1.2509784671793728E-2</v>
      </c>
      <c r="M267" s="414">
        <v>1428.589966</v>
      </c>
      <c r="N267" s="31">
        <f t="shared" si="19"/>
        <v>-8.0131925311840019E-3</v>
      </c>
      <c r="P267" s="418">
        <v>42638</v>
      </c>
      <c r="Q267" s="417">
        <v>64.949996999999996</v>
      </c>
      <c r="R267" s="30">
        <f t="shared" si="16"/>
        <v>-5.210157846329163E-2</v>
      </c>
      <c r="S267" s="423">
        <v>2164.6899410000001</v>
      </c>
      <c r="T267" s="30">
        <f t="shared" ref="T267:T268" si="20">(S267-S268)/S268</f>
        <v>-1.6511223080969599E-3</v>
      </c>
      <c r="U267" s="170"/>
      <c r="W267" s="184"/>
      <c r="X267" s="23"/>
      <c r="Y267" s="34"/>
      <c r="Z267" s="23"/>
      <c r="AA267" s="2"/>
      <c r="AC267" s="244"/>
    </row>
    <row r="268" spans="10:30">
      <c r="J268" s="412">
        <v>41197</v>
      </c>
      <c r="K268" s="413">
        <v>11.921708000000001</v>
      </c>
      <c r="L268" s="30">
        <f t="shared" si="18"/>
        <v>-2.8115476926796775E-2</v>
      </c>
      <c r="M268" s="414">
        <v>1440.130005</v>
      </c>
      <c r="N268" s="31">
        <f t="shared" si="19"/>
        <v>-1.0165533880018481E-2</v>
      </c>
      <c r="P268" s="418">
        <v>42645</v>
      </c>
      <c r="Q268" s="417">
        <v>68.519997000000004</v>
      </c>
      <c r="R268" s="30">
        <f t="shared" ref="R268" si="21">(Q268-Q269)/Q269</f>
        <v>1.0226443107076745E-3</v>
      </c>
      <c r="S268" s="423">
        <v>2168.2700199999999</v>
      </c>
      <c r="T268" s="30">
        <f t="shared" si="20"/>
        <v>3.2713627430578612E-3</v>
      </c>
      <c r="U268" s="170"/>
      <c r="W268" s="184"/>
      <c r="X268" s="23"/>
      <c r="Y268" s="34"/>
      <c r="Z268" s="23"/>
      <c r="AA268" s="2"/>
      <c r="AC268" s="244"/>
    </row>
    <row r="269" spans="10:30">
      <c r="J269" s="412">
        <v>41198</v>
      </c>
      <c r="K269" s="413">
        <v>12.266589</v>
      </c>
      <c r="L269" s="30">
        <f t="shared" si="18"/>
        <v>7.6569543802878842E-3</v>
      </c>
      <c r="M269" s="414">
        <v>1454.920044</v>
      </c>
      <c r="N269" s="31">
        <f t="shared" si="19"/>
        <v>-4.1001771913355438E-3</v>
      </c>
      <c r="P269" s="418">
        <v>42652</v>
      </c>
      <c r="Q269" s="417">
        <v>68.449996999999996</v>
      </c>
      <c r="R269" s="23"/>
      <c r="S269" s="423">
        <v>2161.1999510000001</v>
      </c>
      <c r="T269" s="23"/>
      <c r="U269" s="2"/>
      <c r="W269" s="34"/>
      <c r="X269" s="23"/>
      <c r="Y269" s="34"/>
      <c r="Z269" s="23"/>
      <c r="AA269" s="2"/>
      <c r="AC269" s="244"/>
    </row>
    <row r="270" spans="10:30">
      <c r="J270" s="412">
        <v>41199</v>
      </c>
      <c r="K270" s="413">
        <v>12.173378</v>
      </c>
      <c r="L270" s="30">
        <f t="shared" si="18"/>
        <v>1.5552156490117762E-2</v>
      </c>
      <c r="M270" s="414">
        <v>1460.910034</v>
      </c>
      <c r="N270" s="31">
        <f t="shared" si="19"/>
        <v>2.4497152917577997E-3</v>
      </c>
      <c r="Q270" s="34"/>
      <c r="R270" s="23"/>
      <c r="S270" s="34"/>
      <c r="T270" s="23"/>
      <c r="U270" s="2"/>
      <c r="W270" s="34"/>
      <c r="X270" s="23"/>
      <c r="Y270" s="34"/>
      <c r="Z270" s="23"/>
      <c r="AA270" s="2"/>
      <c r="AC270" s="244"/>
    </row>
    <row r="271" spans="10:30">
      <c r="J271" s="412">
        <v>41200</v>
      </c>
      <c r="K271" s="413">
        <v>11.986955</v>
      </c>
      <c r="L271" s="30">
        <f t="shared" si="18"/>
        <v>6.1932316554645164E-2</v>
      </c>
      <c r="M271" s="414">
        <v>1457.339966</v>
      </c>
      <c r="N271" s="31">
        <f t="shared" si="19"/>
        <v>1.6850540398817879E-2</v>
      </c>
      <c r="Q271" s="34"/>
      <c r="R271" s="23"/>
      <c r="S271" s="34"/>
      <c r="T271" s="23"/>
      <c r="U271" s="2"/>
      <c r="W271" s="34"/>
      <c r="X271" s="23"/>
      <c r="Y271" s="34"/>
      <c r="Z271" s="23"/>
      <c r="AA271" s="2"/>
      <c r="AC271" s="244"/>
    </row>
    <row r="272" spans="10:30">
      <c r="J272" s="412">
        <v>41201</v>
      </c>
      <c r="K272" s="413">
        <v>11.287871000000001</v>
      </c>
      <c r="L272" s="30">
        <f t="shared" si="18"/>
        <v>1.1695850350476813E-2</v>
      </c>
      <c r="M272" s="414">
        <v>1433.1899410000001</v>
      </c>
      <c r="N272" s="31">
        <f t="shared" si="19"/>
        <v>-4.3938920068558094E-4</v>
      </c>
      <c r="Q272" s="34"/>
      <c r="R272" s="23"/>
      <c r="S272" s="34"/>
      <c r="T272" s="23"/>
      <c r="U272" s="2"/>
      <c r="W272" s="34"/>
      <c r="X272" s="23"/>
      <c r="Y272" s="34"/>
      <c r="Z272" s="23"/>
      <c r="AA272" s="2"/>
      <c r="AC272" s="244"/>
    </row>
    <row r="273" spans="10:29">
      <c r="J273" s="412">
        <v>41204</v>
      </c>
      <c r="K273" s="413">
        <v>11.157375999999999</v>
      </c>
      <c r="L273" s="30">
        <f t="shared" si="18"/>
        <v>-2.9197065049348658E-2</v>
      </c>
      <c r="M273" s="414">
        <v>1433.8199460000001</v>
      </c>
      <c r="N273" s="31">
        <f t="shared" si="19"/>
        <v>1.4655590307784868E-2</v>
      </c>
      <c r="Q273" s="34"/>
      <c r="R273" s="23"/>
      <c r="S273" s="34"/>
      <c r="T273" s="23"/>
      <c r="U273" s="2"/>
      <c r="W273" s="34"/>
      <c r="X273" s="23"/>
      <c r="Y273" s="34"/>
      <c r="Z273" s="23"/>
      <c r="AA273" s="2"/>
      <c r="AC273" s="244"/>
    </row>
    <row r="274" spans="10:29">
      <c r="J274" s="412">
        <v>41205</v>
      </c>
      <c r="K274" s="413">
        <v>11.492936</v>
      </c>
      <c r="L274" s="30">
        <f t="shared" si="18"/>
        <v>1.3147095884464857E-2</v>
      </c>
      <c r="M274" s="414">
        <v>1413.1099850000001</v>
      </c>
      <c r="N274" s="31">
        <f t="shared" si="19"/>
        <v>3.0949316770186703E-3</v>
      </c>
      <c r="Q274" s="34"/>
      <c r="R274" s="23"/>
      <c r="S274" s="34"/>
      <c r="T274" s="23"/>
      <c r="U274" s="2"/>
      <c r="W274" s="34"/>
      <c r="X274" s="23"/>
      <c r="Y274" s="34"/>
      <c r="Z274" s="23"/>
      <c r="AA274" s="2"/>
      <c r="AC274" s="244"/>
    </row>
    <row r="275" spans="10:29">
      <c r="J275" s="412">
        <v>41206</v>
      </c>
      <c r="K275" s="413">
        <v>11.343798</v>
      </c>
      <c r="L275" s="30">
        <f t="shared" si="18"/>
        <v>-8.2109587496661184E-4</v>
      </c>
      <c r="M275" s="414">
        <v>1408.75</v>
      </c>
      <c r="N275" s="31">
        <f t="shared" si="19"/>
        <v>-2.9865963796904971E-3</v>
      </c>
      <c r="Q275" s="34"/>
      <c r="R275" s="23"/>
      <c r="S275" s="34"/>
      <c r="T275" s="23"/>
      <c r="U275" s="2"/>
      <c r="W275" s="34"/>
      <c r="X275" s="23"/>
      <c r="Y275" s="34"/>
      <c r="Z275" s="23"/>
      <c r="AA275" s="2"/>
      <c r="AC275" s="244"/>
    </row>
    <row r="276" spans="10:29">
      <c r="J276" s="412">
        <v>41207</v>
      </c>
      <c r="K276" s="413">
        <v>11.353120000000001</v>
      </c>
      <c r="L276" s="30">
        <f t="shared" si="18"/>
        <v>1.0788425335060038E-2</v>
      </c>
      <c r="M276" s="414">
        <v>1412.969971</v>
      </c>
      <c r="N276" s="31">
        <f t="shared" si="19"/>
        <v>7.2951403249516607E-4</v>
      </c>
      <c r="Q276" s="34"/>
      <c r="R276" s="23"/>
      <c r="S276" s="34"/>
      <c r="T276" s="23"/>
      <c r="U276" s="2"/>
      <c r="W276" s="34"/>
      <c r="X276" s="23"/>
      <c r="Y276" s="34"/>
      <c r="Z276" s="23"/>
      <c r="AA276" s="2"/>
      <c r="AC276" s="244"/>
    </row>
    <row r="277" spans="10:29">
      <c r="J277" s="412">
        <v>41208</v>
      </c>
      <c r="K277" s="413">
        <v>11.231945</v>
      </c>
      <c r="L277" s="30">
        <f t="shared" si="18"/>
        <v>5.8430886053414382E-3</v>
      </c>
      <c r="M277" s="414">
        <v>1411.9399410000001</v>
      </c>
      <c r="N277" s="31">
        <f t="shared" si="19"/>
        <v>-1.5585556502153931E-4</v>
      </c>
      <c r="Q277" s="34"/>
      <c r="R277" s="23"/>
      <c r="S277" s="34"/>
      <c r="T277" s="23"/>
      <c r="U277" s="2"/>
      <c r="W277" s="34"/>
      <c r="X277" s="23"/>
      <c r="Y277" s="34"/>
      <c r="Z277" s="23"/>
      <c r="AA277" s="2"/>
      <c r="AC277" s="244"/>
    </row>
    <row r="278" spans="10:29">
      <c r="J278" s="412">
        <v>41213</v>
      </c>
      <c r="K278" s="413">
        <v>11.166696999999999</v>
      </c>
      <c r="L278" s="30">
        <f t="shared" si="18"/>
        <v>-4.541835823060713E-2</v>
      </c>
      <c r="M278" s="414">
        <v>1412.160034</v>
      </c>
      <c r="N278" s="31">
        <f t="shared" si="19"/>
        <v>-1.0808378012934288E-2</v>
      </c>
      <c r="Q278" s="34"/>
      <c r="R278" s="23"/>
      <c r="S278" s="34"/>
      <c r="T278" s="23"/>
      <c r="U278" s="2"/>
      <c r="W278" s="34"/>
      <c r="X278" s="23"/>
      <c r="Y278" s="34"/>
      <c r="Z278" s="23"/>
      <c r="AA278" s="2"/>
      <c r="AC278" s="244"/>
    </row>
    <row r="279" spans="10:29">
      <c r="J279" s="412">
        <v>41214</v>
      </c>
      <c r="K279" s="413">
        <v>11.698001</v>
      </c>
      <c r="L279" s="30">
        <f t="shared" si="18"/>
        <v>4.803869138780642E-3</v>
      </c>
      <c r="M279" s="414">
        <v>1427.589966</v>
      </c>
      <c r="N279" s="31">
        <f t="shared" si="19"/>
        <v>9.4682615358115986E-3</v>
      </c>
      <c r="Q279" s="34"/>
      <c r="R279" s="23"/>
      <c r="S279" s="34"/>
      <c r="T279" s="23"/>
      <c r="U279" s="2"/>
      <c r="W279" s="34"/>
      <c r="X279" s="23"/>
      <c r="Y279" s="34"/>
      <c r="Z279" s="23"/>
      <c r="AA279" s="2"/>
      <c r="AC279" s="244"/>
    </row>
    <row r="280" spans="10:29">
      <c r="J280" s="412">
        <v>41215</v>
      </c>
      <c r="K280" s="413">
        <v>11.642073999999999</v>
      </c>
      <c r="L280" s="30">
        <f t="shared" si="18"/>
        <v>-4.0706672179698082E-2</v>
      </c>
      <c r="M280" s="414">
        <v>1414.1999510000001</v>
      </c>
      <c r="N280" s="31">
        <f t="shared" si="19"/>
        <v>-2.159137334298955E-3</v>
      </c>
      <c r="Q280" s="34"/>
      <c r="R280" s="23"/>
      <c r="S280" s="34"/>
      <c r="T280" s="23"/>
      <c r="U280" s="2"/>
      <c r="W280" s="34"/>
      <c r="X280" s="23"/>
      <c r="Y280" s="34"/>
      <c r="Z280" s="23"/>
      <c r="AA280" s="2"/>
      <c r="AC280" s="244"/>
    </row>
    <row r="281" spans="10:29">
      <c r="J281" s="412">
        <v>41218</v>
      </c>
      <c r="K281" s="413">
        <v>12.136094</v>
      </c>
      <c r="L281" s="30">
        <f t="shared" si="18"/>
        <v>7.6871239930949178E-4</v>
      </c>
      <c r="M281" s="414">
        <v>1417.26001</v>
      </c>
      <c r="N281" s="31">
        <f t="shared" si="19"/>
        <v>-7.7919930012952266E-3</v>
      </c>
      <c r="Q281" s="34"/>
      <c r="R281" s="23"/>
      <c r="S281" s="34"/>
      <c r="T281" s="23"/>
      <c r="U281" s="2"/>
      <c r="W281" s="34"/>
      <c r="X281" s="23"/>
      <c r="Y281" s="34"/>
      <c r="Z281" s="23"/>
      <c r="AA281" s="2"/>
      <c r="AC281" s="244"/>
    </row>
    <row r="282" spans="10:29">
      <c r="J282" s="412">
        <v>41219</v>
      </c>
      <c r="K282" s="413">
        <v>12.126772000000001</v>
      </c>
      <c r="L282" s="30">
        <f t="shared" si="18"/>
        <v>3.1720887836039963E-2</v>
      </c>
      <c r="M282" s="414">
        <v>1428.3900149999999</v>
      </c>
      <c r="N282" s="31">
        <f t="shared" si="19"/>
        <v>2.4280571444044489E-2</v>
      </c>
      <c r="Q282" s="34"/>
      <c r="R282" s="23"/>
      <c r="S282" s="34"/>
      <c r="T282" s="23"/>
      <c r="U282" s="2"/>
      <c r="W282" s="34"/>
      <c r="X282" s="23"/>
      <c r="Y282" s="34"/>
      <c r="Z282" s="23"/>
      <c r="AA282" s="2"/>
      <c r="AC282" s="244"/>
    </row>
    <row r="283" spans="10:29">
      <c r="J283" s="412">
        <v>41220</v>
      </c>
      <c r="K283" s="413">
        <v>11.753926999999999</v>
      </c>
      <c r="L283" s="30">
        <f t="shared" si="18"/>
        <v>-5.5206048205053756E-3</v>
      </c>
      <c r="M283" s="414">
        <v>1394.530029</v>
      </c>
      <c r="N283" s="31">
        <f t="shared" si="19"/>
        <v>1.2355640885687682E-2</v>
      </c>
      <c r="Q283" s="34"/>
      <c r="R283" s="23"/>
      <c r="S283" s="34"/>
      <c r="T283" s="23"/>
      <c r="U283" s="2"/>
      <c r="W283" s="34"/>
      <c r="X283" s="23"/>
      <c r="Y283" s="34"/>
      <c r="Z283" s="23"/>
      <c r="AA283" s="2"/>
      <c r="AC283" s="244"/>
    </row>
    <row r="284" spans="10:29">
      <c r="J284" s="412">
        <v>41221</v>
      </c>
      <c r="K284" s="413">
        <v>11.819176000000001</v>
      </c>
      <c r="L284" s="30">
        <f t="shared" si="18"/>
        <v>4.0196999940153799E-2</v>
      </c>
      <c r="M284" s="414">
        <v>1377.51001</v>
      </c>
      <c r="N284" s="31">
        <f t="shared" si="19"/>
        <v>-1.695811893103953E-3</v>
      </c>
      <c r="Q284" s="34"/>
      <c r="R284" s="23"/>
      <c r="S284" s="34"/>
      <c r="T284" s="23"/>
      <c r="U284" s="2"/>
      <c r="W284" s="34"/>
      <c r="X284" s="23"/>
      <c r="Y284" s="34"/>
      <c r="Z284" s="23"/>
      <c r="AA284" s="2"/>
      <c r="AC284" s="244"/>
    </row>
    <row r="285" spans="10:29">
      <c r="J285" s="412">
        <v>41222</v>
      </c>
      <c r="K285" s="413">
        <v>11.362439999999999</v>
      </c>
      <c r="L285" s="30">
        <f t="shared" si="18"/>
        <v>2.2650903344151339E-2</v>
      </c>
      <c r="M285" s="414">
        <v>1379.849976</v>
      </c>
      <c r="N285" s="31">
        <f t="shared" si="19"/>
        <v>-1.30470349352118E-4</v>
      </c>
      <c r="Q285" s="34"/>
      <c r="R285" s="23"/>
      <c r="S285" s="34"/>
      <c r="T285" s="23"/>
      <c r="U285" s="2"/>
      <c r="W285" s="34"/>
      <c r="X285" s="23"/>
      <c r="Y285" s="34"/>
      <c r="Z285" s="23"/>
      <c r="AA285" s="2"/>
      <c r="AC285" s="244"/>
    </row>
    <row r="286" spans="10:29">
      <c r="J286" s="412">
        <v>41225</v>
      </c>
      <c r="K286" s="413">
        <v>11.110771</v>
      </c>
      <c r="L286" s="30">
        <f t="shared" si="18"/>
        <v>7.6078636930844894E-3</v>
      </c>
      <c r="M286" s="414">
        <v>1380.030029</v>
      </c>
      <c r="N286" s="31">
        <f t="shared" si="19"/>
        <v>4.0013676558244187E-3</v>
      </c>
      <c r="Q286" s="34"/>
      <c r="R286" s="23"/>
      <c r="S286" s="34"/>
      <c r="T286" s="23"/>
      <c r="U286" s="2"/>
      <c r="W286" s="34"/>
      <c r="X286" s="23"/>
      <c r="Y286" s="34"/>
      <c r="Z286" s="23"/>
      <c r="AA286" s="2"/>
      <c r="AC286" s="244"/>
    </row>
    <row r="287" spans="10:29">
      <c r="J287" s="412">
        <v>41226</v>
      </c>
      <c r="K287" s="413">
        <v>11.02688</v>
      </c>
      <c r="L287" s="30">
        <f t="shared" si="18"/>
        <v>2.5129948511458354E-2</v>
      </c>
      <c r="M287" s="414">
        <v>1374.530029</v>
      </c>
      <c r="N287" s="31">
        <f t="shared" si="19"/>
        <v>1.4046609816720209E-2</v>
      </c>
      <c r="Q287" s="34"/>
      <c r="R287" s="23"/>
      <c r="S287" s="34"/>
      <c r="T287" s="23"/>
      <c r="U287" s="2"/>
      <c r="W287" s="34"/>
      <c r="X287" s="23"/>
      <c r="Y287" s="34"/>
      <c r="Z287" s="23"/>
      <c r="AA287" s="2"/>
      <c r="AC287" s="244"/>
    </row>
    <row r="288" spans="10:29">
      <c r="J288" s="412">
        <v>41227</v>
      </c>
      <c r="K288" s="413">
        <v>10.756568</v>
      </c>
      <c r="L288" s="30">
        <f t="shared" si="18"/>
        <v>-4.3141025035790953E-3</v>
      </c>
      <c r="M288" s="414">
        <v>1355.48999</v>
      </c>
      <c r="N288" s="31">
        <f t="shared" si="19"/>
        <v>1.5960882195974948E-3</v>
      </c>
      <c r="Q288" s="34"/>
      <c r="R288" s="23"/>
      <c r="S288" s="34"/>
      <c r="T288" s="23"/>
      <c r="U288" s="2"/>
      <c r="W288" s="34"/>
      <c r="X288" s="23"/>
      <c r="Y288" s="34"/>
      <c r="Z288" s="23"/>
      <c r="AA288" s="2"/>
      <c r="AC288" s="244"/>
    </row>
    <row r="289" spans="10:29">
      <c r="J289" s="412">
        <v>41228</v>
      </c>
      <c r="K289" s="413">
        <v>10.803174</v>
      </c>
      <c r="L289" s="30">
        <f t="shared" si="18"/>
        <v>1.8453480249221485E-2</v>
      </c>
      <c r="M289" s="414">
        <v>1353.329956</v>
      </c>
      <c r="N289" s="31">
        <f t="shared" si="19"/>
        <v>-4.8166374797164145E-3</v>
      </c>
      <c r="Q289" s="34"/>
      <c r="R289" s="23"/>
      <c r="S289" s="34"/>
      <c r="T289" s="23"/>
      <c r="U289" s="2"/>
      <c r="W289" s="34"/>
      <c r="X289" s="23"/>
      <c r="Y289" s="34"/>
      <c r="Z289" s="23"/>
      <c r="AA289" s="2"/>
      <c r="AC289" s="244"/>
    </row>
    <row r="290" spans="10:29">
      <c r="J290" s="412">
        <v>41229</v>
      </c>
      <c r="K290" s="413">
        <v>10.607430000000001</v>
      </c>
      <c r="L290" s="30">
        <f t="shared" si="18"/>
        <v>-2.7350453056409145E-2</v>
      </c>
      <c r="M290" s="414">
        <v>1359.880005</v>
      </c>
      <c r="N290" s="31">
        <f t="shared" si="19"/>
        <v>-1.9475235748957331E-2</v>
      </c>
      <c r="Q290" s="34"/>
      <c r="R290" s="23"/>
      <c r="S290" s="34"/>
      <c r="T290" s="23"/>
      <c r="U290" s="2"/>
      <c r="W290" s="34"/>
      <c r="X290" s="23"/>
      <c r="Y290" s="34"/>
      <c r="Z290" s="23"/>
      <c r="AA290" s="2"/>
      <c r="AC290" s="244"/>
    </row>
    <row r="291" spans="10:29">
      <c r="J291" s="412">
        <v>41232</v>
      </c>
      <c r="K291" s="413">
        <v>10.905706</v>
      </c>
      <c r="L291" s="30">
        <f t="shared" si="18"/>
        <v>1.174935585750112E-2</v>
      </c>
      <c r="M291" s="414">
        <v>1386.8900149999999</v>
      </c>
      <c r="N291" s="31">
        <f t="shared" si="19"/>
        <v>-6.6294662877923536E-4</v>
      </c>
      <c r="Q291" s="34"/>
      <c r="R291" s="23"/>
      <c r="S291" s="34"/>
      <c r="T291" s="23"/>
      <c r="U291" s="2"/>
      <c r="W291" s="34"/>
      <c r="X291" s="23"/>
      <c r="Y291" s="34"/>
      <c r="Z291" s="23"/>
      <c r="AA291" s="2"/>
      <c r="AC291" s="244"/>
    </row>
    <row r="292" spans="10:29">
      <c r="J292" s="412">
        <v>41233</v>
      </c>
      <c r="K292" s="413">
        <v>10.779059</v>
      </c>
      <c r="L292" s="30">
        <f t="shared" si="18"/>
        <v>-2.7918752885836284E-2</v>
      </c>
      <c r="M292" s="414">
        <v>1387.8100589999999</v>
      </c>
      <c r="N292" s="31">
        <f t="shared" si="19"/>
        <v>-2.3148098408162423E-3</v>
      </c>
      <c r="Q292" s="34"/>
      <c r="R292" s="23"/>
      <c r="S292" s="34"/>
      <c r="T292" s="23"/>
      <c r="U292" s="2"/>
      <c r="W292" s="34"/>
      <c r="X292" s="23"/>
      <c r="Y292" s="34"/>
      <c r="Z292" s="23"/>
      <c r="AA292" s="2"/>
      <c r="AC292" s="244"/>
    </row>
    <row r="293" spans="10:29">
      <c r="J293" s="412">
        <v>41234</v>
      </c>
      <c r="K293" s="413">
        <v>11.08864</v>
      </c>
      <c r="L293" s="30">
        <f t="shared" si="18"/>
        <v>-6.7226875701493815E-3</v>
      </c>
      <c r="M293" s="414">
        <v>1391.030029</v>
      </c>
      <c r="N293" s="31">
        <f t="shared" si="19"/>
        <v>-1.285881183081186E-2</v>
      </c>
      <c r="Q293" s="34"/>
      <c r="R293" s="23"/>
      <c r="S293" s="34"/>
      <c r="T293" s="23"/>
      <c r="U293" s="2"/>
      <c r="W293" s="34"/>
      <c r="X293" s="23"/>
      <c r="Y293" s="34"/>
      <c r="Z293" s="23"/>
      <c r="AA293" s="2"/>
      <c r="AC293" s="244"/>
    </row>
    <row r="294" spans="10:29">
      <c r="J294" s="412">
        <v>41236</v>
      </c>
      <c r="K294" s="413">
        <v>11.163690000000001</v>
      </c>
      <c r="L294" s="30">
        <f t="shared" si="18"/>
        <v>-1.7341015022319054E-2</v>
      </c>
      <c r="M294" s="414">
        <v>1409.150024</v>
      </c>
      <c r="N294" s="31">
        <f t="shared" si="19"/>
        <v>2.0337092069810585E-3</v>
      </c>
      <c r="Q294" s="34"/>
      <c r="R294" s="23"/>
      <c r="S294" s="34"/>
      <c r="T294" s="23"/>
      <c r="U294" s="2"/>
      <c r="W294" s="34"/>
      <c r="X294" s="23"/>
      <c r="Y294" s="34"/>
      <c r="Z294" s="23"/>
      <c r="AA294" s="2"/>
      <c r="AC294" s="244"/>
    </row>
    <row r="295" spans="10:29">
      <c r="J295" s="412">
        <v>41239</v>
      </c>
      <c r="K295" s="413">
        <v>11.360696000000001</v>
      </c>
      <c r="L295" s="30">
        <f t="shared" si="18"/>
        <v>-4.1119067695465162E-3</v>
      </c>
      <c r="M295" s="414">
        <v>1406.290039</v>
      </c>
      <c r="N295" s="31">
        <f t="shared" si="19"/>
        <v>5.2540482865517735E-3</v>
      </c>
      <c r="Q295" s="34"/>
      <c r="R295" s="23"/>
      <c r="S295" s="34"/>
      <c r="T295" s="23"/>
      <c r="U295" s="2"/>
      <c r="W295" s="34"/>
      <c r="X295" s="23"/>
      <c r="Y295" s="34"/>
      <c r="Z295" s="23"/>
      <c r="AA295" s="2"/>
      <c r="AC295" s="244"/>
    </row>
    <row r="296" spans="10:29">
      <c r="J296" s="412">
        <v>41240</v>
      </c>
      <c r="K296" s="413">
        <v>11.407603</v>
      </c>
      <c r="L296" s="30">
        <f t="shared" si="18"/>
        <v>-8.1566478423179198E-3</v>
      </c>
      <c r="M296" s="414">
        <v>1398.9399410000001</v>
      </c>
      <c r="N296" s="31">
        <f t="shared" si="19"/>
        <v>-7.7947930599966044E-3</v>
      </c>
      <c r="Q296" s="34"/>
      <c r="R296" s="23"/>
      <c r="S296" s="34"/>
      <c r="T296" s="23"/>
      <c r="U296" s="2"/>
      <c r="W296" s="34"/>
      <c r="X296" s="23"/>
      <c r="Y296" s="34"/>
      <c r="Z296" s="23"/>
      <c r="AA296" s="2"/>
      <c r="AC296" s="244"/>
    </row>
    <row r="297" spans="10:29">
      <c r="J297" s="412">
        <v>41241</v>
      </c>
      <c r="K297" s="413">
        <v>11.501416000000001</v>
      </c>
      <c r="L297" s="30">
        <f t="shared" si="18"/>
        <v>1.8272464663212917E-2</v>
      </c>
      <c r="M297" s="414">
        <v>1409.9300539999999</v>
      </c>
      <c r="N297" s="31">
        <f t="shared" si="19"/>
        <v>-4.2514899596194332E-3</v>
      </c>
      <c r="Q297" s="34"/>
      <c r="R297" s="23"/>
      <c r="S297" s="34"/>
      <c r="T297" s="23"/>
      <c r="U297" s="2"/>
      <c r="W297" s="34"/>
      <c r="X297" s="23"/>
      <c r="Y297" s="34"/>
      <c r="Z297" s="23"/>
      <c r="AA297" s="2"/>
      <c r="AC297" s="244"/>
    </row>
    <row r="298" spans="10:29">
      <c r="J298" s="412">
        <v>41242</v>
      </c>
      <c r="K298" s="413">
        <v>11.295028</v>
      </c>
      <c r="L298" s="30">
        <f t="shared" si="18"/>
        <v>5.8478844742710628E-3</v>
      </c>
      <c r="M298" s="414">
        <v>1415.9499510000001</v>
      </c>
      <c r="N298" s="31">
        <f t="shared" si="19"/>
        <v>-1.6248145802502019E-4</v>
      </c>
      <c r="Q298" s="34"/>
      <c r="R298" s="23"/>
      <c r="S298" s="34"/>
      <c r="T298" s="23"/>
      <c r="U298" s="2"/>
      <c r="W298" s="34"/>
      <c r="X298" s="23"/>
      <c r="Y298" s="34"/>
      <c r="Z298" s="23"/>
      <c r="AA298" s="2"/>
      <c r="AC298" s="244"/>
    </row>
    <row r="299" spans="10:29">
      <c r="J299" s="412">
        <v>41243</v>
      </c>
      <c r="K299" s="413">
        <v>11.22936</v>
      </c>
      <c r="L299" s="30">
        <f t="shared" si="18"/>
        <v>1.8723444094750533E-2</v>
      </c>
      <c r="M299" s="414">
        <v>1416.1800539999999</v>
      </c>
      <c r="N299" s="31">
        <f t="shared" si="19"/>
        <v>4.7678495210548982E-3</v>
      </c>
      <c r="Q299" s="34"/>
      <c r="R299" s="23"/>
      <c r="S299" s="34"/>
      <c r="T299" s="23"/>
      <c r="U299" s="2"/>
      <c r="W299" s="34"/>
      <c r="X299" s="23"/>
      <c r="Y299" s="34"/>
      <c r="Z299" s="23"/>
      <c r="AA299" s="2"/>
      <c r="AC299" s="244"/>
    </row>
    <row r="300" spans="10:29">
      <c r="J300" s="412">
        <v>41246</v>
      </c>
      <c r="K300" s="413">
        <v>11.022971999999999</v>
      </c>
      <c r="L300" s="30">
        <f t="shared" si="18"/>
        <v>-2.8925632939828413E-2</v>
      </c>
      <c r="M300" s="414">
        <v>1409.459961</v>
      </c>
      <c r="N300" s="31">
        <f t="shared" si="19"/>
        <v>1.7127407811206271E-3</v>
      </c>
      <c r="Q300" s="34"/>
      <c r="R300" s="23"/>
      <c r="S300" s="34"/>
      <c r="T300" s="23"/>
      <c r="U300" s="2"/>
      <c r="W300" s="34"/>
      <c r="X300" s="23"/>
      <c r="Y300" s="34"/>
      <c r="Z300" s="23"/>
      <c r="AA300" s="2"/>
      <c r="AC300" s="244"/>
    </row>
    <row r="301" spans="10:29">
      <c r="J301" s="412">
        <v>41247</v>
      </c>
      <c r="K301" s="413">
        <v>11.351316000000001</v>
      </c>
      <c r="L301" s="30">
        <f t="shared" si="18"/>
        <v>1.1705727052227848E-2</v>
      </c>
      <c r="M301" s="414">
        <v>1407.0500489999999</v>
      </c>
      <c r="N301" s="31">
        <f t="shared" si="19"/>
        <v>-1.5823540773386414E-3</v>
      </c>
      <c r="Q301" s="34"/>
      <c r="R301" s="23"/>
      <c r="S301" s="34"/>
      <c r="T301" s="23"/>
      <c r="U301" s="2"/>
      <c r="W301" s="34"/>
      <c r="X301" s="23"/>
      <c r="Y301" s="34"/>
      <c r="Z301" s="23"/>
      <c r="AA301" s="2"/>
      <c r="AC301" s="244"/>
    </row>
    <row r="302" spans="10:29">
      <c r="J302" s="412">
        <v>41248</v>
      </c>
      <c r="K302" s="413">
        <v>11.219977999999999</v>
      </c>
      <c r="L302" s="30">
        <f t="shared" si="18"/>
        <v>-1.669404221469721E-3</v>
      </c>
      <c r="M302" s="414">
        <v>1409.280029</v>
      </c>
      <c r="N302" s="31">
        <f t="shared" si="19"/>
        <v>-3.2956930240646454E-3</v>
      </c>
      <c r="Q302" s="34"/>
      <c r="R302" s="23"/>
      <c r="S302" s="34"/>
      <c r="T302" s="23"/>
      <c r="U302" s="2"/>
      <c r="W302" s="34"/>
      <c r="X302" s="23"/>
      <c r="Y302" s="34"/>
      <c r="Z302" s="23"/>
      <c r="AA302" s="2"/>
      <c r="AC302" s="244"/>
    </row>
    <row r="303" spans="10:29">
      <c r="J303" s="412">
        <v>41249</v>
      </c>
      <c r="K303" s="413">
        <v>11.23874</v>
      </c>
      <c r="L303" s="30">
        <f t="shared" si="18"/>
        <v>1.6721957921843173E-3</v>
      </c>
      <c r="M303" s="414">
        <v>1413.9399410000001</v>
      </c>
      <c r="N303" s="31">
        <f t="shared" si="19"/>
        <v>-2.9124127562604606E-3</v>
      </c>
      <c r="Q303" s="34"/>
      <c r="R303" s="23"/>
      <c r="S303" s="34"/>
      <c r="T303" s="23"/>
      <c r="U303" s="2"/>
      <c r="W303" s="34"/>
      <c r="X303" s="23"/>
      <c r="Y303" s="34"/>
      <c r="Z303" s="23"/>
      <c r="AA303" s="2"/>
      <c r="AC303" s="244"/>
    </row>
    <row r="304" spans="10:29">
      <c r="J304" s="412">
        <v>41250</v>
      </c>
      <c r="K304" s="413">
        <v>11.219977999999999</v>
      </c>
      <c r="L304" s="30">
        <f t="shared" si="18"/>
        <v>-3.2362451173879564E-2</v>
      </c>
      <c r="M304" s="414">
        <v>1418.0699460000001</v>
      </c>
      <c r="N304" s="31">
        <f t="shared" si="19"/>
        <v>-3.3844628910930432E-4</v>
      </c>
      <c r="Q304" s="34"/>
      <c r="R304" s="23"/>
      <c r="S304" s="34"/>
      <c r="T304" s="23"/>
      <c r="U304" s="2"/>
      <c r="W304" s="34"/>
      <c r="X304" s="23"/>
      <c r="Y304" s="34"/>
      <c r="Z304" s="23"/>
      <c r="AA304" s="2"/>
      <c r="AC304" s="244"/>
    </row>
    <row r="305" spans="10:29">
      <c r="J305" s="412">
        <v>41253</v>
      </c>
      <c r="K305" s="413">
        <v>11.595228000000001</v>
      </c>
      <c r="L305" s="30">
        <f t="shared" si="18"/>
        <v>-2.2924874807074575E-2</v>
      </c>
      <c r="M305" s="414">
        <v>1418.5500489999999</v>
      </c>
      <c r="N305" s="31">
        <f t="shared" si="19"/>
        <v>-6.5062732667619276E-3</v>
      </c>
      <c r="Q305" s="34"/>
      <c r="R305" s="23"/>
      <c r="S305" s="34"/>
      <c r="T305" s="23"/>
      <c r="U305" s="2"/>
      <c r="W305" s="34"/>
      <c r="X305" s="23"/>
      <c r="Y305" s="34"/>
      <c r="Z305" s="23"/>
      <c r="AA305" s="2"/>
      <c r="AC305" s="244"/>
    </row>
    <row r="306" spans="10:29">
      <c r="J306" s="412">
        <v>41254</v>
      </c>
      <c r="K306" s="413">
        <v>11.867284</v>
      </c>
      <c r="L306" s="30">
        <f t="shared" si="18"/>
        <v>1.0383276620007818E-2</v>
      </c>
      <c r="M306" s="414">
        <v>1427.839966</v>
      </c>
      <c r="N306" s="31">
        <f t="shared" si="19"/>
        <v>-4.4803848073535105E-4</v>
      </c>
      <c r="Q306" s="34"/>
      <c r="R306" s="23"/>
      <c r="S306" s="34"/>
      <c r="T306" s="23"/>
      <c r="U306" s="2"/>
      <c r="W306" s="34"/>
      <c r="X306" s="23"/>
      <c r="Y306" s="34"/>
      <c r="Z306" s="23"/>
      <c r="AA306" s="2"/>
      <c r="AC306" s="244"/>
    </row>
    <row r="307" spans="10:29">
      <c r="J307" s="412">
        <v>41255</v>
      </c>
      <c r="K307" s="413">
        <v>11.745329</v>
      </c>
      <c r="L307" s="30">
        <f t="shared" si="18"/>
        <v>-7.9797806989523649E-4</v>
      </c>
      <c r="M307" s="414">
        <v>1428.4799800000001</v>
      </c>
      <c r="N307" s="31">
        <f t="shared" si="19"/>
        <v>6.3616395869670311E-3</v>
      </c>
      <c r="Q307" s="34"/>
      <c r="R307" s="23"/>
      <c r="S307" s="34"/>
      <c r="T307" s="23"/>
      <c r="U307" s="2"/>
      <c r="W307" s="34"/>
      <c r="X307" s="23"/>
      <c r="Y307" s="34"/>
      <c r="Z307" s="23"/>
      <c r="AA307" s="2"/>
      <c r="AC307" s="244"/>
    </row>
    <row r="308" spans="10:29">
      <c r="J308" s="412">
        <v>41256</v>
      </c>
      <c r="K308" s="413">
        <v>11.754709</v>
      </c>
      <c r="L308" s="30">
        <f t="shared" si="18"/>
        <v>-4.7657280752844431E-3</v>
      </c>
      <c r="M308" s="414">
        <v>1419.4499510000001</v>
      </c>
      <c r="N308" s="31">
        <f t="shared" si="19"/>
        <v>4.1525737366921306E-3</v>
      </c>
      <c r="Q308" s="34"/>
      <c r="R308" s="23"/>
      <c r="S308" s="34"/>
      <c r="T308" s="23"/>
      <c r="U308" s="2"/>
      <c r="W308" s="34"/>
      <c r="X308" s="23"/>
      <c r="Y308" s="34"/>
      <c r="Z308" s="23"/>
      <c r="AA308" s="2"/>
      <c r="AC308" s="244"/>
    </row>
    <row r="309" spans="10:29">
      <c r="J309" s="412">
        <v>41257</v>
      </c>
      <c r="K309" s="413">
        <v>11.810997</v>
      </c>
      <c r="L309" s="30">
        <f t="shared" si="18"/>
        <v>3.9872183919692468E-3</v>
      </c>
      <c r="M309" s="414">
        <v>1413.579956</v>
      </c>
      <c r="N309" s="31">
        <f t="shared" si="19"/>
        <v>-1.1731332794520264E-2</v>
      </c>
      <c r="Q309" s="34"/>
      <c r="R309" s="23"/>
      <c r="S309" s="34"/>
      <c r="T309" s="23"/>
      <c r="U309" s="2"/>
      <c r="W309" s="34"/>
      <c r="X309" s="23"/>
      <c r="Y309" s="34"/>
      <c r="Z309" s="23"/>
      <c r="AA309" s="2"/>
      <c r="AC309" s="244"/>
    </row>
    <row r="310" spans="10:29">
      <c r="J310" s="412">
        <v>41260</v>
      </c>
      <c r="K310" s="413">
        <v>11.764091000000001</v>
      </c>
      <c r="L310" s="30">
        <f t="shared" si="18"/>
        <v>-1.592398581871579E-3</v>
      </c>
      <c r="M310" s="414">
        <v>1430.3599850000001</v>
      </c>
      <c r="N310" s="31">
        <f t="shared" si="19"/>
        <v>-1.1356211721886155E-2</v>
      </c>
      <c r="Q310" s="34"/>
      <c r="R310" s="23"/>
      <c r="S310" s="34"/>
      <c r="T310" s="23"/>
      <c r="U310" s="2"/>
      <c r="W310" s="34"/>
      <c r="X310" s="23"/>
      <c r="Y310" s="34"/>
      <c r="Z310" s="23"/>
      <c r="AA310" s="2"/>
      <c r="AC310" s="244"/>
    </row>
    <row r="311" spans="10:29">
      <c r="J311" s="412">
        <v>41261</v>
      </c>
      <c r="K311" s="413">
        <v>11.782854</v>
      </c>
      <c r="L311" s="30">
        <f t="shared" si="18"/>
        <v>-7.1145175256612497E-3</v>
      </c>
      <c r="M311" s="414">
        <v>1446.790039</v>
      </c>
      <c r="N311" s="31">
        <f t="shared" si="19"/>
        <v>7.6472371336131374E-3</v>
      </c>
      <c r="Q311" s="34"/>
      <c r="R311" s="23"/>
      <c r="S311" s="34"/>
      <c r="T311" s="23"/>
      <c r="U311" s="2"/>
      <c r="W311" s="34"/>
      <c r="X311" s="23"/>
      <c r="Y311" s="34"/>
      <c r="Z311" s="23"/>
      <c r="AA311" s="2"/>
      <c r="AC311" s="244"/>
    </row>
    <row r="312" spans="10:29">
      <c r="J312" s="412">
        <v>41262</v>
      </c>
      <c r="K312" s="413">
        <v>11.867284</v>
      </c>
      <c r="L312" s="30">
        <f t="shared" si="18"/>
        <v>7.910335587132571E-4</v>
      </c>
      <c r="M312" s="414">
        <v>1435.8100589999999</v>
      </c>
      <c r="N312" s="31">
        <f t="shared" si="19"/>
        <v>-5.458153981832155E-3</v>
      </c>
      <c r="Q312" s="34"/>
      <c r="R312" s="23"/>
      <c r="S312" s="34"/>
      <c r="T312" s="23"/>
      <c r="U312" s="2"/>
      <c r="W312" s="34"/>
      <c r="X312" s="23"/>
      <c r="Y312" s="34"/>
      <c r="Z312" s="23"/>
      <c r="AA312" s="2"/>
      <c r="AC312" s="244"/>
    </row>
    <row r="313" spans="10:29">
      <c r="J313" s="412">
        <v>41263</v>
      </c>
      <c r="K313" s="413">
        <v>11.857904</v>
      </c>
      <c r="L313" s="30">
        <f t="shared" si="18"/>
        <v>2.3481839523687844E-2</v>
      </c>
      <c r="M313" s="414">
        <v>1443.6899410000001</v>
      </c>
      <c r="N313" s="31">
        <f t="shared" si="19"/>
        <v>9.4674801753526095E-3</v>
      </c>
      <c r="Q313" s="34"/>
      <c r="R313" s="23"/>
      <c r="S313" s="34"/>
      <c r="T313" s="23"/>
      <c r="U313" s="2"/>
      <c r="W313" s="34"/>
      <c r="X313" s="23"/>
      <c r="Y313" s="34"/>
      <c r="Z313" s="23"/>
      <c r="AA313" s="2"/>
      <c r="AC313" s="244"/>
    </row>
    <row r="314" spans="10:29">
      <c r="J314" s="412">
        <v>41264</v>
      </c>
      <c r="K314" s="413">
        <v>11.585846999999999</v>
      </c>
      <c r="L314" s="30">
        <f t="shared" si="18"/>
        <v>8.1633068610829935E-3</v>
      </c>
      <c r="M314" s="414">
        <v>1430.150024</v>
      </c>
      <c r="N314" s="31">
        <f t="shared" si="19"/>
        <v>2.4462660457481031E-3</v>
      </c>
      <c r="Q314" s="34"/>
      <c r="R314" s="23"/>
      <c r="S314" s="34"/>
      <c r="T314" s="23"/>
      <c r="U314" s="2"/>
      <c r="W314" s="34"/>
      <c r="X314" s="23"/>
      <c r="Y314" s="34"/>
      <c r="Z314" s="23"/>
      <c r="AA314" s="2"/>
      <c r="AC314" s="244"/>
    </row>
    <row r="315" spans="10:29">
      <c r="J315" s="412">
        <v>41267</v>
      </c>
      <c r="K315" s="413">
        <v>11.492034</v>
      </c>
      <c r="L315" s="30">
        <f t="shared" si="18"/>
        <v>8.1697147862949584E-4</v>
      </c>
      <c r="M315" s="414">
        <v>1426.660034</v>
      </c>
      <c r="N315" s="31">
        <f t="shared" si="19"/>
        <v>4.8104901373132863E-3</v>
      </c>
      <c r="Q315" s="34"/>
      <c r="R315" s="23"/>
      <c r="S315" s="34"/>
      <c r="T315" s="23"/>
      <c r="U315" s="2"/>
      <c r="W315" s="34"/>
      <c r="X315" s="23"/>
      <c r="Y315" s="34"/>
      <c r="Z315" s="23"/>
      <c r="AA315" s="2"/>
      <c r="AC315" s="244"/>
    </row>
    <row r="316" spans="10:29">
      <c r="J316" s="412">
        <v>41269</v>
      </c>
      <c r="K316" s="413">
        <v>11.482653000000001</v>
      </c>
      <c r="L316" s="30">
        <f t="shared" si="18"/>
        <v>6.5789456382730838E-3</v>
      </c>
      <c r="M316" s="414">
        <v>1419.829956</v>
      </c>
      <c r="N316" s="31">
        <f t="shared" si="19"/>
        <v>1.2199280934196057E-3</v>
      </c>
      <c r="Q316" s="34"/>
      <c r="R316" s="23"/>
      <c r="S316" s="34"/>
      <c r="T316" s="23"/>
      <c r="U316" s="2"/>
      <c r="W316" s="34"/>
      <c r="X316" s="23"/>
      <c r="Y316" s="34"/>
      <c r="Z316" s="23"/>
      <c r="AA316" s="2"/>
      <c r="AC316" s="244"/>
    </row>
    <row r="317" spans="10:29">
      <c r="J317" s="412">
        <v>41270</v>
      </c>
      <c r="K317" s="413">
        <v>11.407603</v>
      </c>
      <c r="L317" s="30">
        <f t="shared" si="18"/>
        <v>4.9586321092637458E-3</v>
      </c>
      <c r="M317" s="414">
        <v>1418.099976</v>
      </c>
      <c r="N317" s="31">
        <f t="shared" si="19"/>
        <v>1.1173407155177839E-2</v>
      </c>
      <c r="Q317" s="34"/>
      <c r="R317" s="23"/>
      <c r="S317" s="34"/>
      <c r="T317" s="23"/>
      <c r="U317" s="2"/>
      <c r="W317" s="34"/>
      <c r="X317" s="23"/>
      <c r="Y317" s="34"/>
      <c r="Z317" s="23"/>
      <c r="AA317" s="2"/>
      <c r="AC317" s="244"/>
    </row>
    <row r="318" spans="10:29">
      <c r="J318" s="412">
        <v>41271</v>
      </c>
      <c r="K318" s="413">
        <v>11.351316000000001</v>
      </c>
      <c r="L318" s="30">
        <f t="shared" si="18"/>
        <v>-1.305056699105572E-2</v>
      </c>
      <c r="M318" s="414">
        <v>1402.4300539999999</v>
      </c>
      <c r="N318" s="31">
        <f t="shared" si="19"/>
        <v>-1.6659693296771163E-2</v>
      </c>
      <c r="Q318" s="34"/>
      <c r="R318" s="23"/>
      <c r="S318" s="34"/>
      <c r="T318" s="23"/>
      <c r="U318" s="2"/>
      <c r="W318" s="34"/>
      <c r="X318" s="23"/>
      <c r="Y318" s="34"/>
      <c r="Z318" s="23"/>
      <c r="AA318" s="2"/>
      <c r="AC318" s="244"/>
    </row>
    <row r="319" spans="10:29">
      <c r="J319" s="412">
        <v>41274</v>
      </c>
      <c r="K319" s="413">
        <v>11.501416000000001</v>
      </c>
      <c r="L319" s="30">
        <f t="shared" si="18"/>
        <v>-3.6163471020123746E-2</v>
      </c>
      <c r="M319" s="414">
        <v>1426.1899410000001</v>
      </c>
      <c r="N319" s="31">
        <f t="shared" si="19"/>
        <v>-2.4774074417705308E-2</v>
      </c>
      <c r="Q319" s="34"/>
      <c r="R319" s="23"/>
      <c r="S319" s="34"/>
      <c r="T319" s="23"/>
      <c r="U319" s="2"/>
      <c r="W319" s="34"/>
      <c r="X319" s="23"/>
      <c r="Y319" s="34"/>
      <c r="Z319" s="23"/>
      <c r="AA319" s="2"/>
      <c r="AC319" s="244"/>
    </row>
    <row r="320" spans="10:29">
      <c r="J320" s="412">
        <v>41276</v>
      </c>
      <c r="K320" s="413">
        <v>11.932952999999999</v>
      </c>
      <c r="L320" s="30">
        <f t="shared" si="18"/>
        <v>-7.8552483961687831E-4</v>
      </c>
      <c r="M320" s="414">
        <v>1462.420044</v>
      </c>
      <c r="N320" s="31">
        <f t="shared" si="19"/>
        <v>2.0899765038679889E-3</v>
      </c>
      <c r="Q320" s="34"/>
      <c r="R320" s="23"/>
      <c r="S320" s="34"/>
      <c r="T320" s="23"/>
      <c r="U320" s="2"/>
      <c r="W320" s="34"/>
      <c r="X320" s="23"/>
      <c r="Y320" s="34"/>
      <c r="Z320" s="23"/>
      <c r="AA320" s="2"/>
      <c r="AC320" s="244"/>
    </row>
    <row r="321" spans="10:29">
      <c r="J321" s="412">
        <v>41277</v>
      </c>
      <c r="K321" s="413">
        <v>11.942334000000001</v>
      </c>
      <c r="L321" s="30">
        <f t="shared" si="18"/>
        <v>-3.1939195614390493E-2</v>
      </c>
      <c r="M321" s="414">
        <v>1459.369995</v>
      </c>
      <c r="N321" s="31">
        <f t="shared" si="19"/>
        <v>-4.8415420297753713E-3</v>
      </c>
      <c r="Q321" s="34"/>
      <c r="R321" s="23"/>
      <c r="S321" s="34"/>
      <c r="T321" s="23"/>
      <c r="U321" s="2"/>
      <c r="W321" s="34"/>
      <c r="X321" s="23"/>
      <c r="Y321" s="34"/>
      <c r="Z321" s="23"/>
      <c r="AA321" s="2"/>
      <c r="AC321" s="244"/>
    </row>
    <row r="322" spans="10:29">
      <c r="J322" s="412">
        <v>41278</v>
      </c>
      <c r="K322" s="413">
        <v>12.336347</v>
      </c>
      <c r="L322" s="30">
        <f t="shared" si="18"/>
        <v>2.9757192488059088E-2</v>
      </c>
      <c r="M322" s="414">
        <v>1466.469971</v>
      </c>
      <c r="N322" s="31">
        <f t="shared" si="19"/>
        <v>3.1329005280879754E-3</v>
      </c>
      <c r="Q322" s="34"/>
      <c r="R322" s="23"/>
      <c r="S322" s="34"/>
      <c r="T322" s="23"/>
      <c r="U322" s="2"/>
      <c r="W322" s="34"/>
      <c r="X322" s="23"/>
      <c r="Y322" s="34"/>
      <c r="Z322" s="23"/>
      <c r="AA322" s="2"/>
      <c r="AC322" s="244"/>
    </row>
    <row r="323" spans="10:29">
      <c r="J323" s="412">
        <v>41281</v>
      </c>
      <c r="K323" s="413">
        <v>11.97986</v>
      </c>
      <c r="L323" s="30">
        <f t="shared" si="18"/>
        <v>2.2418014430771148E-2</v>
      </c>
      <c r="M323" s="414">
        <v>1461.8900149999999</v>
      </c>
      <c r="N323" s="31">
        <f t="shared" si="19"/>
        <v>3.2529190007410782E-3</v>
      </c>
      <c r="Q323" s="34"/>
      <c r="R323" s="23"/>
      <c r="S323" s="34"/>
      <c r="T323" s="23"/>
      <c r="U323" s="2"/>
      <c r="W323" s="34"/>
      <c r="X323" s="23"/>
      <c r="Y323" s="34"/>
      <c r="Z323" s="23"/>
      <c r="AA323" s="2"/>
      <c r="AC323" s="244"/>
    </row>
    <row r="324" spans="10:29">
      <c r="J324" s="412">
        <v>41282</v>
      </c>
      <c r="K324" s="413">
        <v>11.717184</v>
      </c>
      <c r="L324" s="30">
        <f t="shared" si="18"/>
        <v>2.2932017426499886E-2</v>
      </c>
      <c r="M324" s="414">
        <v>1457.150024</v>
      </c>
      <c r="N324" s="31">
        <f t="shared" si="19"/>
        <v>-2.6488316019104936E-3</v>
      </c>
      <c r="Q324" s="34"/>
      <c r="R324" s="23"/>
      <c r="S324" s="34"/>
      <c r="T324" s="23"/>
      <c r="U324" s="2"/>
      <c r="W324" s="34"/>
      <c r="X324" s="23"/>
      <c r="Y324" s="34"/>
      <c r="Z324" s="23"/>
      <c r="AA324" s="2"/>
      <c r="AC324" s="244"/>
    </row>
    <row r="325" spans="10:29">
      <c r="J325" s="412">
        <v>41283</v>
      </c>
      <c r="K325" s="413">
        <v>11.454509</v>
      </c>
      <c r="L325" s="30">
        <f>(K325-K326)/K326</f>
        <v>-1.6352790760368696E-3</v>
      </c>
      <c r="M325" s="414">
        <v>1461.0200199999999</v>
      </c>
      <c r="N325" s="31">
        <f t="shared" si="19"/>
        <v>-7.5401292270336198E-3</v>
      </c>
      <c r="Q325" s="34"/>
      <c r="R325" s="23"/>
      <c r="S325" s="34"/>
      <c r="T325" s="23"/>
      <c r="U325" s="2"/>
      <c r="W325" s="34"/>
      <c r="X325" s="23"/>
      <c r="Y325" s="34"/>
      <c r="Z325" s="23"/>
      <c r="AA325" s="2"/>
      <c r="AC325" s="244"/>
    </row>
    <row r="326" spans="10:29">
      <c r="J326" s="412">
        <v>41284</v>
      </c>
      <c r="K326" s="413">
        <v>11.473271</v>
      </c>
      <c r="L326" s="30">
        <f>(K326-K327)/K327</f>
        <v>1.637957593817475E-3</v>
      </c>
      <c r="M326" s="414">
        <v>1472.119995</v>
      </c>
      <c r="N326" s="31">
        <f t="shared" si="19"/>
        <v>4.7516047465633878E-5</v>
      </c>
      <c r="Q326" s="34"/>
      <c r="R326" s="23"/>
      <c r="S326" s="34"/>
      <c r="T326" s="23"/>
      <c r="U326" s="2"/>
      <c r="W326" s="34"/>
      <c r="X326" s="23"/>
      <c r="Y326" s="34"/>
      <c r="Z326" s="23"/>
      <c r="AA326" s="2"/>
      <c r="AC326" s="244"/>
    </row>
    <row r="327" spans="10:29">
      <c r="J327" s="412">
        <v>41285</v>
      </c>
      <c r="K327" s="413">
        <v>11.454509</v>
      </c>
      <c r="L327" s="30">
        <f>(K327-K328)/K328</f>
        <v>8.1965007293928189E-4</v>
      </c>
      <c r="M327" s="414">
        <v>1472.0500489999999</v>
      </c>
      <c r="N327" s="31">
        <f t="shared" si="19"/>
        <v>9.315384377954018E-4</v>
      </c>
      <c r="Q327" s="34"/>
      <c r="R327" s="23"/>
      <c r="S327" s="34"/>
      <c r="T327" s="23"/>
      <c r="U327" s="2"/>
      <c r="W327" s="34"/>
      <c r="X327" s="23"/>
      <c r="Y327" s="34"/>
      <c r="Z327" s="23"/>
      <c r="AA327" s="2"/>
      <c r="AC327" s="244"/>
    </row>
    <row r="328" spans="10:29">
      <c r="J328" s="412">
        <v>41288</v>
      </c>
      <c r="K328" s="413">
        <v>11.445128</v>
      </c>
      <c r="L328" s="30">
        <f t="shared" ref="L328:L391" si="22">(K328-K329)/K329</f>
        <v>1.8363980303841929E-2</v>
      </c>
      <c r="M328" s="414">
        <v>1470.6800539999999</v>
      </c>
      <c r="N328" s="31">
        <f t="shared" si="19"/>
        <v>-1.127397230484523E-3</v>
      </c>
      <c r="Q328" s="34"/>
      <c r="R328" s="23"/>
      <c r="S328" s="34"/>
      <c r="T328" s="23"/>
      <c r="U328" s="2"/>
      <c r="W328" s="34"/>
      <c r="X328" s="23"/>
      <c r="Y328" s="34"/>
      <c r="Z328" s="23"/>
      <c r="AA328" s="2"/>
      <c r="AC328" s="244"/>
    </row>
    <row r="329" spans="10:29">
      <c r="J329" s="412">
        <v>41289</v>
      </c>
      <c r="K329" s="413">
        <v>11.23874</v>
      </c>
      <c r="L329" s="30">
        <f t="shared" si="22"/>
        <v>-9.0984482893305702E-3</v>
      </c>
      <c r="M329" s="414">
        <v>1472.339966</v>
      </c>
      <c r="N329" s="31">
        <f t="shared" si="19"/>
        <v>-1.9695306968838981E-4</v>
      </c>
      <c r="Q329" s="34"/>
      <c r="R329" s="23"/>
      <c r="S329" s="34"/>
      <c r="T329" s="23"/>
      <c r="U329" s="2"/>
      <c r="W329" s="34"/>
      <c r="X329" s="23"/>
      <c r="Y329" s="34"/>
      <c r="Z329" s="23"/>
      <c r="AA329" s="2"/>
      <c r="AC329" s="244"/>
    </row>
    <row r="330" spans="10:29">
      <c r="J330" s="412">
        <v>41290</v>
      </c>
      <c r="K330" s="413">
        <v>11.341934</v>
      </c>
      <c r="L330" s="30">
        <f t="shared" si="22"/>
        <v>-1.3061221364294617E-2</v>
      </c>
      <c r="M330" s="414">
        <v>1472.630005</v>
      </c>
      <c r="N330" s="31">
        <f t="shared" ref="N330:N393" si="23">(M330-M331)/M331</f>
        <v>-5.6112579382448478E-3</v>
      </c>
      <c r="Q330" s="34"/>
      <c r="R330" s="23"/>
      <c r="S330" s="34"/>
      <c r="T330" s="23"/>
      <c r="U330" s="2"/>
      <c r="W330" s="34"/>
      <c r="X330" s="23"/>
      <c r="Y330" s="34"/>
      <c r="Z330" s="23"/>
      <c r="AA330" s="2"/>
      <c r="AC330" s="244"/>
    </row>
    <row r="331" spans="10:29">
      <c r="J331" s="412">
        <v>41291</v>
      </c>
      <c r="K331" s="413">
        <v>11.492034</v>
      </c>
      <c r="L331" s="30">
        <f t="shared" si="22"/>
        <v>6.5735399121169789E-3</v>
      </c>
      <c r="M331" s="414">
        <v>1480.9399410000001</v>
      </c>
      <c r="N331" s="31">
        <f t="shared" si="23"/>
        <v>-3.391727390566849E-3</v>
      </c>
      <c r="Q331" s="34"/>
      <c r="R331" s="23"/>
      <c r="S331" s="34"/>
      <c r="T331" s="23"/>
      <c r="U331" s="2"/>
      <c r="W331" s="34"/>
      <c r="X331" s="23"/>
      <c r="Y331" s="34"/>
      <c r="Z331" s="23"/>
      <c r="AA331" s="2"/>
      <c r="AC331" s="244"/>
    </row>
    <row r="332" spans="10:29">
      <c r="J332" s="412">
        <v>41292</v>
      </c>
      <c r="K332" s="413">
        <v>11.416983999999999</v>
      </c>
      <c r="L332" s="30">
        <f t="shared" si="22"/>
        <v>4.954626019391643E-3</v>
      </c>
      <c r="M332" s="414">
        <v>1485.9799800000001</v>
      </c>
      <c r="N332" s="31">
        <f t="shared" si="23"/>
        <v>-4.408585745225172E-3</v>
      </c>
      <c r="Q332" s="34"/>
      <c r="R332" s="23"/>
      <c r="S332" s="34"/>
      <c r="T332" s="23"/>
      <c r="U332" s="2"/>
      <c r="W332" s="34"/>
      <c r="X332" s="23"/>
      <c r="Y332" s="34"/>
      <c r="Z332" s="23"/>
      <c r="AA332" s="2"/>
      <c r="AC332" s="244"/>
    </row>
    <row r="333" spans="10:29">
      <c r="J333" s="412">
        <v>41296</v>
      </c>
      <c r="K333" s="413">
        <v>11.360696000000001</v>
      </c>
      <c r="L333" s="30">
        <f t="shared" si="22"/>
        <v>-1.6488481570169427E-3</v>
      </c>
      <c r="M333" s="414">
        <v>1492.5600589999999</v>
      </c>
      <c r="N333" s="31">
        <f t="shared" si="23"/>
        <v>-1.5052079603379228E-3</v>
      </c>
      <c r="Q333" s="34"/>
      <c r="R333" s="23"/>
      <c r="S333" s="34"/>
      <c r="T333" s="23"/>
      <c r="U333" s="2"/>
      <c r="W333" s="34"/>
      <c r="X333" s="23"/>
      <c r="Y333" s="34"/>
      <c r="Z333" s="23"/>
      <c r="AA333" s="2"/>
      <c r="AC333" s="244"/>
    </row>
    <row r="334" spans="10:29">
      <c r="J334" s="412">
        <v>41297</v>
      </c>
      <c r="K334" s="413">
        <v>11.379459000000001</v>
      </c>
      <c r="L334" s="30">
        <f t="shared" si="22"/>
        <v>-4.9220225772764895E-3</v>
      </c>
      <c r="M334" s="414">
        <v>1494.8100589999999</v>
      </c>
      <c r="N334" s="31">
        <f t="shared" si="23"/>
        <v>-6.6141745208974585E-6</v>
      </c>
      <c r="Q334" s="34"/>
      <c r="R334" s="23"/>
      <c r="S334" s="34"/>
      <c r="T334" s="23"/>
      <c r="U334" s="2"/>
      <c r="W334" s="34"/>
      <c r="X334" s="23"/>
      <c r="Y334" s="34"/>
      <c r="Z334" s="23"/>
      <c r="AA334" s="2"/>
      <c r="AC334" s="244"/>
    </row>
    <row r="335" spans="10:29">
      <c r="J335" s="412">
        <v>41298</v>
      </c>
      <c r="K335" s="413">
        <v>11.435746</v>
      </c>
      <c r="L335" s="30">
        <f t="shared" si="22"/>
        <v>-1.7727677760795438E-2</v>
      </c>
      <c r="M335" s="414">
        <v>1494.8199460000001</v>
      </c>
      <c r="N335" s="31">
        <f t="shared" si="23"/>
        <v>-5.4159892553517922E-3</v>
      </c>
      <c r="Q335" s="34"/>
      <c r="R335" s="23"/>
      <c r="S335" s="34"/>
      <c r="T335" s="23"/>
      <c r="U335" s="2"/>
      <c r="W335" s="34"/>
      <c r="X335" s="23"/>
      <c r="Y335" s="34"/>
      <c r="Z335" s="23"/>
      <c r="AA335" s="2"/>
      <c r="AC335" s="244"/>
    </row>
    <row r="336" spans="10:29">
      <c r="J336" s="412">
        <v>41299</v>
      </c>
      <c r="K336" s="413">
        <v>11.642134</v>
      </c>
      <c r="L336" s="30">
        <f t="shared" si="22"/>
        <v>-1.5860424544574307E-2</v>
      </c>
      <c r="M336" s="414">
        <v>1502.959961</v>
      </c>
      <c r="N336" s="31">
        <f t="shared" si="23"/>
        <v>1.853048900755545E-3</v>
      </c>
      <c r="Q336" s="34"/>
      <c r="R336" s="23"/>
      <c r="S336" s="34"/>
      <c r="T336" s="23"/>
      <c r="U336" s="2"/>
      <c r="W336" s="34"/>
      <c r="X336" s="23"/>
      <c r="Y336" s="34"/>
      <c r="Z336" s="23"/>
      <c r="AA336" s="2"/>
      <c r="AC336" s="244"/>
    </row>
    <row r="337" spans="10:29">
      <c r="J337" s="412">
        <v>41302</v>
      </c>
      <c r="K337" s="413">
        <v>11.829758999999999</v>
      </c>
      <c r="L337" s="30">
        <f t="shared" si="22"/>
        <v>2.1879993428046116E-2</v>
      </c>
      <c r="M337" s="414">
        <v>1500.1800539999999</v>
      </c>
      <c r="N337" s="31">
        <f t="shared" si="23"/>
        <v>-5.0800563539380788E-3</v>
      </c>
      <c r="Q337" s="34"/>
      <c r="R337" s="23"/>
      <c r="S337" s="34"/>
      <c r="T337" s="23"/>
      <c r="U337" s="2"/>
      <c r="W337" s="34"/>
      <c r="X337" s="23"/>
      <c r="Y337" s="34"/>
      <c r="Z337" s="23"/>
      <c r="AA337" s="2"/>
      <c r="AC337" s="244"/>
    </row>
    <row r="338" spans="10:29">
      <c r="J338" s="412">
        <v>41303</v>
      </c>
      <c r="K338" s="413">
        <v>11.576466</v>
      </c>
      <c r="L338" s="30">
        <f t="shared" si="22"/>
        <v>1.6234194631926312E-3</v>
      </c>
      <c r="M338" s="414">
        <v>1507.839966</v>
      </c>
      <c r="N338" s="31">
        <f t="shared" si="23"/>
        <v>3.9148879814912604E-3</v>
      </c>
      <c r="Q338" s="34"/>
      <c r="R338" s="23"/>
      <c r="S338" s="34"/>
      <c r="T338" s="23"/>
      <c r="U338" s="2"/>
      <c r="W338" s="34"/>
      <c r="X338" s="23"/>
      <c r="Y338" s="34"/>
      <c r="Z338" s="23"/>
      <c r="AA338" s="2"/>
      <c r="AC338" s="244"/>
    </row>
    <row r="339" spans="10:29">
      <c r="J339" s="412">
        <v>41304</v>
      </c>
      <c r="K339" s="413">
        <v>11.557703</v>
      </c>
      <c r="L339" s="30">
        <f t="shared" si="22"/>
        <v>4.893919148737799E-3</v>
      </c>
      <c r="M339" s="414">
        <v>1501.959961</v>
      </c>
      <c r="N339" s="31">
        <f t="shared" si="23"/>
        <v>2.5698887521932974E-3</v>
      </c>
      <c r="Q339" s="34"/>
      <c r="R339" s="23"/>
      <c r="S339" s="34"/>
      <c r="T339" s="23"/>
      <c r="U339" s="2"/>
      <c r="W339" s="34"/>
      <c r="X339" s="23"/>
      <c r="Y339" s="34"/>
      <c r="Z339" s="23"/>
      <c r="AA339" s="2"/>
      <c r="AC339" s="244"/>
    </row>
    <row r="340" spans="10:29">
      <c r="J340" s="412">
        <v>41305</v>
      </c>
      <c r="K340" s="413">
        <v>11.501416000000001</v>
      </c>
      <c r="L340" s="30">
        <f t="shared" si="22"/>
        <v>-8.8924150740450798E-3</v>
      </c>
      <c r="M340" s="414">
        <v>1498.1099850000001</v>
      </c>
      <c r="N340" s="31">
        <f t="shared" si="23"/>
        <v>-9.9526547328344477E-3</v>
      </c>
      <c r="Q340" s="34"/>
      <c r="R340" s="23"/>
      <c r="S340" s="34"/>
      <c r="T340" s="23"/>
      <c r="U340" s="2"/>
      <c r="W340" s="34"/>
      <c r="X340" s="23"/>
      <c r="Y340" s="34"/>
      <c r="Z340" s="23"/>
      <c r="AA340" s="2"/>
      <c r="AC340" s="244"/>
    </row>
    <row r="341" spans="10:29">
      <c r="J341" s="412">
        <v>41306</v>
      </c>
      <c r="K341" s="413">
        <v>11.604609</v>
      </c>
      <c r="L341" s="30">
        <f t="shared" si="22"/>
        <v>1.7269710385257972E-2</v>
      </c>
      <c r="M341" s="414">
        <v>1513.170044</v>
      </c>
      <c r="N341" s="31">
        <f t="shared" si="23"/>
        <v>1.1673441680047714E-2</v>
      </c>
      <c r="Q341" s="34"/>
      <c r="R341" s="23"/>
      <c r="S341" s="34"/>
      <c r="T341" s="23"/>
      <c r="U341" s="2"/>
      <c r="W341" s="34"/>
      <c r="X341" s="23"/>
      <c r="Y341" s="34"/>
      <c r="Z341" s="23"/>
      <c r="AA341" s="2"/>
      <c r="AC341" s="244"/>
    </row>
    <row r="342" spans="10:29">
      <c r="J342" s="412">
        <v>41309</v>
      </c>
      <c r="K342" s="413">
        <v>11.407603</v>
      </c>
      <c r="L342" s="30">
        <f t="shared" si="22"/>
        <v>-2.2508032799218647E-2</v>
      </c>
      <c r="M342" s="414">
        <v>1495.709961</v>
      </c>
      <c r="N342" s="31">
        <f t="shared" si="23"/>
        <v>-1.0309125050747428E-2</v>
      </c>
      <c r="Q342" s="34"/>
      <c r="R342" s="23"/>
      <c r="S342" s="34"/>
      <c r="T342" s="23"/>
      <c r="U342" s="2"/>
      <c r="W342" s="34"/>
      <c r="X342" s="23"/>
      <c r="Y342" s="34"/>
      <c r="Z342" s="23"/>
      <c r="AA342" s="2"/>
      <c r="AC342" s="244"/>
    </row>
    <row r="343" spans="10:29">
      <c r="J343" s="412">
        <v>41310</v>
      </c>
      <c r="K343" s="413">
        <v>11.670278</v>
      </c>
      <c r="L343" s="30">
        <f t="shared" si="22"/>
        <v>8.1036820736138122E-3</v>
      </c>
      <c r="M343" s="414">
        <v>1511.290039</v>
      </c>
      <c r="N343" s="31">
        <f t="shared" si="23"/>
        <v>-5.4886913918497475E-4</v>
      </c>
      <c r="Q343" s="34"/>
      <c r="R343" s="23"/>
      <c r="S343" s="34"/>
      <c r="T343" s="23"/>
      <c r="U343" s="2"/>
      <c r="W343" s="34"/>
      <c r="X343" s="23"/>
      <c r="Y343" s="34"/>
      <c r="Z343" s="23"/>
      <c r="AA343" s="2"/>
      <c r="AC343" s="244"/>
    </row>
    <row r="344" spans="10:29">
      <c r="J344" s="412">
        <v>41311</v>
      </c>
      <c r="K344" s="413">
        <v>11.576466</v>
      </c>
      <c r="L344" s="30">
        <f t="shared" si="22"/>
        <v>4.0684123304281748E-3</v>
      </c>
      <c r="M344" s="414">
        <v>1512.119995</v>
      </c>
      <c r="N344" s="31">
        <f t="shared" si="23"/>
        <v>1.8086644093773662E-3</v>
      </c>
      <c r="Q344" s="34"/>
      <c r="R344" s="23"/>
      <c r="S344" s="34"/>
      <c r="T344" s="23"/>
      <c r="U344" s="2"/>
      <c r="W344" s="34"/>
      <c r="X344" s="23"/>
      <c r="Y344" s="34"/>
      <c r="Z344" s="23"/>
      <c r="AA344" s="2"/>
      <c r="AC344" s="244"/>
    </row>
    <row r="345" spans="10:29">
      <c r="J345" s="412">
        <v>41312</v>
      </c>
      <c r="K345" s="413">
        <v>11.529559000000001</v>
      </c>
      <c r="L345" s="30">
        <f t="shared" si="22"/>
        <v>-6.4672579662097334E-3</v>
      </c>
      <c r="M345" s="414">
        <v>1509.3900149999999</v>
      </c>
      <c r="N345" s="31">
        <f t="shared" si="23"/>
        <v>-5.6261083819346917E-3</v>
      </c>
      <c r="Q345" s="34"/>
      <c r="R345" s="23"/>
      <c r="S345" s="34"/>
      <c r="T345" s="23"/>
      <c r="U345" s="2"/>
      <c r="W345" s="34"/>
      <c r="X345" s="23"/>
      <c r="Y345" s="34"/>
      <c r="Z345" s="23"/>
      <c r="AA345" s="2"/>
      <c r="AC345" s="244"/>
    </row>
    <row r="346" spans="10:29">
      <c r="J346" s="412">
        <v>41313</v>
      </c>
      <c r="K346" s="413">
        <v>11.604609</v>
      </c>
      <c r="L346" s="30">
        <f t="shared" si="22"/>
        <v>-1.1191086667313641E-2</v>
      </c>
      <c r="M346" s="414">
        <v>1517.9300539999999</v>
      </c>
      <c r="N346" s="31">
        <f t="shared" si="23"/>
        <v>6.0648512134732827E-4</v>
      </c>
      <c r="Q346" s="34"/>
      <c r="R346" s="23"/>
      <c r="S346" s="34"/>
      <c r="T346" s="23"/>
      <c r="U346" s="2"/>
      <c r="W346" s="34"/>
      <c r="X346" s="23"/>
      <c r="Y346" s="34"/>
      <c r="Z346" s="23"/>
      <c r="AA346" s="2"/>
      <c r="AC346" s="244"/>
    </row>
    <row r="347" spans="10:29">
      <c r="J347" s="412">
        <v>41316</v>
      </c>
      <c r="K347" s="413">
        <v>11.735946999999999</v>
      </c>
      <c r="L347" s="30">
        <f t="shared" si="22"/>
        <v>6.4360400404873805E-3</v>
      </c>
      <c r="M347" s="414">
        <v>1517.01001</v>
      </c>
      <c r="N347" s="31">
        <f t="shared" si="23"/>
        <v>-1.5927314282279965E-3</v>
      </c>
      <c r="Q347" s="34"/>
      <c r="R347" s="23"/>
      <c r="S347" s="34"/>
      <c r="T347" s="23"/>
      <c r="U347" s="2"/>
      <c r="W347" s="34"/>
      <c r="X347" s="23"/>
      <c r="Y347" s="34"/>
      <c r="Z347" s="23"/>
      <c r="AA347" s="2"/>
      <c r="AC347" s="244"/>
    </row>
    <row r="348" spans="10:29">
      <c r="J348" s="412">
        <v>41317</v>
      </c>
      <c r="K348" s="413">
        <v>11.660897</v>
      </c>
      <c r="L348" s="30">
        <f t="shared" si="22"/>
        <v>4.8504865609862715E-3</v>
      </c>
      <c r="M348" s="414">
        <v>1519.4300539999999</v>
      </c>
      <c r="N348" s="31">
        <f t="shared" si="23"/>
        <v>-5.9191229933254767E-4</v>
      </c>
      <c r="Q348" s="34"/>
      <c r="R348" s="23"/>
      <c r="S348" s="34"/>
      <c r="T348" s="23"/>
      <c r="U348" s="2"/>
      <c r="W348" s="34"/>
      <c r="X348" s="23"/>
      <c r="Y348" s="34"/>
      <c r="Z348" s="23"/>
      <c r="AA348" s="2"/>
      <c r="AC348" s="244"/>
    </row>
    <row r="349" spans="10:29">
      <c r="J349" s="412">
        <v>41318</v>
      </c>
      <c r="K349" s="413">
        <v>11.604609</v>
      </c>
      <c r="L349" s="30">
        <f t="shared" si="22"/>
        <v>-2.8279647847732337E-2</v>
      </c>
      <c r="M349" s="414">
        <v>1520.329956</v>
      </c>
      <c r="N349" s="31">
        <f t="shared" si="23"/>
        <v>-6.9019508377194988E-4</v>
      </c>
      <c r="Q349" s="34"/>
      <c r="R349" s="23"/>
      <c r="S349" s="34"/>
      <c r="T349" s="23"/>
      <c r="U349" s="2"/>
      <c r="W349" s="34"/>
      <c r="X349" s="23"/>
      <c r="Y349" s="34"/>
      <c r="Z349" s="23"/>
      <c r="AA349" s="2"/>
      <c r="AC349" s="244"/>
    </row>
    <row r="350" spans="10:29">
      <c r="J350" s="412">
        <v>41319</v>
      </c>
      <c r="K350" s="413">
        <v>11.942334000000001</v>
      </c>
      <c r="L350" s="30">
        <f t="shared" si="22"/>
        <v>0</v>
      </c>
      <c r="M350" s="414">
        <v>1521.380005</v>
      </c>
      <c r="N350" s="31">
        <f t="shared" si="23"/>
        <v>1.0461747736195052E-3</v>
      </c>
      <c r="Q350" s="34"/>
      <c r="R350" s="23"/>
      <c r="S350" s="34"/>
      <c r="T350" s="23"/>
      <c r="U350" s="2"/>
      <c r="W350" s="34"/>
      <c r="X350" s="23"/>
      <c r="Y350" s="34"/>
      <c r="Z350" s="23"/>
      <c r="AA350" s="2"/>
      <c r="AC350" s="244"/>
    </row>
    <row r="351" spans="10:29">
      <c r="J351" s="412">
        <v>41320</v>
      </c>
      <c r="K351" s="413">
        <v>11.942334000000001</v>
      </c>
      <c r="L351" s="30">
        <f t="shared" si="22"/>
        <v>1.3534921165958627E-2</v>
      </c>
      <c r="M351" s="414">
        <v>1519.790039</v>
      </c>
      <c r="N351" s="31">
        <f t="shared" si="23"/>
        <v>-7.2830433783816935E-3</v>
      </c>
      <c r="Q351" s="34"/>
      <c r="R351" s="23"/>
      <c r="S351" s="34"/>
      <c r="T351" s="23"/>
      <c r="U351" s="2"/>
      <c r="W351" s="34"/>
      <c r="X351" s="23"/>
      <c r="Y351" s="34"/>
      <c r="Z351" s="23"/>
      <c r="AA351" s="2"/>
      <c r="AC351" s="244"/>
    </row>
    <row r="352" spans="10:29">
      <c r="J352" s="412">
        <v>41324</v>
      </c>
      <c r="K352" s="413">
        <v>11.782854</v>
      </c>
      <c r="L352" s="30">
        <f t="shared" si="22"/>
        <v>1.4539618637555339E-2</v>
      </c>
      <c r="M352" s="414">
        <v>1530.9399410000001</v>
      </c>
      <c r="N352" s="31">
        <f t="shared" si="23"/>
        <v>1.2559932944499983E-2</v>
      </c>
      <c r="Q352" s="34"/>
      <c r="R352" s="23"/>
      <c r="S352" s="34"/>
      <c r="T352" s="23"/>
      <c r="U352" s="2"/>
      <c r="W352" s="34"/>
      <c r="X352" s="23"/>
      <c r="Y352" s="34"/>
      <c r="Z352" s="23"/>
      <c r="AA352" s="2"/>
      <c r="AC352" s="244"/>
    </row>
    <row r="353" spans="10:29">
      <c r="J353" s="412">
        <v>41325</v>
      </c>
      <c r="K353" s="413">
        <v>11.613991</v>
      </c>
      <c r="L353" s="30">
        <f t="shared" si="22"/>
        <v>7.3230901546190632E-3</v>
      </c>
      <c r="M353" s="414">
        <v>1511.9499510000001</v>
      </c>
      <c r="N353" s="31">
        <f t="shared" si="23"/>
        <v>6.3430377130938315E-3</v>
      </c>
      <c r="Q353" s="34"/>
      <c r="R353" s="23"/>
      <c r="S353" s="34"/>
      <c r="T353" s="23"/>
      <c r="U353" s="2"/>
      <c r="W353" s="34"/>
      <c r="X353" s="23"/>
      <c r="Y353" s="34"/>
      <c r="Z353" s="23"/>
      <c r="AA353" s="2"/>
      <c r="AC353" s="244"/>
    </row>
    <row r="354" spans="10:29">
      <c r="J354" s="412">
        <v>41326</v>
      </c>
      <c r="K354" s="413">
        <v>11.529559000000001</v>
      </c>
      <c r="L354" s="30">
        <f t="shared" si="22"/>
        <v>-1.837070719772934E-2</v>
      </c>
      <c r="M354" s="414">
        <v>1502.420044</v>
      </c>
      <c r="N354" s="31">
        <f t="shared" si="23"/>
        <v>-8.6961811881158327E-3</v>
      </c>
      <c r="Q354" s="34"/>
      <c r="R354" s="23"/>
      <c r="S354" s="34"/>
      <c r="T354" s="23"/>
      <c r="U354" s="2"/>
      <c r="W354" s="34"/>
      <c r="X354" s="23"/>
      <c r="Y354" s="34"/>
      <c r="Z354" s="23"/>
      <c r="AA354" s="2"/>
      <c r="AC354" s="244"/>
    </row>
    <row r="355" spans="10:29">
      <c r="J355" s="412">
        <v>41327</v>
      </c>
      <c r="K355" s="413">
        <v>11.745329</v>
      </c>
      <c r="L355" s="30">
        <f t="shared" si="22"/>
        <v>1.7886216768072605E-2</v>
      </c>
      <c r="M355" s="414">
        <v>1515.599976</v>
      </c>
      <c r="N355" s="31">
        <f t="shared" si="23"/>
        <v>1.8651073997799358E-2</v>
      </c>
      <c r="Q355" s="34"/>
      <c r="R355" s="23"/>
      <c r="S355" s="34"/>
      <c r="T355" s="23"/>
      <c r="U355" s="2"/>
      <c r="W355" s="34"/>
      <c r="X355" s="23"/>
      <c r="Y355" s="34"/>
      <c r="Z355" s="23"/>
      <c r="AA355" s="2"/>
      <c r="AC355" s="244"/>
    </row>
    <row r="356" spans="10:29">
      <c r="J356" s="412">
        <v>41330</v>
      </c>
      <c r="K356" s="413">
        <v>11.538940999999999</v>
      </c>
      <c r="L356" s="30">
        <f t="shared" si="22"/>
        <v>-1.1721849024002948E-2</v>
      </c>
      <c r="M356" s="414">
        <v>1487.849976</v>
      </c>
      <c r="N356" s="31">
        <f t="shared" si="23"/>
        <v>-6.0723645291525562E-3</v>
      </c>
      <c r="Q356" s="34"/>
      <c r="R356" s="23"/>
      <c r="S356" s="34"/>
      <c r="T356" s="23"/>
      <c r="U356" s="2"/>
      <c r="W356" s="34"/>
      <c r="X356" s="23"/>
      <c r="Y356" s="34"/>
      <c r="Z356" s="23"/>
      <c r="AA356" s="2"/>
      <c r="AC356" s="244"/>
    </row>
    <row r="357" spans="10:29">
      <c r="J357" s="412">
        <v>41331</v>
      </c>
      <c r="K357" s="413">
        <v>11.675803</v>
      </c>
      <c r="L357" s="30">
        <f t="shared" si="22"/>
        <v>-1.8254006425348392E-2</v>
      </c>
      <c r="M357" s="414">
        <v>1496.9399410000001</v>
      </c>
      <c r="N357" s="31">
        <f t="shared" si="23"/>
        <v>-1.2566078355174327E-2</v>
      </c>
      <c r="Q357" s="34"/>
      <c r="R357" s="23"/>
      <c r="S357" s="34"/>
      <c r="T357" s="23"/>
      <c r="U357" s="2"/>
      <c r="W357" s="34"/>
      <c r="X357" s="23"/>
      <c r="Y357" s="34"/>
      <c r="Z357" s="23"/>
      <c r="AA357" s="2"/>
      <c r="AC357" s="244"/>
    </row>
    <row r="358" spans="10:29">
      <c r="J358" s="412">
        <v>41332</v>
      </c>
      <c r="K358" s="413">
        <v>11.892896</v>
      </c>
      <c r="L358" s="30">
        <f t="shared" si="22"/>
        <v>-4.7392666890274208E-3</v>
      </c>
      <c r="M358" s="414">
        <v>1515.98999</v>
      </c>
      <c r="N358" s="31">
        <f t="shared" si="23"/>
        <v>8.6482686329749942E-4</v>
      </c>
      <c r="Q358" s="34"/>
      <c r="R358" s="23"/>
      <c r="S358" s="34"/>
      <c r="T358" s="23"/>
      <c r="U358" s="2"/>
      <c r="W358" s="34"/>
      <c r="X358" s="23"/>
      <c r="Y358" s="34"/>
      <c r="Z358" s="23"/>
      <c r="AA358" s="2"/>
      <c r="AC358" s="244"/>
    </row>
    <row r="359" spans="10:29">
      <c r="J359" s="412">
        <v>41333</v>
      </c>
      <c r="K359" s="413">
        <v>11.949528000000001</v>
      </c>
      <c r="L359" s="30">
        <f t="shared" si="22"/>
        <v>-3.9339909740350384E-3</v>
      </c>
      <c r="M359" s="414">
        <v>1514.6800539999999</v>
      </c>
      <c r="N359" s="31">
        <f t="shared" si="23"/>
        <v>-2.3184673386938662E-3</v>
      </c>
      <c r="Q359" s="34"/>
      <c r="R359" s="23"/>
      <c r="S359" s="34"/>
      <c r="T359" s="23"/>
      <c r="U359" s="2"/>
      <c r="W359" s="34"/>
      <c r="X359" s="23"/>
      <c r="Y359" s="34"/>
      <c r="Z359" s="23"/>
      <c r="AA359" s="2"/>
      <c r="AC359" s="244"/>
    </row>
    <row r="360" spans="10:29">
      <c r="J360" s="412">
        <v>41334</v>
      </c>
      <c r="K360" s="413">
        <v>11.996722999999999</v>
      </c>
      <c r="L360" s="30">
        <f t="shared" si="22"/>
        <v>3.949528383045635E-3</v>
      </c>
      <c r="M360" s="414">
        <v>1518.1999510000001</v>
      </c>
      <c r="N360" s="31">
        <f t="shared" si="23"/>
        <v>-4.5895621721010662E-3</v>
      </c>
      <c r="Q360" s="34"/>
      <c r="R360" s="23"/>
      <c r="S360" s="34"/>
      <c r="T360" s="23"/>
      <c r="U360" s="2"/>
      <c r="W360" s="34"/>
      <c r="X360" s="23"/>
      <c r="Y360" s="34"/>
      <c r="Z360" s="23"/>
      <c r="AA360" s="2"/>
      <c r="AC360" s="244"/>
    </row>
    <row r="361" spans="10:29">
      <c r="J361" s="412">
        <v>41337</v>
      </c>
      <c r="K361" s="413">
        <v>11.949528000000001</v>
      </c>
      <c r="L361" s="30">
        <f t="shared" si="22"/>
        <v>-1.093755897362538E-2</v>
      </c>
      <c r="M361" s="414">
        <v>1525.1999510000001</v>
      </c>
      <c r="N361" s="31">
        <f t="shared" si="23"/>
        <v>-9.4753749735095698E-3</v>
      </c>
      <c r="Q361" s="34"/>
      <c r="R361" s="23"/>
      <c r="S361" s="34"/>
      <c r="T361" s="23"/>
      <c r="U361" s="2"/>
      <c r="W361" s="34"/>
      <c r="X361" s="23"/>
      <c r="Y361" s="34"/>
      <c r="Z361" s="23"/>
      <c r="AA361" s="2"/>
      <c r="AC361" s="244"/>
    </row>
    <row r="362" spans="10:29">
      <c r="J362" s="412">
        <v>41338</v>
      </c>
      <c r="K362" s="413">
        <v>12.081671999999999</v>
      </c>
      <c r="L362" s="30">
        <f t="shared" si="22"/>
        <v>7.8187689054698016E-4</v>
      </c>
      <c r="M362" s="414">
        <v>1539.790039</v>
      </c>
      <c r="N362" s="31">
        <f t="shared" si="23"/>
        <v>-1.0833379018918561E-3</v>
      </c>
      <c r="Q362" s="34"/>
      <c r="R362" s="23"/>
      <c r="S362" s="34"/>
      <c r="T362" s="23"/>
      <c r="U362" s="2"/>
      <c r="W362" s="34"/>
      <c r="X362" s="23"/>
      <c r="Y362" s="34"/>
      <c r="Z362" s="23"/>
      <c r="AA362" s="2"/>
      <c r="AC362" s="244"/>
    </row>
    <row r="363" spans="10:29">
      <c r="J363" s="412">
        <v>41339</v>
      </c>
      <c r="K363" s="413">
        <v>12.072233000000001</v>
      </c>
      <c r="L363" s="30">
        <f t="shared" si="22"/>
        <v>2.3510623661720876E-3</v>
      </c>
      <c r="M363" s="414">
        <v>1541.459961</v>
      </c>
      <c r="N363" s="31">
        <f t="shared" si="23"/>
        <v>-1.8131978953466162E-3</v>
      </c>
      <c r="Q363" s="34"/>
      <c r="R363" s="23"/>
      <c r="S363" s="34"/>
      <c r="T363" s="23"/>
      <c r="U363" s="2"/>
      <c r="W363" s="34"/>
      <c r="X363" s="23"/>
      <c r="Y363" s="34"/>
      <c r="Z363" s="23"/>
      <c r="AA363" s="2"/>
      <c r="AC363" s="244"/>
    </row>
    <row r="364" spans="10:29">
      <c r="J364" s="412">
        <v>41340</v>
      </c>
      <c r="K364" s="413">
        <v>12.043917</v>
      </c>
      <c r="L364" s="30">
        <f t="shared" si="22"/>
        <v>-4.6801182326521263E-3</v>
      </c>
      <c r="M364" s="414">
        <v>1544.26001</v>
      </c>
      <c r="N364" s="31">
        <f t="shared" si="23"/>
        <v>-4.4611481318080192E-3</v>
      </c>
      <c r="Q364" s="34"/>
      <c r="R364" s="23"/>
      <c r="S364" s="34"/>
      <c r="T364" s="23"/>
      <c r="U364" s="2"/>
      <c r="W364" s="34"/>
      <c r="X364" s="23"/>
      <c r="Y364" s="34"/>
      <c r="Z364" s="23"/>
      <c r="AA364" s="2"/>
      <c r="AC364" s="244"/>
    </row>
    <row r="365" spans="10:29">
      <c r="J365" s="412">
        <v>41341</v>
      </c>
      <c r="K365" s="413">
        <v>12.100549000000001</v>
      </c>
      <c r="L365" s="30">
        <f t="shared" si="22"/>
        <v>9.4487625387035257E-3</v>
      </c>
      <c r="M365" s="414">
        <v>1551.1800539999999</v>
      </c>
      <c r="N365" s="31">
        <f t="shared" si="23"/>
        <v>-3.2385633740206381E-3</v>
      </c>
      <c r="Q365" s="34"/>
      <c r="R365" s="23"/>
      <c r="S365" s="34"/>
      <c r="T365" s="23"/>
      <c r="U365" s="2"/>
      <c r="W365" s="34"/>
      <c r="X365" s="23"/>
      <c r="Y365" s="34"/>
      <c r="Z365" s="23"/>
      <c r="AA365" s="2"/>
      <c r="AC365" s="244"/>
    </row>
    <row r="366" spans="10:29">
      <c r="J366" s="412">
        <v>41344</v>
      </c>
      <c r="K366" s="413">
        <v>11.987284000000001</v>
      </c>
      <c r="L366" s="30">
        <f t="shared" si="22"/>
        <v>-3.1396987569020669E-3</v>
      </c>
      <c r="M366" s="414">
        <v>1556.219971</v>
      </c>
      <c r="N366" s="31">
        <f t="shared" si="23"/>
        <v>2.4090429816685417E-3</v>
      </c>
      <c r="Q366" s="34"/>
      <c r="R366" s="23"/>
      <c r="S366" s="34"/>
      <c r="T366" s="23"/>
      <c r="U366" s="2"/>
      <c r="W366" s="34"/>
      <c r="X366" s="23"/>
      <c r="Y366" s="34"/>
      <c r="Z366" s="23"/>
      <c r="AA366" s="2"/>
      <c r="AC366" s="244"/>
    </row>
    <row r="367" spans="10:29">
      <c r="J367" s="412">
        <v>41345</v>
      </c>
      <c r="K367" s="413">
        <v>12.025039</v>
      </c>
      <c r="L367" s="30">
        <f t="shared" si="22"/>
        <v>0</v>
      </c>
      <c r="M367" s="414">
        <v>1552.4799800000001</v>
      </c>
      <c r="N367" s="31">
        <f t="shared" si="23"/>
        <v>-1.3123279042748274E-3</v>
      </c>
      <c r="Q367" s="34"/>
      <c r="R367" s="23"/>
      <c r="S367" s="34"/>
      <c r="T367" s="23"/>
      <c r="U367" s="2"/>
      <c r="W367" s="34"/>
      <c r="X367" s="23"/>
      <c r="Y367" s="34"/>
      <c r="Z367" s="23"/>
      <c r="AA367" s="2"/>
      <c r="AC367" s="244"/>
    </row>
    <row r="368" spans="10:29">
      <c r="J368" s="412">
        <v>41346</v>
      </c>
      <c r="K368" s="413">
        <v>12.025039</v>
      </c>
      <c r="L368" s="30">
        <f t="shared" si="22"/>
        <v>-7.8432982303016545E-4</v>
      </c>
      <c r="M368" s="414">
        <v>1554.5200199999999</v>
      </c>
      <c r="N368" s="31">
        <f t="shared" si="23"/>
        <v>-5.5717713397488303E-3</v>
      </c>
      <c r="Q368" s="34"/>
      <c r="R368" s="23"/>
      <c r="S368" s="34"/>
      <c r="T368" s="23"/>
      <c r="U368" s="2"/>
      <c r="W368" s="34"/>
      <c r="X368" s="23"/>
      <c r="Y368" s="34"/>
      <c r="Z368" s="23"/>
      <c r="AA368" s="2"/>
      <c r="AC368" s="244"/>
    </row>
    <row r="369" spans="10:29">
      <c r="J369" s="412">
        <v>41347</v>
      </c>
      <c r="K369" s="413">
        <v>12.034478</v>
      </c>
      <c r="L369" s="30">
        <f t="shared" si="22"/>
        <v>8.7025427195884606E-3</v>
      </c>
      <c r="M369" s="414">
        <v>1563.2299800000001</v>
      </c>
      <c r="N369" s="31">
        <f t="shared" si="23"/>
        <v>1.6210861020268033E-3</v>
      </c>
      <c r="Q369" s="34"/>
      <c r="R369" s="23"/>
      <c r="S369" s="34"/>
      <c r="T369" s="23"/>
      <c r="U369" s="2"/>
      <c r="W369" s="34"/>
      <c r="X369" s="23"/>
      <c r="Y369" s="34"/>
      <c r="Z369" s="23"/>
      <c r="AA369" s="2"/>
      <c r="AC369" s="244"/>
    </row>
    <row r="370" spans="10:29">
      <c r="J370" s="412">
        <v>41348</v>
      </c>
      <c r="K370" s="413">
        <v>11.930650999999999</v>
      </c>
      <c r="L370" s="30">
        <f t="shared" si="22"/>
        <v>7.1712930141244434E-3</v>
      </c>
      <c r="M370" s="414">
        <v>1560.6999510000001</v>
      </c>
      <c r="N370" s="31">
        <f t="shared" si="23"/>
        <v>5.5408640764002476E-3</v>
      </c>
      <c r="Q370" s="34"/>
      <c r="R370" s="23"/>
      <c r="S370" s="34"/>
      <c r="T370" s="23"/>
      <c r="U370" s="2"/>
      <c r="W370" s="34"/>
      <c r="X370" s="23"/>
      <c r="Y370" s="34"/>
      <c r="Z370" s="23"/>
      <c r="AA370" s="2"/>
      <c r="AC370" s="244"/>
    </row>
    <row r="371" spans="10:29">
      <c r="J371" s="412">
        <v>41351</v>
      </c>
      <c r="K371" s="413">
        <v>11.845701999999999</v>
      </c>
      <c r="L371" s="30">
        <f t="shared" si="22"/>
        <v>6.4153583900754992E-3</v>
      </c>
      <c r="M371" s="414">
        <v>1552.099976</v>
      </c>
      <c r="N371" s="31">
        <f t="shared" si="23"/>
        <v>2.4284137092408851E-3</v>
      </c>
      <c r="Q371" s="34"/>
      <c r="R371" s="23"/>
      <c r="S371" s="34"/>
      <c r="T371" s="23"/>
      <c r="U371" s="2"/>
      <c r="W371" s="34"/>
      <c r="X371" s="23"/>
      <c r="Y371" s="34"/>
      <c r="Z371" s="23"/>
      <c r="AA371" s="2"/>
      <c r="AC371" s="244"/>
    </row>
    <row r="372" spans="10:29">
      <c r="J372" s="412">
        <v>41352</v>
      </c>
      <c r="K372" s="413">
        <v>11.770192</v>
      </c>
      <c r="L372" s="30">
        <f t="shared" si="22"/>
        <v>-1.1885804069637693E-2</v>
      </c>
      <c r="M372" s="414">
        <v>1548.339966</v>
      </c>
      <c r="N372" s="31">
        <f t="shared" si="23"/>
        <v>-6.6529343235524601E-3</v>
      </c>
      <c r="Q372" s="34"/>
      <c r="R372" s="23"/>
      <c r="S372" s="34"/>
      <c r="T372" s="23"/>
      <c r="U372" s="2"/>
      <c r="W372" s="34"/>
      <c r="X372" s="23"/>
      <c r="Y372" s="34"/>
      <c r="Z372" s="23"/>
      <c r="AA372" s="2"/>
      <c r="AC372" s="244"/>
    </row>
    <row r="373" spans="10:29">
      <c r="J373" s="412">
        <v>41353</v>
      </c>
      <c r="K373" s="413">
        <v>11.911773</v>
      </c>
      <c r="L373" s="30">
        <f t="shared" si="22"/>
        <v>1.6103049416459011E-2</v>
      </c>
      <c r="M373" s="414">
        <v>1558.709961</v>
      </c>
      <c r="N373" s="31">
        <f t="shared" si="23"/>
        <v>8.3516053763561995E-3</v>
      </c>
      <c r="Q373" s="34"/>
      <c r="R373" s="23"/>
      <c r="S373" s="34"/>
      <c r="T373" s="23"/>
      <c r="U373" s="2"/>
      <c r="W373" s="34"/>
      <c r="X373" s="23"/>
      <c r="Y373" s="34"/>
      <c r="Z373" s="23"/>
      <c r="AA373" s="2"/>
      <c r="AC373" s="244"/>
    </row>
    <row r="374" spans="10:29">
      <c r="J374" s="412">
        <v>41354</v>
      </c>
      <c r="K374" s="413">
        <v>11.722996999999999</v>
      </c>
      <c r="L374" s="30">
        <f t="shared" si="22"/>
        <v>-4.8077061843198573E-3</v>
      </c>
      <c r="M374" s="414">
        <v>1545.8000489999999</v>
      </c>
      <c r="N374" s="31">
        <f t="shared" si="23"/>
        <v>-7.1231531406539365E-3</v>
      </c>
      <c r="Q374" s="34"/>
      <c r="R374" s="23"/>
      <c r="S374" s="34"/>
      <c r="T374" s="23"/>
      <c r="U374" s="2"/>
      <c r="W374" s="34"/>
      <c r="X374" s="23"/>
      <c r="Y374" s="34"/>
      <c r="Z374" s="23"/>
      <c r="AA374" s="2"/>
      <c r="AC374" s="244"/>
    </row>
    <row r="375" spans="10:29">
      <c r="J375" s="412">
        <v>41355</v>
      </c>
      <c r="K375" s="413">
        <v>11.779629999999999</v>
      </c>
      <c r="L375" s="30">
        <f t="shared" si="22"/>
        <v>5.640643090681614E-3</v>
      </c>
      <c r="M375" s="414">
        <v>1556.8900149999999</v>
      </c>
      <c r="N375" s="31">
        <f t="shared" si="23"/>
        <v>3.3512326545396213E-3</v>
      </c>
      <c r="Q375" s="34"/>
      <c r="R375" s="23"/>
      <c r="S375" s="34"/>
      <c r="T375" s="23"/>
      <c r="U375" s="2"/>
      <c r="W375" s="34"/>
      <c r="X375" s="23"/>
      <c r="Y375" s="34"/>
      <c r="Z375" s="23"/>
      <c r="AA375" s="2"/>
      <c r="AC375" s="244"/>
    </row>
    <row r="376" spans="10:29">
      <c r="J376" s="412">
        <v>41358</v>
      </c>
      <c r="K376" s="413">
        <v>11.713558000000001</v>
      </c>
      <c r="L376" s="30">
        <f t="shared" si="22"/>
        <v>-7.2000629232102219E-3</v>
      </c>
      <c r="M376" s="414">
        <v>1551.6899410000001</v>
      </c>
      <c r="N376" s="31">
        <f t="shared" si="23"/>
        <v>-7.7249716042003683E-3</v>
      </c>
      <c r="Q376" s="34"/>
      <c r="R376" s="23"/>
      <c r="S376" s="34"/>
      <c r="T376" s="23"/>
      <c r="U376" s="2"/>
      <c r="W376" s="34"/>
      <c r="X376" s="23"/>
      <c r="Y376" s="34"/>
      <c r="Z376" s="23"/>
      <c r="AA376" s="2"/>
      <c r="AC376" s="244"/>
    </row>
    <row r="377" spans="10:29">
      <c r="J377" s="412">
        <v>41359</v>
      </c>
      <c r="K377" s="413">
        <v>11.798508</v>
      </c>
      <c r="L377" s="30">
        <f t="shared" si="22"/>
        <v>-1.1857616806708928E-2</v>
      </c>
      <c r="M377" s="414">
        <v>1563.7700199999999</v>
      </c>
      <c r="N377" s="31">
        <f t="shared" si="23"/>
        <v>5.8869630107091081E-4</v>
      </c>
      <c r="Q377" s="34"/>
      <c r="R377" s="23"/>
      <c r="S377" s="34"/>
      <c r="T377" s="23"/>
      <c r="U377" s="2"/>
      <c r="W377" s="34"/>
      <c r="X377" s="23"/>
      <c r="Y377" s="34"/>
      <c r="Z377" s="23"/>
      <c r="AA377" s="2"/>
      <c r="AC377" s="244"/>
    </row>
    <row r="378" spans="10:29">
      <c r="J378" s="412">
        <v>41360</v>
      </c>
      <c r="K378" s="413">
        <v>11.940089</v>
      </c>
      <c r="L378" s="30">
        <f t="shared" si="22"/>
        <v>-1.4029658823774155E-2</v>
      </c>
      <c r="M378" s="414">
        <v>1562.849976</v>
      </c>
      <c r="N378" s="31">
        <f t="shared" si="23"/>
        <v>-4.0402788944465451E-3</v>
      </c>
      <c r="Q378" s="34"/>
      <c r="R378" s="23"/>
      <c r="S378" s="34"/>
      <c r="T378" s="23"/>
      <c r="U378" s="2"/>
      <c r="W378" s="34"/>
      <c r="X378" s="23"/>
      <c r="Y378" s="34"/>
      <c r="Z378" s="23"/>
      <c r="AA378" s="2"/>
      <c r="AC378" s="244"/>
    </row>
    <row r="379" spans="10:29">
      <c r="J379" s="412">
        <v>41361</v>
      </c>
      <c r="K379" s="413">
        <v>12.109988</v>
      </c>
      <c r="L379" s="30">
        <f t="shared" si="22"/>
        <v>3.3843687801776261E-2</v>
      </c>
      <c r="M379" s="414">
        <v>1569.1899410000001</v>
      </c>
      <c r="N379" s="31">
        <f t="shared" si="23"/>
        <v>4.493683019311647E-3</v>
      </c>
      <c r="Q379" s="34"/>
      <c r="R379" s="23"/>
      <c r="S379" s="34"/>
      <c r="T379" s="23"/>
      <c r="U379" s="2"/>
      <c r="W379" s="34"/>
      <c r="X379" s="23"/>
      <c r="Y379" s="34"/>
      <c r="Z379" s="23"/>
      <c r="AA379" s="2"/>
      <c r="AC379" s="244"/>
    </row>
    <row r="380" spans="10:29">
      <c r="J380" s="412">
        <v>41365</v>
      </c>
      <c r="K380" s="413">
        <v>11.713558000000001</v>
      </c>
      <c r="L380" s="30">
        <f t="shared" si="22"/>
        <v>1.0586277766935947E-2</v>
      </c>
      <c r="M380" s="414">
        <v>1562.170044</v>
      </c>
      <c r="N380" s="31">
        <f t="shared" si="23"/>
        <v>-5.1456494188823676E-3</v>
      </c>
      <c r="Q380" s="34"/>
      <c r="R380" s="23"/>
      <c r="S380" s="34"/>
      <c r="T380" s="23"/>
      <c r="U380" s="2"/>
      <c r="W380" s="34"/>
      <c r="X380" s="23"/>
      <c r="Y380" s="34"/>
      <c r="Z380" s="23"/>
      <c r="AA380" s="2"/>
      <c r="AC380" s="244"/>
    </row>
    <row r="381" spans="10:29">
      <c r="J381" s="412">
        <v>41366</v>
      </c>
      <c r="K381" s="413">
        <v>11.590854</v>
      </c>
      <c r="L381" s="30">
        <f t="shared" si="22"/>
        <v>1.2366026416352031E-2</v>
      </c>
      <c r="M381" s="414">
        <v>1570.25</v>
      </c>
      <c r="N381" s="31">
        <f t="shared" si="23"/>
        <v>1.0658535247606337E-2</v>
      </c>
      <c r="Q381" s="34"/>
      <c r="R381" s="23"/>
      <c r="S381" s="34"/>
      <c r="T381" s="23"/>
      <c r="U381" s="2"/>
      <c r="W381" s="34"/>
      <c r="X381" s="23"/>
      <c r="Y381" s="34"/>
      <c r="Z381" s="23"/>
      <c r="AA381" s="2"/>
      <c r="AC381" s="244"/>
    </row>
    <row r="382" spans="10:29">
      <c r="J382" s="412">
        <v>41367</v>
      </c>
      <c r="K382" s="413">
        <v>11.449272000000001</v>
      </c>
      <c r="L382" s="30">
        <f t="shared" si="22"/>
        <v>-9.7959461841335728E-3</v>
      </c>
      <c r="M382" s="414">
        <v>1553.6899410000001</v>
      </c>
      <c r="N382" s="31">
        <f t="shared" si="23"/>
        <v>-4.0321280276942907E-3</v>
      </c>
      <c r="Q382" s="34"/>
      <c r="R382" s="23"/>
      <c r="S382" s="34"/>
      <c r="T382" s="23"/>
      <c r="U382" s="2"/>
      <c r="W382" s="34"/>
      <c r="X382" s="23"/>
      <c r="Y382" s="34"/>
      <c r="Z382" s="23"/>
      <c r="AA382" s="2"/>
      <c r="AC382" s="244"/>
    </row>
    <row r="383" spans="10:29">
      <c r="J383" s="412">
        <v>41368</v>
      </c>
      <c r="K383" s="413">
        <v>11.562538</v>
      </c>
      <c r="L383" s="30">
        <f t="shared" si="22"/>
        <v>-1.6853937838844108E-2</v>
      </c>
      <c r="M383" s="414">
        <v>1559.9799800000001</v>
      </c>
      <c r="N383" s="31">
        <f t="shared" si="23"/>
        <v>4.3134211957347292E-3</v>
      </c>
      <c r="Q383" s="34"/>
      <c r="R383" s="23"/>
      <c r="S383" s="34"/>
      <c r="T383" s="23"/>
      <c r="U383" s="2"/>
      <c r="W383" s="34"/>
      <c r="X383" s="23"/>
      <c r="Y383" s="34"/>
      <c r="Z383" s="23"/>
      <c r="AA383" s="2"/>
      <c r="AC383" s="244"/>
    </row>
    <row r="384" spans="10:29">
      <c r="J384" s="412">
        <v>41369</v>
      </c>
      <c r="K384" s="413">
        <v>11.760752999999999</v>
      </c>
      <c r="L384" s="30">
        <f t="shared" si="22"/>
        <v>2.4135652647071315E-3</v>
      </c>
      <c r="M384" s="414">
        <v>1553.280029</v>
      </c>
      <c r="N384" s="31">
        <f t="shared" si="23"/>
        <v>-6.2632622583865217E-3</v>
      </c>
      <c r="Q384" s="34"/>
      <c r="R384" s="23"/>
      <c r="S384" s="34"/>
      <c r="T384" s="23"/>
      <c r="U384" s="2"/>
      <c r="W384" s="34"/>
      <c r="X384" s="23"/>
      <c r="Y384" s="34"/>
      <c r="Z384" s="23"/>
      <c r="AA384" s="2"/>
      <c r="AC384" s="244"/>
    </row>
    <row r="385" spans="10:29">
      <c r="J385" s="412">
        <v>41372</v>
      </c>
      <c r="K385" s="413">
        <v>11.732436</v>
      </c>
      <c r="L385" s="30">
        <f t="shared" si="22"/>
        <v>-1.5835302652112949E-2</v>
      </c>
      <c r="M385" s="414">
        <v>1563.0699460000001</v>
      </c>
      <c r="N385" s="31">
        <f t="shared" si="23"/>
        <v>-3.5318141877057978E-3</v>
      </c>
      <c r="Q385" s="34"/>
      <c r="R385" s="23"/>
      <c r="S385" s="34"/>
      <c r="T385" s="23"/>
      <c r="U385" s="2"/>
      <c r="W385" s="34"/>
      <c r="X385" s="23"/>
      <c r="Y385" s="34"/>
      <c r="Z385" s="23"/>
      <c r="AA385" s="2"/>
      <c r="AC385" s="244"/>
    </row>
    <row r="386" spans="10:29">
      <c r="J386" s="412">
        <v>41373</v>
      </c>
      <c r="K386" s="413">
        <v>11.921212000000001</v>
      </c>
      <c r="L386" s="30">
        <f t="shared" si="22"/>
        <v>-1.5588454753216845E-2</v>
      </c>
      <c r="M386" s="414">
        <v>1568.6099850000001</v>
      </c>
      <c r="N386" s="31">
        <f t="shared" si="23"/>
        <v>-1.2042346772339726E-2</v>
      </c>
      <c r="Q386" s="34"/>
      <c r="R386" s="23"/>
      <c r="S386" s="34"/>
      <c r="T386" s="23"/>
      <c r="U386" s="2"/>
      <c r="W386" s="34"/>
      <c r="X386" s="23"/>
      <c r="Y386" s="34"/>
      <c r="Z386" s="23"/>
      <c r="AA386" s="2"/>
      <c r="AC386" s="244"/>
    </row>
    <row r="387" spans="10:29">
      <c r="J387" s="412">
        <v>41374</v>
      </c>
      <c r="K387" s="413">
        <v>12.109988</v>
      </c>
      <c r="L387" s="30">
        <f t="shared" si="22"/>
        <v>4.6984424918668855E-3</v>
      </c>
      <c r="M387" s="414">
        <v>1587.7299800000001</v>
      </c>
      <c r="N387" s="31">
        <f t="shared" si="23"/>
        <v>-3.539676922308273E-3</v>
      </c>
      <c r="Q387" s="34"/>
      <c r="R387" s="23"/>
      <c r="S387" s="34"/>
      <c r="T387" s="23"/>
      <c r="U387" s="2"/>
      <c r="W387" s="34"/>
      <c r="X387" s="23"/>
      <c r="Y387" s="34"/>
      <c r="Z387" s="23"/>
      <c r="AA387" s="2"/>
      <c r="AC387" s="244"/>
    </row>
    <row r="388" spans="10:29">
      <c r="J388" s="412">
        <v>41375</v>
      </c>
      <c r="K388" s="413">
        <v>12.053356000000001</v>
      </c>
      <c r="L388" s="30">
        <f t="shared" si="22"/>
        <v>-2.4446078098502147E-2</v>
      </c>
      <c r="M388" s="414">
        <v>1593.369995</v>
      </c>
      <c r="N388" s="31">
        <f t="shared" si="23"/>
        <v>2.8448368746427496E-3</v>
      </c>
      <c r="Q388" s="34"/>
      <c r="R388" s="23"/>
      <c r="S388" s="34"/>
      <c r="T388" s="23"/>
      <c r="U388" s="2"/>
      <c r="W388" s="34"/>
      <c r="X388" s="23"/>
      <c r="Y388" s="34"/>
      <c r="Z388" s="23"/>
      <c r="AA388" s="2"/>
      <c r="AC388" s="244"/>
    </row>
    <row r="389" spans="10:29">
      <c r="J389" s="412">
        <v>41376</v>
      </c>
      <c r="K389" s="413">
        <v>12.355397</v>
      </c>
      <c r="L389" s="30">
        <f t="shared" si="22"/>
        <v>2.1060862610448424E-2</v>
      </c>
      <c r="M389" s="414">
        <v>1588.849976</v>
      </c>
      <c r="N389" s="31">
        <f t="shared" si="23"/>
        <v>2.3506139911226787E-2</v>
      </c>
      <c r="Q389" s="34"/>
      <c r="R389" s="23"/>
      <c r="S389" s="34"/>
      <c r="T389" s="23"/>
      <c r="U389" s="2"/>
      <c r="W389" s="34"/>
      <c r="X389" s="23"/>
      <c r="Y389" s="34"/>
      <c r="Z389" s="23"/>
      <c r="AA389" s="2"/>
      <c r="AC389" s="244"/>
    </row>
    <row r="390" spans="10:29">
      <c r="J390" s="412">
        <v>41379</v>
      </c>
      <c r="K390" s="413">
        <v>12.100549000000001</v>
      </c>
      <c r="L390" s="30">
        <f t="shared" si="22"/>
        <v>-1.0802527293049738E-2</v>
      </c>
      <c r="M390" s="414">
        <v>1552.3599850000001</v>
      </c>
      <c r="N390" s="31">
        <f t="shared" si="23"/>
        <v>-1.4105414025221094E-2</v>
      </c>
      <c r="Q390" s="34"/>
      <c r="R390" s="23"/>
      <c r="S390" s="34"/>
      <c r="T390" s="23"/>
      <c r="U390" s="2"/>
      <c r="W390" s="34"/>
      <c r="X390" s="23"/>
      <c r="Y390" s="34"/>
      <c r="Z390" s="23"/>
      <c r="AA390" s="2"/>
      <c r="AC390" s="244"/>
    </row>
    <row r="391" spans="10:29">
      <c r="J391" s="412">
        <v>41380</v>
      </c>
      <c r="K391" s="413">
        <v>12.232692999999999</v>
      </c>
      <c r="L391" s="30">
        <f t="shared" si="22"/>
        <v>1.3291658635150491E-2</v>
      </c>
      <c r="M391" s="414">
        <v>1574.5699460000001</v>
      </c>
      <c r="N391" s="31">
        <f t="shared" si="23"/>
        <v>1.4535947483998578E-2</v>
      </c>
      <c r="Q391" s="34"/>
      <c r="R391" s="23"/>
      <c r="S391" s="34"/>
      <c r="T391" s="23"/>
      <c r="U391" s="2"/>
      <c r="W391" s="34"/>
      <c r="X391" s="23"/>
      <c r="Y391" s="34"/>
      <c r="Z391" s="23"/>
      <c r="AA391" s="2"/>
      <c r="AC391" s="244"/>
    </row>
    <row r="392" spans="10:29">
      <c r="J392" s="412">
        <v>41381</v>
      </c>
      <c r="K392" s="413">
        <v>12.072233000000001</v>
      </c>
      <c r="L392" s="30">
        <f t="shared" ref="L392:L455" si="24">(K392-K393)/K393</f>
        <v>1.9936191008935844E-2</v>
      </c>
      <c r="M392" s="414">
        <v>1552.01001</v>
      </c>
      <c r="N392" s="31">
        <f t="shared" si="23"/>
        <v>6.746210196608135E-3</v>
      </c>
      <c r="Q392" s="34"/>
      <c r="R392" s="23"/>
      <c r="S392" s="34"/>
      <c r="T392" s="23"/>
      <c r="U392" s="2"/>
      <c r="W392" s="34"/>
      <c r="X392" s="23"/>
      <c r="Y392" s="34"/>
      <c r="Z392" s="23"/>
      <c r="AA392" s="2"/>
      <c r="AC392" s="244"/>
    </row>
    <row r="393" spans="10:29">
      <c r="J393" s="412">
        <v>41382</v>
      </c>
      <c r="K393" s="413">
        <v>11.836263000000001</v>
      </c>
      <c r="L393" s="30">
        <f t="shared" si="24"/>
        <v>-2.3865996425157798E-3</v>
      </c>
      <c r="M393" s="414">
        <v>1541.6099850000001</v>
      </c>
      <c r="N393" s="31">
        <f t="shared" si="23"/>
        <v>-8.7703038096768673E-3</v>
      </c>
      <c r="Q393" s="34"/>
      <c r="R393" s="23"/>
      <c r="S393" s="34"/>
      <c r="T393" s="23"/>
      <c r="U393" s="2"/>
      <c r="W393" s="34"/>
      <c r="X393" s="23"/>
      <c r="Y393" s="34"/>
      <c r="Z393" s="23"/>
      <c r="AA393" s="2"/>
      <c r="AC393" s="244"/>
    </row>
    <row r="394" spans="10:29">
      <c r="J394" s="412">
        <v>41383</v>
      </c>
      <c r="K394" s="413">
        <v>11.864579000000001</v>
      </c>
      <c r="L394" s="30">
        <f t="shared" si="24"/>
        <v>-1.5885949686189013E-3</v>
      </c>
      <c r="M394" s="414">
        <v>1555.25</v>
      </c>
      <c r="N394" s="31">
        <f t="shared" ref="N394:N457" si="25">(M394-M395)/M395</f>
        <v>-4.64E-3</v>
      </c>
      <c r="Q394" s="34"/>
      <c r="R394" s="23"/>
      <c r="S394" s="34"/>
      <c r="T394" s="23"/>
      <c r="U394" s="2"/>
      <c r="W394" s="34"/>
      <c r="X394" s="23"/>
      <c r="Y394" s="34"/>
      <c r="Z394" s="23"/>
      <c r="AA394" s="2"/>
      <c r="AC394" s="244"/>
    </row>
    <row r="395" spans="10:29">
      <c r="J395" s="412">
        <v>41386</v>
      </c>
      <c r="K395" s="413">
        <v>11.883457</v>
      </c>
      <c r="L395" s="30">
        <f t="shared" si="24"/>
        <v>-2.5541827272922629E-2</v>
      </c>
      <c r="M395" s="414">
        <v>1562.5</v>
      </c>
      <c r="N395" s="31">
        <f t="shared" si="25"/>
        <v>-1.0311777892396949E-2</v>
      </c>
      <c r="Q395" s="34"/>
      <c r="R395" s="23"/>
      <c r="S395" s="34"/>
      <c r="T395" s="23"/>
      <c r="U395" s="2"/>
      <c r="W395" s="34"/>
      <c r="X395" s="23"/>
      <c r="Y395" s="34"/>
      <c r="Z395" s="23"/>
      <c r="AA395" s="2"/>
      <c r="AC395" s="244"/>
    </row>
    <row r="396" spans="10:29">
      <c r="J396" s="412">
        <v>41387</v>
      </c>
      <c r="K396" s="413">
        <v>12.194938</v>
      </c>
      <c r="L396" s="30">
        <f t="shared" si="24"/>
        <v>-3.2934094460496229E-2</v>
      </c>
      <c r="M396" s="414">
        <v>1578.780029</v>
      </c>
      <c r="N396" s="31">
        <f t="shared" si="25"/>
        <v>-6.3402984264493816E-6</v>
      </c>
      <c r="Q396" s="34"/>
      <c r="R396" s="23"/>
      <c r="S396" s="34"/>
      <c r="T396" s="23"/>
      <c r="U396" s="2"/>
      <c r="W396" s="34"/>
      <c r="X396" s="23"/>
      <c r="Y396" s="34"/>
      <c r="Z396" s="23"/>
      <c r="AA396" s="2"/>
      <c r="AC396" s="244"/>
    </row>
    <row r="397" spans="10:29">
      <c r="J397" s="412">
        <v>41388</v>
      </c>
      <c r="K397" s="413">
        <v>12.610245000000001</v>
      </c>
      <c r="L397" s="30">
        <f t="shared" si="24"/>
        <v>-8.1663058066683124E-3</v>
      </c>
      <c r="M397" s="414">
        <v>1578.790039</v>
      </c>
      <c r="N397" s="31">
        <f t="shared" si="25"/>
        <v>-4.0185185491498562E-3</v>
      </c>
      <c r="Q397" s="34"/>
      <c r="R397" s="23"/>
      <c r="S397" s="34"/>
      <c r="T397" s="23"/>
      <c r="U397" s="2"/>
      <c r="W397" s="34"/>
      <c r="X397" s="23"/>
      <c r="Y397" s="34"/>
      <c r="Z397" s="23"/>
      <c r="AA397" s="2"/>
      <c r="AC397" s="244"/>
    </row>
    <row r="398" spans="10:29">
      <c r="J398" s="412">
        <v>41389</v>
      </c>
      <c r="K398" s="413">
        <v>12.714072</v>
      </c>
      <c r="L398" s="30">
        <f t="shared" si="24"/>
        <v>4.4742858330188047E-3</v>
      </c>
      <c r="M398" s="414">
        <v>1585.160034</v>
      </c>
      <c r="N398" s="31">
        <f t="shared" si="25"/>
        <v>1.8455127025325416E-3</v>
      </c>
      <c r="Q398" s="34"/>
      <c r="R398" s="23"/>
      <c r="S398" s="34"/>
      <c r="T398" s="23"/>
      <c r="U398" s="2"/>
      <c r="W398" s="34"/>
      <c r="X398" s="23"/>
      <c r="Y398" s="34"/>
      <c r="Z398" s="23"/>
      <c r="AA398" s="2"/>
      <c r="AC398" s="244"/>
    </row>
    <row r="399" spans="10:29">
      <c r="J399" s="412">
        <v>41390</v>
      </c>
      <c r="K399" s="413">
        <v>12.657439</v>
      </c>
      <c r="L399" s="30">
        <f t="shared" si="24"/>
        <v>-1.1790722694219295E-2</v>
      </c>
      <c r="M399" s="414">
        <v>1582.23999</v>
      </c>
      <c r="N399" s="31">
        <f t="shared" si="25"/>
        <v>-7.1347413150150514E-3</v>
      </c>
      <c r="Q399" s="34"/>
      <c r="R399" s="23"/>
      <c r="S399" s="34"/>
      <c r="T399" s="23"/>
      <c r="U399" s="2"/>
      <c r="W399" s="34"/>
      <c r="X399" s="23"/>
      <c r="Y399" s="34"/>
      <c r="Z399" s="23"/>
      <c r="AA399" s="2"/>
      <c r="AC399" s="244"/>
    </row>
    <row r="400" spans="10:29">
      <c r="J400" s="412">
        <v>41393</v>
      </c>
      <c r="K400" s="413">
        <v>12.80846</v>
      </c>
      <c r="L400" s="30">
        <f t="shared" si="24"/>
        <v>-1.4524394684808777E-2</v>
      </c>
      <c r="M400" s="414">
        <v>1593.6099850000001</v>
      </c>
      <c r="N400" s="31">
        <f t="shared" si="25"/>
        <v>-2.4787402954812602E-3</v>
      </c>
      <c r="Q400" s="34"/>
      <c r="R400" s="23"/>
      <c r="S400" s="34"/>
      <c r="T400" s="23"/>
      <c r="U400" s="2"/>
      <c r="W400" s="34"/>
      <c r="X400" s="23"/>
      <c r="Y400" s="34"/>
      <c r="Z400" s="23"/>
      <c r="AA400" s="2"/>
      <c r="AC400" s="244"/>
    </row>
    <row r="401" spans="10:29">
      <c r="J401" s="412">
        <v>41394</v>
      </c>
      <c r="K401" s="413">
        <v>12.997237</v>
      </c>
      <c r="L401" s="30">
        <f t="shared" si="24"/>
        <v>8.7913119946724846E-3</v>
      </c>
      <c r="M401" s="414">
        <v>1597.5699460000001</v>
      </c>
      <c r="N401" s="31">
        <f t="shared" si="25"/>
        <v>9.3953342139201316E-3</v>
      </c>
      <c r="Q401" s="34"/>
      <c r="R401" s="23"/>
      <c r="S401" s="34"/>
      <c r="T401" s="23"/>
      <c r="U401" s="2"/>
      <c r="W401" s="34"/>
      <c r="X401" s="23"/>
      <c r="Y401" s="34"/>
      <c r="Z401" s="23"/>
      <c r="AA401" s="2"/>
      <c r="AC401" s="244"/>
    </row>
    <row r="402" spans="10:29">
      <c r="J402" s="412">
        <v>41395</v>
      </c>
      <c r="K402" s="413">
        <v>12.88397</v>
      </c>
      <c r="L402" s="30">
        <f t="shared" si="24"/>
        <v>-1.1585891268671366E-2</v>
      </c>
      <c r="M402" s="414">
        <v>1582.6999510000001</v>
      </c>
      <c r="N402" s="31">
        <f t="shared" si="25"/>
        <v>-9.3202982723290008E-3</v>
      </c>
      <c r="Q402" s="34"/>
      <c r="R402" s="23"/>
      <c r="S402" s="34"/>
      <c r="T402" s="23"/>
      <c r="U402" s="2"/>
      <c r="W402" s="34"/>
      <c r="X402" s="23"/>
      <c r="Y402" s="34"/>
      <c r="Z402" s="23"/>
      <c r="AA402" s="2"/>
      <c r="AC402" s="244"/>
    </row>
    <row r="403" spans="10:29">
      <c r="J403" s="412">
        <v>41396</v>
      </c>
      <c r="K403" s="413">
        <v>13.034992000000001</v>
      </c>
      <c r="L403" s="30">
        <f t="shared" si="24"/>
        <v>-4.325819317756047E-3</v>
      </c>
      <c r="M403" s="414">
        <v>1597.589966</v>
      </c>
      <c r="N403" s="31">
        <f t="shared" si="25"/>
        <v>-1.0424844551793707E-2</v>
      </c>
      <c r="Q403" s="34"/>
      <c r="R403" s="23"/>
      <c r="S403" s="34"/>
      <c r="T403" s="23"/>
      <c r="U403" s="2"/>
      <c r="W403" s="34"/>
      <c r="X403" s="23"/>
      <c r="Y403" s="34"/>
      <c r="Z403" s="23"/>
      <c r="AA403" s="2"/>
      <c r="AC403" s="244"/>
    </row>
    <row r="404" spans="10:29">
      <c r="J404" s="412">
        <v>41397</v>
      </c>
      <c r="K404" s="413">
        <v>13.091623999999999</v>
      </c>
      <c r="L404" s="30">
        <f t="shared" si="24"/>
        <v>2.8922459693749699E-3</v>
      </c>
      <c r="M404" s="414">
        <v>1614.420044</v>
      </c>
      <c r="N404" s="31">
        <f t="shared" si="25"/>
        <v>-1.9041459041731303E-3</v>
      </c>
      <c r="Q404" s="34"/>
      <c r="R404" s="23"/>
      <c r="S404" s="34"/>
      <c r="T404" s="23"/>
      <c r="U404" s="2"/>
      <c r="W404" s="34"/>
      <c r="X404" s="23"/>
      <c r="Y404" s="34"/>
      <c r="Z404" s="23"/>
      <c r="AA404" s="2"/>
      <c r="AC404" s="244"/>
    </row>
    <row r="405" spans="10:29">
      <c r="J405" s="412">
        <v>41400</v>
      </c>
      <c r="K405" s="413">
        <v>13.053869000000001</v>
      </c>
      <c r="L405" s="30">
        <f t="shared" si="24"/>
        <v>1.3186851568266685E-2</v>
      </c>
      <c r="M405" s="414">
        <v>1617.5</v>
      </c>
      <c r="N405" s="31">
        <f t="shared" si="25"/>
        <v>-5.2030561655386429E-3</v>
      </c>
      <c r="Q405" s="34"/>
      <c r="R405" s="23"/>
      <c r="S405" s="34"/>
      <c r="T405" s="23"/>
      <c r="U405" s="2"/>
      <c r="W405" s="34"/>
      <c r="X405" s="23"/>
      <c r="Y405" s="34"/>
      <c r="Z405" s="23"/>
      <c r="AA405" s="2"/>
      <c r="AC405" s="244"/>
    </row>
    <row r="406" spans="10:29">
      <c r="J406" s="412">
        <v>41401</v>
      </c>
      <c r="K406" s="413">
        <v>12.88397</v>
      </c>
      <c r="L406" s="30">
        <f t="shared" si="24"/>
        <v>-1.7985600543904929E-2</v>
      </c>
      <c r="M406" s="414">
        <v>1625.959961</v>
      </c>
      <c r="N406" s="31">
        <f t="shared" si="25"/>
        <v>-4.1220196382652109E-3</v>
      </c>
      <c r="Q406" s="34"/>
      <c r="R406" s="23"/>
      <c r="S406" s="34"/>
      <c r="T406" s="23"/>
      <c r="U406" s="2"/>
      <c r="W406" s="34"/>
      <c r="X406" s="23"/>
      <c r="Y406" s="34"/>
      <c r="Z406" s="23"/>
      <c r="AA406" s="2"/>
      <c r="AC406" s="244"/>
    </row>
    <row r="407" spans="10:29">
      <c r="J407" s="412">
        <v>41402</v>
      </c>
      <c r="K407" s="413">
        <v>13.11994</v>
      </c>
      <c r="L407" s="30">
        <f t="shared" si="24"/>
        <v>-7.1892204498022483E-4</v>
      </c>
      <c r="M407" s="414">
        <v>1632.6899410000001</v>
      </c>
      <c r="N407" s="31">
        <f t="shared" si="25"/>
        <v>3.7007486688555064E-3</v>
      </c>
      <c r="Q407" s="34"/>
      <c r="R407" s="23"/>
      <c r="S407" s="34"/>
      <c r="T407" s="23"/>
      <c r="U407" s="2"/>
      <c r="W407" s="34"/>
      <c r="X407" s="23"/>
      <c r="Y407" s="34"/>
      <c r="Z407" s="23"/>
      <c r="AA407" s="2"/>
      <c r="AC407" s="244"/>
    </row>
    <row r="408" spans="10:29">
      <c r="J408" s="412">
        <v>41403</v>
      </c>
      <c r="K408" s="413">
        <v>13.129379</v>
      </c>
      <c r="L408" s="30">
        <f t="shared" si="24"/>
        <v>-4.3328764216675801E-2</v>
      </c>
      <c r="M408" s="414">
        <v>1626.670044</v>
      </c>
      <c r="N408" s="31">
        <f t="shared" si="25"/>
        <v>-4.3030588301707631E-3</v>
      </c>
      <c r="Q408" s="34"/>
      <c r="R408" s="23"/>
      <c r="S408" s="34"/>
      <c r="T408" s="23"/>
      <c r="U408" s="2"/>
      <c r="W408" s="34"/>
      <c r="X408" s="23"/>
      <c r="Y408" s="34"/>
      <c r="Z408" s="23"/>
      <c r="AA408" s="2"/>
      <c r="AC408" s="244"/>
    </row>
    <row r="409" spans="10:29">
      <c r="J409" s="412">
        <v>41404</v>
      </c>
      <c r="K409" s="413">
        <v>13.724024</v>
      </c>
      <c r="L409" s="30">
        <f t="shared" si="24"/>
        <v>2.106740193707838E-2</v>
      </c>
      <c r="M409" s="414">
        <v>1633.6999510000001</v>
      </c>
      <c r="N409" s="31">
        <f t="shared" si="25"/>
        <v>-4.2887921275404364E-5</v>
      </c>
      <c r="Q409" s="34"/>
      <c r="R409" s="23"/>
      <c r="S409" s="34"/>
      <c r="T409" s="23"/>
      <c r="U409" s="2"/>
      <c r="W409" s="34"/>
      <c r="X409" s="23"/>
      <c r="Y409" s="34"/>
      <c r="Z409" s="23"/>
      <c r="AA409" s="2"/>
      <c r="AC409" s="244"/>
    </row>
    <row r="410" spans="10:29">
      <c r="J410" s="412">
        <v>41407</v>
      </c>
      <c r="K410" s="413">
        <v>13.440860000000001</v>
      </c>
      <c r="L410" s="30">
        <f t="shared" si="24"/>
        <v>-1.4532877046280585E-2</v>
      </c>
      <c r="M410" s="414">
        <v>1633.7700199999999</v>
      </c>
      <c r="N410" s="31">
        <f t="shared" si="25"/>
        <v>-1.0040322807040397E-2</v>
      </c>
      <c r="Q410" s="34"/>
      <c r="R410" s="23"/>
      <c r="S410" s="34"/>
      <c r="T410" s="23"/>
      <c r="U410" s="2"/>
      <c r="W410" s="34"/>
      <c r="X410" s="23"/>
      <c r="Y410" s="34"/>
      <c r="Z410" s="23"/>
      <c r="AA410" s="2"/>
      <c r="AC410" s="244"/>
    </row>
    <row r="411" spans="10:29">
      <c r="J411" s="412">
        <v>41408</v>
      </c>
      <c r="K411" s="413">
        <v>13.639075</v>
      </c>
      <c r="L411" s="30">
        <f t="shared" si="24"/>
        <v>-1.7006791689684612E-2</v>
      </c>
      <c r="M411" s="414">
        <v>1650.339966</v>
      </c>
      <c r="N411" s="31">
        <f t="shared" si="25"/>
        <v>-5.0881146700856557E-3</v>
      </c>
      <c r="Q411" s="34"/>
      <c r="R411" s="23"/>
      <c r="S411" s="34"/>
      <c r="T411" s="23"/>
      <c r="U411" s="2"/>
      <c r="W411" s="34"/>
      <c r="X411" s="23"/>
      <c r="Y411" s="34"/>
      <c r="Z411" s="23"/>
      <c r="AA411" s="2"/>
      <c r="AC411" s="244"/>
    </row>
    <row r="412" spans="10:29">
      <c r="J412" s="412">
        <v>41409</v>
      </c>
      <c r="K412" s="413">
        <v>13.875045</v>
      </c>
      <c r="L412" s="30">
        <f t="shared" si="24"/>
        <v>4.7846422188933717E-3</v>
      </c>
      <c r="M412" s="414">
        <v>1658.780029</v>
      </c>
      <c r="N412" s="31">
        <f t="shared" si="25"/>
        <v>5.0349646743133789E-3</v>
      </c>
      <c r="Q412" s="34"/>
      <c r="R412" s="23"/>
      <c r="S412" s="34"/>
      <c r="T412" s="23"/>
      <c r="U412" s="2"/>
      <c r="W412" s="34"/>
      <c r="X412" s="23"/>
      <c r="Y412" s="34"/>
      <c r="Z412" s="23"/>
      <c r="AA412" s="2"/>
      <c r="AC412" s="244"/>
    </row>
    <row r="413" spans="10:29">
      <c r="J413" s="412">
        <v>41410</v>
      </c>
      <c r="K413" s="413">
        <v>13.808973999999999</v>
      </c>
      <c r="L413" s="30">
        <f t="shared" si="24"/>
        <v>-1.6139853891969071E-2</v>
      </c>
      <c r="M413" s="414">
        <v>1650.469971</v>
      </c>
      <c r="N413" s="31">
        <f t="shared" si="25"/>
        <v>-1.0195086145872188E-2</v>
      </c>
      <c r="Q413" s="34"/>
      <c r="R413" s="23"/>
      <c r="S413" s="34"/>
      <c r="T413" s="23"/>
      <c r="U413" s="2"/>
      <c r="W413" s="34"/>
      <c r="X413" s="23"/>
      <c r="Y413" s="34"/>
      <c r="Z413" s="23"/>
      <c r="AA413" s="2"/>
      <c r="AC413" s="244"/>
    </row>
    <row r="414" spans="10:29">
      <c r="J414" s="412">
        <v>41411</v>
      </c>
      <c r="K414" s="413">
        <v>14.035505000000001</v>
      </c>
      <c r="L414" s="30">
        <f t="shared" si="24"/>
        <v>2.0215333711853414E-3</v>
      </c>
      <c r="M414" s="414">
        <v>1667.469971</v>
      </c>
      <c r="N414" s="31">
        <f t="shared" si="25"/>
        <v>7.0811921837336746E-4</v>
      </c>
      <c r="Q414" s="34"/>
      <c r="R414" s="23"/>
      <c r="S414" s="34"/>
      <c r="T414" s="23"/>
      <c r="U414" s="2"/>
      <c r="W414" s="34"/>
      <c r="X414" s="23"/>
      <c r="Y414" s="34"/>
      <c r="Z414" s="23"/>
      <c r="AA414" s="2"/>
      <c r="AC414" s="244"/>
    </row>
    <row r="415" spans="10:29">
      <c r="J415" s="412">
        <v>41414</v>
      </c>
      <c r="K415" s="413">
        <v>14.007189</v>
      </c>
      <c r="L415" s="30">
        <f t="shared" si="24"/>
        <v>-1.0388694322044811E-2</v>
      </c>
      <c r="M415" s="414">
        <v>1666.290039</v>
      </c>
      <c r="N415" s="31">
        <f t="shared" si="25"/>
        <v>-1.7194247055642223E-3</v>
      </c>
      <c r="Q415" s="34"/>
      <c r="R415" s="23"/>
      <c r="S415" s="34"/>
      <c r="T415" s="23"/>
      <c r="U415" s="2"/>
      <c r="W415" s="34"/>
      <c r="X415" s="23"/>
      <c r="Y415" s="34"/>
      <c r="Z415" s="23"/>
      <c r="AA415" s="2"/>
      <c r="AC415" s="244"/>
    </row>
    <row r="416" spans="10:29">
      <c r="J416" s="412">
        <v>41415</v>
      </c>
      <c r="K416" s="413">
        <v>14.154233</v>
      </c>
      <c r="L416" s="30">
        <f t="shared" si="24"/>
        <v>3.6111105824336034E-2</v>
      </c>
      <c r="M416" s="414">
        <v>1669.160034</v>
      </c>
      <c r="N416" s="31">
        <f t="shared" si="25"/>
        <v>8.3426817290750532E-3</v>
      </c>
      <c r="Q416" s="34"/>
      <c r="R416" s="23"/>
      <c r="S416" s="34"/>
      <c r="T416" s="23"/>
      <c r="U416" s="2"/>
      <c r="W416" s="34"/>
      <c r="X416" s="23"/>
      <c r="Y416" s="34"/>
      <c r="Z416" s="23"/>
      <c r="AA416" s="2"/>
      <c r="AC416" s="244"/>
    </row>
    <row r="417" spans="10:29">
      <c r="J417" s="412">
        <v>41416</v>
      </c>
      <c r="K417" s="413">
        <v>13.660921999999999</v>
      </c>
      <c r="L417" s="30">
        <f t="shared" si="24"/>
        <v>-1.572117190732154E-2</v>
      </c>
      <c r="M417" s="414">
        <v>1655.349976</v>
      </c>
      <c r="N417" s="31">
        <f t="shared" si="25"/>
        <v>2.9324063293624035E-3</v>
      </c>
      <c r="Q417" s="34"/>
      <c r="R417" s="23"/>
      <c r="S417" s="34"/>
      <c r="T417" s="23"/>
      <c r="U417" s="2"/>
      <c r="W417" s="34"/>
      <c r="X417" s="23"/>
      <c r="Y417" s="34"/>
      <c r="Z417" s="23"/>
      <c r="AA417" s="2"/>
      <c r="AC417" s="244"/>
    </row>
    <row r="418" spans="10:29">
      <c r="J418" s="412">
        <v>41417</v>
      </c>
      <c r="K418" s="413">
        <v>13.879118</v>
      </c>
      <c r="L418" s="30">
        <f t="shared" si="24"/>
        <v>6.1898381852575502E-3</v>
      </c>
      <c r="M418" s="414">
        <v>1650.51001</v>
      </c>
      <c r="N418" s="31">
        <f t="shared" si="25"/>
        <v>5.5166950366153259E-4</v>
      </c>
      <c r="Q418" s="34"/>
      <c r="R418" s="23"/>
      <c r="S418" s="34"/>
      <c r="T418" s="23"/>
      <c r="U418" s="2"/>
      <c r="W418" s="34"/>
      <c r="X418" s="23"/>
      <c r="Y418" s="34"/>
      <c r="Z418" s="23"/>
      <c r="AA418" s="2"/>
      <c r="AC418" s="244"/>
    </row>
    <row r="419" spans="10:29">
      <c r="J419" s="412">
        <v>41418</v>
      </c>
      <c r="K419" s="413">
        <v>13.793737</v>
      </c>
      <c r="L419" s="30">
        <f t="shared" si="24"/>
        <v>6.8824927000018306E-4</v>
      </c>
      <c r="M419" s="414">
        <v>1649.599976</v>
      </c>
      <c r="N419" s="31">
        <f t="shared" si="25"/>
        <v>-6.3010268473665757E-3</v>
      </c>
      <c r="Q419" s="34"/>
      <c r="R419" s="23"/>
      <c r="S419" s="34"/>
      <c r="T419" s="23"/>
      <c r="U419" s="2"/>
      <c r="W419" s="34"/>
      <c r="X419" s="23"/>
      <c r="Y419" s="34"/>
      <c r="Z419" s="23"/>
      <c r="AA419" s="2"/>
      <c r="AC419" s="244"/>
    </row>
    <row r="420" spans="10:29">
      <c r="J420" s="412">
        <v>41422</v>
      </c>
      <c r="K420" s="413">
        <v>13.78425</v>
      </c>
      <c r="L420" s="30">
        <f t="shared" si="24"/>
        <v>6.2327043203347608E-3</v>
      </c>
      <c r="M420" s="414">
        <v>1660.0600589999999</v>
      </c>
      <c r="N420" s="31">
        <f t="shared" si="25"/>
        <v>7.098008994679556E-3</v>
      </c>
      <c r="Q420" s="34"/>
      <c r="R420" s="23"/>
      <c r="S420" s="34"/>
      <c r="T420" s="23"/>
      <c r="U420" s="2"/>
      <c r="W420" s="34"/>
      <c r="X420" s="23"/>
      <c r="Y420" s="34"/>
      <c r="Z420" s="23"/>
      <c r="AA420" s="2"/>
      <c r="AC420" s="244"/>
    </row>
    <row r="421" spans="10:29">
      <c r="J421" s="412">
        <v>41423</v>
      </c>
      <c r="K421" s="413">
        <v>13.698869</v>
      </c>
      <c r="L421" s="30">
        <f t="shared" si="24"/>
        <v>-1.2987064451790084E-2</v>
      </c>
      <c r="M421" s="414">
        <v>1648.3599850000001</v>
      </c>
      <c r="N421" s="31">
        <f t="shared" si="25"/>
        <v>-3.6569223322299705E-3</v>
      </c>
      <c r="Q421" s="34"/>
      <c r="R421" s="23"/>
      <c r="S421" s="34"/>
      <c r="T421" s="23"/>
      <c r="U421" s="2"/>
      <c r="W421" s="34"/>
      <c r="X421" s="23"/>
      <c r="Y421" s="34"/>
      <c r="Z421" s="23"/>
      <c r="AA421" s="2"/>
      <c r="AC421" s="244"/>
    </row>
    <row r="422" spans="10:29">
      <c r="J422" s="412">
        <v>41424</v>
      </c>
      <c r="K422" s="413">
        <v>13.879118</v>
      </c>
      <c r="L422" s="30">
        <f t="shared" si="24"/>
        <v>1.1057357840162639E-2</v>
      </c>
      <c r="M422" s="414">
        <v>1654.410034</v>
      </c>
      <c r="N422" s="31">
        <f t="shared" si="25"/>
        <v>1.4514909884561033E-2</v>
      </c>
      <c r="Q422" s="34"/>
      <c r="R422" s="23"/>
      <c r="S422" s="34"/>
      <c r="T422" s="23"/>
      <c r="U422" s="2"/>
      <c r="W422" s="34"/>
      <c r="X422" s="23"/>
      <c r="Y422" s="34"/>
      <c r="Z422" s="23"/>
      <c r="AA422" s="2"/>
      <c r="AC422" s="244"/>
    </row>
    <row r="423" spans="10:29">
      <c r="J423" s="412">
        <v>41425</v>
      </c>
      <c r="K423" s="413">
        <v>13.72733</v>
      </c>
      <c r="L423" s="30">
        <f t="shared" si="24"/>
        <v>1.3841192919121772E-3</v>
      </c>
      <c r="M423" s="414">
        <v>1630.73999</v>
      </c>
      <c r="N423" s="31">
        <f t="shared" si="25"/>
        <v>-5.9009605712912932E-3</v>
      </c>
      <c r="Q423" s="34"/>
      <c r="R423" s="23"/>
      <c r="S423" s="34"/>
      <c r="T423" s="23"/>
      <c r="U423" s="2"/>
      <c r="W423" s="34"/>
      <c r="X423" s="23"/>
      <c r="Y423" s="34"/>
      <c r="Z423" s="23"/>
      <c r="AA423" s="2"/>
      <c r="AC423" s="244"/>
    </row>
    <row r="424" spans="10:29">
      <c r="J424" s="412">
        <v>41428</v>
      </c>
      <c r="K424" s="413">
        <v>13.708356</v>
      </c>
      <c r="L424" s="30">
        <f t="shared" si="24"/>
        <v>-1.3822061537094282E-3</v>
      </c>
      <c r="M424" s="414">
        <v>1640.420044</v>
      </c>
      <c r="N424" s="31">
        <f t="shared" si="25"/>
        <v>5.5413447340860221E-3</v>
      </c>
      <c r="Q424" s="34"/>
      <c r="R424" s="23"/>
      <c r="S424" s="34"/>
      <c r="T424" s="23"/>
      <c r="U424" s="2"/>
      <c r="W424" s="34"/>
      <c r="X424" s="23"/>
      <c r="Y424" s="34"/>
      <c r="Z424" s="23"/>
      <c r="AA424" s="2"/>
      <c r="AC424" s="244"/>
    </row>
    <row r="425" spans="10:29">
      <c r="J425" s="412">
        <v>41429</v>
      </c>
      <c r="K425" s="413">
        <v>13.72733</v>
      </c>
      <c r="L425" s="30">
        <f t="shared" si="24"/>
        <v>2.1892707939410047E-2</v>
      </c>
      <c r="M425" s="414">
        <v>1631.380005</v>
      </c>
      <c r="N425" s="31">
        <f t="shared" si="25"/>
        <v>1.3972267179231487E-2</v>
      </c>
      <c r="Q425" s="34"/>
      <c r="R425" s="23"/>
      <c r="S425" s="34"/>
      <c r="T425" s="23"/>
      <c r="U425" s="2"/>
      <c r="W425" s="34"/>
      <c r="X425" s="23"/>
      <c r="Y425" s="34"/>
      <c r="Z425" s="23"/>
      <c r="AA425" s="2"/>
      <c r="AC425" s="244"/>
    </row>
    <row r="426" spans="10:29">
      <c r="J426" s="412">
        <v>41430</v>
      </c>
      <c r="K426" s="413">
        <v>13.43324</v>
      </c>
      <c r="L426" s="30">
        <f t="shared" si="24"/>
        <v>-6.3158069155130492E-3</v>
      </c>
      <c r="M426" s="414">
        <v>1608.900024</v>
      </c>
      <c r="N426" s="31">
        <f t="shared" si="25"/>
        <v>-8.4188162553555622E-3</v>
      </c>
      <c r="Q426" s="34"/>
      <c r="R426" s="23"/>
      <c r="S426" s="34"/>
      <c r="T426" s="23"/>
      <c r="U426" s="2"/>
      <c r="W426" s="34"/>
      <c r="X426" s="23"/>
      <c r="Y426" s="34"/>
      <c r="Z426" s="23"/>
      <c r="AA426" s="2"/>
      <c r="AC426" s="244"/>
    </row>
    <row r="427" spans="10:29">
      <c r="J427" s="412">
        <v>41431</v>
      </c>
      <c r="K427" s="413">
        <v>13.518621</v>
      </c>
      <c r="L427" s="30">
        <f t="shared" si="24"/>
        <v>-1.3840828178083546E-2</v>
      </c>
      <c r="M427" s="414">
        <v>1622.5600589999999</v>
      </c>
      <c r="N427" s="31">
        <f t="shared" si="25"/>
        <v>-1.2668978530014471E-2</v>
      </c>
      <c r="Q427" s="34"/>
      <c r="R427" s="23"/>
      <c r="S427" s="34"/>
      <c r="T427" s="23"/>
      <c r="U427" s="2"/>
      <c r="W427" s="34"/>
      <c r="X427" s="23"/>
      <c r="Y427" s="34"/>
      <c r="Z427" s="23"/>
      <c r="AA427" s="2"/>
      <c r="AC427" s="244"/>
    </row>
    <row r="428" spans="10:29">
      <c r="J428" s="412">
        <v>41432</v>
      </c>
      <c r="K428" s="413">
        <v>13.708356</v>
      </c>
      <c r="L428" s="30">
        <f t="shared" si="24"/>
        <v>6.9253892419878047E-4</v>
      </c>
      <c r="M428" s="414">
        <v>1643.380005</v>
      </c>
      <c r="N428" s="31">
        <f t="shared" si="25"/>
        <v>3.469335952002913E-4</v>
      </c>
      <c r="Q428" s="34"/>
      <c r="R428" s="23"/>
      <c r="S428" s="34"/>
      <c r="T428" s="23"/>
      <c r="U428" s="2"/>
      <c r="W428" s="34"/>
      <c r="X428" s="23"/>
      <c r="Y428" s="34"/>
      <c r="Z428" s="23"/>
      <c r="AA428" s="2"/>
      <c r="AC428" s="244"/>
    </row>
    <row r="429" spans="10:29">
      <c r="J429" s="412">
        <v>41435</v>
      </c>
      <c r="K429" s="413">
        <v>13.698869</v>
      </c>
      <c r="L429" s="30">
        <f t="shared" si="24"/>
        <v>1.9054318368587009E-2</v>
      </c>
      <c r="M429" s="414">
        <v>1642.8100589999999</v>
      </c>
      <c r="N429" s="31">
        <f t="shared" si="25"/>
        <v>1.0257515665237311E-2</v>
      </c>
      <c r="Q429" s="34"/>
      <c r="R429" s="23"/>
      <c r="S429" s="34"/>
      <c r="T429" s="23"/>
      <c r="U429" s="2"/>
      <c r="W429" s="34"/>
      <c r="X429" s="23"/>
      <c r="Y429" s="34"/>
      <c r="Z429" s="23"/>
      <c r="AA429" s="2"/>
      <c r="AC429" s="244"/>
    </row>
    <row r="430" spans="10:29">
      <c r="J430" s="412">
        <v>41436</v>
      </c>
      <c r="K430" s="413">
        <v>13.442727</v>
      </c>
      <c r="L430" s="30">
        <f t="shared" si="24"/>
        <v>8.5409238251417992E-3</v>
      </c>
      <c r="M430" s="414">
        <v>1626.130005</v>
      </c>
      <c r="N430" s="31">
        <f t="shared" si="25"/>
        <v>8.4401959859078529E-3</v>
      </c>
      <c r="Q430" s="34"/>
      <c r="R430" s="23"/>
      <c r="S430" s="34"/>
      <c r="T430" s="23"/>
      <c r="U430" s="2"/>
      <c r="W430" s="34"/>
      <c r="X430" s="23"/>
      <c r="Y430" s="34"/>
      <c r="Z430" s="23"/>
      <c r="AA430" s="2"/>
      <c r="AC430" s="244"/>
    </row>
    <row r="431" spans="10:29">
      <c r="J431" s="412">
        <v>41437</v>
      </c>
      <c r="K431" s="413">
        <v>13.328886000000001</v>
      </c>
      <c r="L431" s="30">
        <f t="shared" si="24"/>
        <v>-2.2268611495120955E-2</v>
      </c>
      <c r="M431" s="414">
        <v>1612.5200199999999</v>
      </c>
      <c r="N431" s="31">
        <f t="shared" si="25"/>
        <v>-1.4568900008881676E-2</v>
      </c>
      <c r="Q431" s="34"/>
      <c r="R431" s="23"/>
      <c r="S431" s="34"/>
      <c r="T431" s="23"/>
      <c r="U431" s="2"/>
      <c r="W431" s="34"/>
      <c r="X431" s="23"/>
      <c r="Y431" s="34"/>
      <c r="Z431" s="23"/>
      <c r="AA431" s="2"/>
      <c r="AC431" s="244"/>
    </row>
    <row r="432" spans="10:29">
      <c r="J432" s="412">
        <v>41438</v>
      </c>
      <c r="K432" s="413">
        <v>13.632462</v>
      </c>
      <c r="L432" s="30">
        <f t="shared" si="24"/>
        <v>1.3936912131783995E-3</v>
      </c>
      <c r="M432" s="414">
        <v>1636.3599850000001</v>
      </c>
      <c r="N432" s="31">
        <f t="shared" si="25"/>
        <v>5.9198546276254052E-3</v>
      </c>
      <c r="Q432" s="34"/>
      <c r="R432" s="23"/>
      <c r="S432" s="34"/>
      <c r="T432" s="23"/>
      <c r="U432" s="2"/>
      <c r="W432" s="34"/>
      <c r="X432" s="23"/>
      <c r="Y432" s="34"/>
      <c r="Z432" s="23"/>
      <c r="AA432" s="2"/>
      <c r="AC432" s="244"/>
    </row>
    <row r="433" spans="10:29">
      <c r="J433" s="412">
        <v>41439</v>
      </c>
      <c r="K433" s="413">
        <v>13.613489</v>
      </c>
      <c r="L433" s="30">
        <f t="shared" si="24"/>
        <v>-9.6617977939231926E-3</v>
      </c>
      <c r="M433" s="414">
        <v>1626.7299800000001</v>
      </c>
      <c r="N433" s="31">
        <f t="shared" si="25"/>
        <v>-7.5105297656489463E-3</v>
      </c>
      <c r="Q433" s="34"/>
      <c r="R433" s="23"/>
      <c r="S433" s="34"/>
      <c r="T433" s="23"/>
      <c r="U433" s="2"/>
      <c r="W433" s="34"/>
      <c r="X433" s="23"/>
      <c r="Y433" s="34"/>
      <c r="Z433" s="23"/>
      <c r="AA433" s="2"/>
      <c r="AC433" s="244"/>
    </row>
    <row r="434" spans="10:29">
      <c r="J434" s="412">
        <v>41442</v>
      </c>
      <c r="K434" s="413">
        <v>13.746302999999999</v>
      </c>
      <c r="L434" s="30">
        <f t="shared" si="24"/>
        <v>6.2500173853565618E-3</v>
      </c>
      <c r="M434" s="414">
        <v>1639.040039</v>
      </c>
      <c r="N434" s="31">
        <f t="shared" si="25"/>
        <v>-7.7309251935000671E-3</v>
      </c>
      <c r="Q434" s="34"/>
      <c r="R434" s="23"/>
      <c r="S434" s="34"/>
      <c r="T434" s="23"/>
      <c r="U434" s="2"/>
      <c r="W434" s="34"/>
      <c r="X434" s="23"/>
      <c r="Y434" s="34"/>
      <c r="Z434" s="23"/>
      <c r="AA434" s="2"/>
      <c r="AC434" s="244"/>
    </row>
    <row r="435" spans="10:29">
      <c r="J435" s="412">
        <v>41443</v>
      </c>
      <c r="K435" s="413">
        <v>13.660921999999999</v>
      </c>
      <c r="L435" s="30">
        <f t="shared" si="24"/>
        <v>-2.9649591475244371E-2</v>
      </c>
      <c r="M435" s="414">
        <v>1651.8100589999999</v>
      </c>
      <c r="N435" s="31">
        <f t="shared" si="25"/>
        <v>1.4046032820019407E-2</v>
      </c>
      <c r="Q435" s="34"/>
      <c r="R435" s="23"/>
      <c r="S435" s="34"/>
      <c r="T435" s="23"/>
      <c r="U435" s="2"/>
      <c r="W435" s="34"/>
      <c r="X435" s="23"/>
      <c r="Y435" s="34"/>
      <c r="Z435" s="23"/>
      <c r="AA435" s="2"/>
      <c r="AC435" s="244"/>
    </row>
    <row r="436" spans="10:29">
      <c r="J436" s="412">
        <v>41444</v>
      </c>
      <c r="K436" s="413">
        <v>14.078339</v>
      </c>
      <c r="L436" s="30">
        <f t="shared" si="24"/>
        <v>2.7700826980679903E-2</v>
      </c>
      <c r="M436" s="414">
        <v>1628.9300539999999</v>
      </c>
      <c r="N436" s="31">
        <f t="shared" si="25"/>
        <v>2.5651914766786597E-2</v>
      </c>
      <c r="Q436" s="34"/>
      <c r="R436" s="23"/>
      <c r="S436" s="34"/>
      <c r="T436" s="23"/>
      <c r="U436" s="2"/>
      <c r="W436" s="34"/>
      <c r="X436" s="23"/>
      <c r="Y436" s="34"/>
      <c r="Z436" s="23"/>
      <c r="AA436" s="2"/>
      <c r="AC436" s="244"/>
    </row>
    <row r="437" spans="10:29">
      <c r="J437" s="412">
        <v>41445</v>
      </c>
      <c r="K437" s="413">
        <v>13.698869</v>
      </c>
      <c r="L437" s="30">
        <f t="shared" si="24"/>
        <v>1.3869257485583804E-3</v>
      </c>
      <c r="M437" s="414">
        <v>1588.1899410000001</v>
      </c>
      <c r="N437" s="31">
        <f t="shared" si="25"/>
        <v>-2.6626682844556747E-3</v>
      </c>
      <c r="Q437" s="34"/>
      <c r="R437" s="23"/>
      <c r="S437" s="34"/>
      <c r="T437" s="23"/>
      <c r="U437" s="2"/>
      <c r="W437" s="34"/>
      <c r="X437" s="23"/>
      <c r="Y437" s="34"/>
      <c r="Z437" s="23"/>
      <c r="AA437" s="2"/>
      <c r="AC437" s="244"/>
    </row>
    <row r="438" spans="10:29">
      <c r="J438" s="412">
        <v>41446</v>
      </c>
      <c r="K438" s="413">
        <v>13.679895999999999</v>
      </c>
      <c r="L438" s="30">
        <f t="shared" si="24"/>
        <v>2.1246493077829564E-2</v>
      </c>
      <c r="M438" s="414">
        <v>1592.4300539999999</v>
      </c>
      <c r="N438" s="31">
        <f t="shared" si="25"/>
        <v>1.2294330532904768E-2</v>
      </c>
      <c r="Q438" s="34"/>
      <c r="R438" s="23"/>
      <c r="S438" s="34"/>
      <c r="T438" s="23"/>
      <c r="U438" s="2"/>
      <c r="W438" s="34"/>
      <c r="X438" s="23"/>
      <c r="Y438" s="34"/>
      <c r="Z438" s="23"/>
      <c r="AA438" s="2"/>
      <c r="AC438" s="244"/>
    </row>
    <row r="439" spans="10:29">
      <c r="J439" s="412">
        <v>41449</v>
      </c>
      <c r="K439" s="413">
        <v>13.395293000000001</v>
      </c>
      <c r="L439" s="30">
        <f t="shared" si="24"/>
        <v>-7.0323845653139311E-3</v>
      </c>
      <c r="M439" s="414">
        <v>1573.089966</v>
      </c>
      <c r="N439" s="31">
        <f t="shared" si="25"/>
        <v>-9.407922222609312E-3</v>
      </c>
      <c r="Q439" s="34"/>
      <c r="R439" s="23"/>
      <c r="S439" s="34"/>
      <c r="T439" s="23"/>
      <c r="U439" s="2"/>
      <c r="W439" s="34"/>
      <c r="X439" s="23"/>
      <c r="Y439" s="34"/>
      <c r="Z439" s="23"/>
      <c r="AA439" s="2"/>
      <c r="AC439" s="244"/>
    </row>
    <row r="440" spans="10:29">
      <c r="J440" s="412">
        <v>41450</v>
      </c>
      <c r="K440" s="413">
        <v>13.490161000000001</v>
      </c>
      <c r="L440" s="30">
        <f t="shared" si="24"/>
        <v>5.6577075735856387E-3</v>
      </c>
      <c r="M440" s="414">
        <v>1588.030029</v>
      </c>
      <c r="N440" s="31">
        <f t="shared" si="25"/>
        <v>-9.4993830726183663E-3</v>
      </c>
      <c r="Q440" s="34"/>
      <c r="R440" s="23"/>
      <c r="S440" s="34"/>
      <c r="T440" s="23"/>
      <c r="U440" s="2"/>
      <c r="W440" s="34"/>
      <c r="X440" s="23"/>
      <c r="Y440" s="34"/>
      <c r="Z440" s="23"/>
      <c r="AA440" s="2"/>
      <c r="AC440" s="244"/>
    </row>
    <row r="441" spans="10:29">
      <c r="J441" s="412">
        <v>41451</v>
      </c>
      <c r="K441" s="413">
        <v>13.414267000000001</v>
      </c>
      <c r="L441" s="30">
        <f t="shared" si="24"/>
        <v>9.2791036058476207E-3</v>
      </c>
      <c r="M441" s="414">
        <v>1603.26001</v>
      </c>
      <c r="N441" s="31">
        <f t="shared" si="25"/>
        <v>-6.161629867294789E-3</v>
      </c>
      <c r="Q441" s="34"/>
      <c r="R441" s="23"/>
      <c r="S441" s="34"/>
      <c r="T441" s="23"/>
      <c r="U441" s="2"/>
      <c r="W441" s="34"/>
      <c r="X441" s="23"/>
      <c r="Y441" s="34"/>
      <c r="Z441" s="23"/>
      <c r="AA441" s="2"/>
      <c r="AC441" s="244"/>
    </row>
    <row r="442" spans="10:29">
      <c r="J442" s="412">
        <v>41452</v>
      </c>
      <c r="K442" s="413">
        <v>13.290939</v>
      </c>
      <c r="L442" s="30">
        <f t="shared" si="24"/>
        <v>-2.1367330462884111E-3</v>
      </c>
      <c r="M442" s="414">
        <v>1613.1999510000001</v>
      </c>
      <c r="N442" s="31">
        <f t="shared" si="25"/>
        <v>4.3080421066481692E-3</v>
      </c>
      <c r="Q442" s="34"/>
      <c r="R442" s="23"/>
      <c r="S442" s="34"/>
      <c r="T442" s="23"/>
      <c r="U442" s="2"/>
      <c r="W442" s="34"/>
      <c r="X442" s="23"/>
      <c r="Y442" s="34"/>
      <c r="Z442" s="23"/>
      <c r="AA442" s="2"/>
      <c r="AC442" s="244"/>
    </row>
    <row r="443" spans="10:29">
      <c r="J443" s="412">
        <v>41453</v>
      </c>
      <c r="K443" s="413">
        <v>13.319399000000001</v>
      </c>
      <c r="L443" s="30">
        <f t="shared" si="24"/>
        <v>-4.255355733116366E-3</v>
      </c>
      <c r="M443" s="414">
        <v>1606.280029</v>
      </c>
      <c r="N443" s="31">
        <f t="shared" si="25"/>
        <v>-5.3747041472318015E-3</v>
      </c>
      <c r="Q443" s="34"/>
      <c r="R443" s="23"/>
      <c r="S443" s="34"/>
      <c r="T443" s="23"/>
      <c r="U443" s="2"/>
      <c r="W443" s="34"/>
      <c r="X443" s="23"/>
      <c r="Y443" s="34"/>
      <c r="Z443" s="23"/>
      <c r="AA443" s="2"/>
      <c r="AC443" s="244"/>
    </row>
    <row r="444" spans="10:29">
      <c r="J444" s="412">
        <v>41456</v>
      </c>
      <c r="K444" s="413">
        <v>13.37632</v>
      </c>
      <c r="L444" s="30">
        <f t="shared" si="24"/>
        <v>7.0974179149242179E-4</v>
      </c>
      <c r="M444" s="414">
        <v>1614.959961</v>
      </c>
      <c r="N444" s="31">
        <f t="shared" si="25"/>
        <v>5.4520533306218861E-4</v>
      </c>
      <c r="Q444" s="34"/>
      <c r="R444" s="23"/>
      <c r="S444" s="34"/>
      <c r="T444" s="23"/>
      <c r="U444" s="2"/>
      <c r="W444" s="34"/>
      <c r="X444" s="23"/>
      <c r="Y444" s="34"/>
      <c r="Z444" s="23"/>
      <c r="AA444" s="2"/>
      <c r="AC444" s="244"/>
    </row>
    <row r="445" spans="10:29">
      <c r="J445" s="412">
        <v>41457</v>
      </c>
      <c r="K445" s="413">
        <v>13.366833</v>
      </c>
      <c r="L445" s="30">
        <f t="shared" si="24"/>
        <v>-2.8308558588802531E-3</v>
      </c>
      <c r="M445" s="414">
        <v>1614.079956</v>
      </c>
      <c r="N445" s="31">
        <f t="shared" si="25"/>
        <v>-8.233686630672233E-4</v>
      </c>
      <c r="Q445" s="34"/>
      <c r="R445" s="23"/>
      <c r="S445" s="34"/>
      <c r="T445" s="23"/>
      <c r="U445" s="2"/>
      <c r="W445" s="34"/>
      <c r="X445" s="23"/>
      <c r="Y445" s="34"/>
      <c r="Z445" s="23"/>
      <c r="AA445" s="2"/>
      <c r="AC445" s="244"/>
    </row>
    <row r="446" spans="10:29">
      <c r="J446" s="412">
        <v>41458</v>
      </c>
      <c r="K446" s="413">
        <v>13.404780000000001</v>
      </c>
      <c r="L446" s="30">
        <f t="shared" si="24"/>
        <v>-7.7246994514969611E-3</v>
      </c>
      <c r="M446" s="414">
        <v>1615.410034</v>
      </c>
      <c r="N446" s="31">
        <f t="shared" si="25"/>
        <v>-1.0098708153441304E-2</v>
      </c>
      <c r="Q446" s="34"/>
      <c r="R446" s="23"/>
      <c r="S446" s="34"/>
      <c r="T446" s="23"/>
      <c r="U446" s="2"/>
      <c r="W446" s="34"/>
      <c r="X446" s="23"/>
      <c r="Y446" s="34"/>
      <c r="Z446" s="23"/>
      <c r="AA446" s="2"/>
      <c r="AC446" s="244"/>
    </row>
    <row r="447" spans="10:29">
      <c r="J447" s="412">
        <v>41460</v>
      </c>
      <c r="K447" s="413">
        <v>13.509134</v>
      </c>
      <c r="L447" s="30">
        <f t="shared" si="24"/>
        <v>4.9399946900654818E-3</v>
      </c>
      <c r="M447" s="414">
        <v>1631.8900149999999</v>
      </c>
      <c r="N447" s="31">
        <f t="shared" si="25"/>
        <v>-5.2241116538900229E-3</v>
      </c>
      <c r="Q447" s="34"/>
      <c r="R447" s="23"/>
      <c r="S447" s="34"/>
      <c r="T447" s="23"/>
      <c r="U447" s="2"/>
      <c r="W447" s="34"/>
      <c r="X447" s="23"/>
      <c r="Y447" s="34"/>
      <c r="Z447" s="23"/>
      <c r="AA447" s="2"/>
      <c r="AC447" s="244"/>
    </row>
    <row r="448" spans="10:29">
      <c r="J448" s="412">
        <v>41463</v>
      </c>
      <c r="K448" s="413">
        <v>13.442727</v>
      </c>
      <c r="L448" s="30">
        <f t="shared" si="24"/>
        <v>-4.9157111033171991E-3</v>
      </c>
      <c r="M448" s="414">
        <v>1640.459961</v>
      </c>
      <c r="N448" s="31">
        <f t="shared" si="25"/>
        <v>-7.1777775416384465E-3</v>
      </c>
      <c r="Q448" s="34"/>
      <c r="R448" s="23"/>
      <c r="S448" s="34"/>
      <c r="T448" s="23"/>
      <c r="U448" s="2"/>
      <c r="W448" s="34"/>
      <c r="X448" s="23"/>
      <c r="Y448" s="34"/>
      <c r="Z448" s="23"/>
      <c r="AA448" s="2"/>
      <c r="AC448" s="244"/>
    </row>
    <row r="449" spans="10:29">
      <c r="J449" s="412">
        <v>41464</v>
      </c>
      <c r="K449" s="413">
        <v>13.509134</v>
      </c>
      <c r="L449" s="30">
        <f t="shared" si="24"/>
        <v>-1.3167065308933199E-2</v>
      </c>
      <c r="M449" s="414">
        <v>1652.3199460000001</v>
      </c>
      <c r="N449" s="31">
        <f t="shared" si="25"/>
        <v>-1.8155958472470526E-4</v>
      </c>
      <c r="Q449" s="34"/>
      <c r="R449" s="23"/>
      <c r="S449" s="34"/>
      <c r="T449" s="23"/>
      <c r="U449" s="2"/>
      <c r="W449" s="34"/>
      <c r="X449" s="23"/>
      <c r="Y449" s="34"/>
      <c r="Z449" s="23"/>
      <c r="AA449" s="2"/>
      <c r="AC449" s="244"/>
    </row>
    <row r="450" spans="10:29">
      <c r="J450" s="412">
        <v>41465</v>
      </c>
      <c r="K450" s="413">
        <v>13.689382999999999</v>
      </c>
      <c r="L450" s="30">
        <f t="shared" si="24"/>
        <v>-1.3670537277657028E-2</v>
      </c>
      <c r="M450" s="414">
        <v>1652.619995</v>
      </c>
      <c r="N450" s="31">
        <f t="shared" si="25"/>
        <v>-1.3372989416568237E-2</v>
      </c>
      <c r="Q450" s="34"/>
      <c r="R450" s="23"/>
      <c r="S450" s="34"/>
      <c r="T450" s="23"/>
      <c r="U450" s="2"/>
      <c r="W450" s="34"/>
      <c r="X450" s="23"/>
      <c r="Y450" s="34"/>
      <c r="Z450" s="23"/>
      <c r="AA450" s="2"/>
      <c r="AC450" s="244"/>
    </row>
    <row r="451" spans="10:29">
      <c r="J451" s="412">
        <v>41466</v>
      </c>
      <c r="K451" s="413">
        <v>13.879118</v>
      </c>
      <c r="L451" s="30">
        <f t="shared" si="24"/>
        <v>-6.8307796211354728E-4</v>
      </c>
      <c r="M451" s="414">
        <v>1675.0200199999999</v>
      </c>
      <c r="N451" s="31">
        <f t="shared" si="25"/>
        <v>-3.076986044163062E-3</v>
      </c>
      <c r="Q451" s="34"/>
      <c r="R451" s="23"/>
      <c r="S451" s="34"/>
      <c r="T451" s="23"/>
      <c r="U451" s="2"/>
      <c r="W451" s="34"/>
      <c r="X451" s="23"/>
      <c r="Y451" s="34"/>
      <c r="Z451" s="23"/>
      <c r="AA451" s="2"/>
      <c r="AC451" s="244"/>
    </row>
    <row r="452" spans="10:29">
      <c r="J452" s="412">
        <v>41467</v>
      </c>
      <c r="K452" s="413">
        <v>13.888605</v>
      </c>
      <c r="L452" s="30">
        <f t="shared" si="24"/>
        <v>2.0534418690022318E-3</v>
      </c>
      <c r="M452" s="414">
        <v>1680.1899410000001</v>
      </c>
      <c r="N452" s="31">
        <f t="shared" si="25"/>
        <v>-1.372991976225801E-3</v>
      </c>
      <c r="Q452" s="34"/>
      <c r="R452" s="23"/>
      <c r="S452" s="34"/>
      <c r="T452" s="23"/>
      <c r="U452" s="2"/>
      <c r="W452" s="34"/>
      <c r="X452" s="23"/>
      <c r="Y452" s="34"/>
      <c r="Z452" s="23"/>
      <c r="AA452" s="2"/>
      <c r="AC452" s="244"/>
    </row>
    <row r="453" spans="10:29">
      <c r="J453" s="412">
        <v>41470</v>
      </c>
      <c r="K453" s="413">
        <v>13.860144</v>
      </c>
      <c r="L453" s="30">
        <f t="shared" si="24"/>
        <v>-5.4458806728282386E-3</v>
      </c>
      <c r="M453" s="414">
        <v>1682.5</v>
      </c>
      <c r="N453" s="31">
        <f t="shared" si="25"/>
        <v>3.7225668826878682E-3</v>
      </c>
      <c r="Q453" s="34"/>
      <c r="R453" s="23"/>
      <c r="S453" s="34"/>
      <c r="T453" s="23"/>
      <c r="U453" s="2"/>
      <c r="W453" s="34"/>
      <c r="X453" s="23"/>
      <c r="Y453" s="34"/>
      <c r="Z453" s="23"/>
      <c r="AA453" s="2"/>
      <c r="AC453" s="244"/>
    </row>
    <row r="454" spans="10:29">
      <c r="J454" s="412">
        <v>41471</v>
      </c>
      <c r="K454" s="413">
        <v>13.936038</v>
      </c>
      <c r="L454" s="30">
        <f t="shared" si="24"/>
        <v>5.4757006853608375E-3</v>
      </c>
      <c r="M454" s="414">
        <v>1676.26001</v>
      </c>
      <c r="N454" s="31">
        <f t="shared" si="25"/>
        <v>-2.7663729205866768E-3</v>
      </c>
      <c r="Q454" s="34"/>
      <c r="R454" s="23"/>
      <c r="S454" s="34"/>
      <c r="T454" s="23"/>
      <c r="U454" s="2"/>
      <c r="W454" s="34"/>
      <c r="X454" s="23"/>
      <c r="Y454" s="34"/>
      <c r="Z454" s="23"/>
      <c r="AA454" s="2"/>
      <c r="AC454" s="244"/>
    </row>
    <row r="455" spans="10:29">
      <c r="J455" s="412">
        <v>41472</v>
      </c>
      <c r="K455" s="413">
        <v>13.860144</v>
      </c>
      <c r="L455" s="30">
        <f t="shared" si="24"/>
        <v>4.1236742952226128E-3</v>
      </c>
      <c r="M455" s="414">
        <v>1680.910034</v>
      </c>
      <c r="N455" s="31">
        <f t="shared" si="25"/>
        <v>-5.0077608960966665E-3</v>
      </c>
      <c r="Q455" s="34"/>
      <c r="R455" s="23"/>
      <c r="S455" s="34"/>
      <c r="T455" s="23"/>
      <c r="U455" s="2"/>
      <c r="W455" s="34"/>
      <c r="X455" s="23"/>
      <c r="Y455" s="34"/>
      <c r="Z455" s="23"/>
      <c r="AA455" s="2"/>
      <c r="AC455" s="244"/>
    </row>
    <row r="456" spans="10:29">
      <c r="J456" s="412">
        <v>41473</v>
      </c>
      <c r="K456" s="413">
        <v>13.803224</v>
      </c>
      <c r="L456" s="30">
        <f t="shared" ref="L456:L519" si="26">(K456-K457)/K457</f>
        <v>2.1769715216386234E-2</v>
      </c>
      <c r="M456" s="414">
        <v>1689.369995</v>
      </c>
      <c r="N456" s="31">
        <f t="shared" si="25"/>
        <v>-1.6074624013224523E-3</v>
      </c>
      <c r="Q456" s="34"/>
      <c r="R456" s="23"/>
      <c r="S456" s="34"/>
      <c r="T456" s="23"/>
      <c r="U456" s="2"/>
      <c r="W456" s="34"/>
      <c r="X456" s="23"/>
      <c r="Y456" s="34"/>
      <c r="Z456" s="23"/>
      <c r="AA456" s="2"/>
      <c r="AC456" s="244"/>
    </row>
    <row r="457" spans="10:29">
      <c r="J457" s="412">
        <v>41474</v>
      </c>
      <c r="K457" s="413">
        <v>13.509134</v>
      </c>
      <c r="L457" s="30">
        <f t="shared" si="26"/>
        <v>7.0275911659023558E-4</v>
      </c>
      <c r="M457" s="414">
        <v>1692.089966</v>
      </c>
      <c r="N457" s="31">
        <f t="shared" si="25"/>
        <v>-2.0289012528011139E-3</v>
      </c>
      <c r="Q457" s="34"/>
      <c r="R457" s="23"/>
      <c r="S457" s="34"/>
      <c r="T457" s="23"/>
      <c r="U457" s="2"/>
      <c r="W457" s="34"/>
      <c r="X457" s="23"/>
      <c r="Y457" s="34"/>
      <c r="Z457" s="23"/>
      <c r="AA457" s="2"/>
      <c r="AC457" s="244"/>
    </row>
    <row r="458" spans="10:29">
      <c r="J458" s="412">
        <v>41477</v>
      </c>
      <c r="K458" s="413">
        <v>13.499647</v>
      </c>
      <c r="L458" s="30">
        <f t="shared" si="26"/>
        <v>1.4074222104917763E-3</v>
      </c>
      <c r="M458" s="414">
        <v>1695.530029</v>
      </c>
      <c r="N458" s="31">
        <f t="shared" ref="N458:N521" si="27">(M458-M459)/M459</f>
        <v>1.8553725631618458E-3</v>
      </c>
      <c r="Q458" s="34"/>
      <c r="R458" s="23"/>
      <c r="S458" s="34"/>
      <c r="T458" s="23"/>
      <c r="U458" s="2"/>
      <c r="W458" s="34"/>
      <c r="X458" s="23"/>
      <c r="Y458" s="34"/>
      <c r="Z458" s="23"/>
      <c r="AA458" s="2"/>
      <c r="AC458" s="244"/>
    </row>
    <row r="459" spans="10:29">
      <c r="J459" s="412">
        <v>41478</v>
      </c>
      <c r="K459" s="413">
        <v>13.480674</v>
      </c>
      <c r="L459" s="30">
        <f t="shared" si="26"/>
        <v>0</v>
      </c>
      <c r="M459" s="414">
        <v>1692.3900149999999</v>
      </c>
      <c r="N459" s="31">
        <f t="shared" si="27"/>
        <v>3.825802950118173E-3</v>
      </c>
      <c r="Q459" s="34"/>
      <c r="R459" s="23"/>
      <c r="S459" s="34"/>
      <c r="T459" s="23"/>
      <c r="U459" s="2"/>
      <c r="W459" s="34"/>
      <c r="X459" s="23"/>
      <c r="Y459" s="34"/>
      <c r="Z459" s="23"/>
      <c r="AA459" s="2"/>
      <c r="AC459" s="244"/>
    </row>
    <row r="460" spans="10:29">
      <c r="J460" s="412">
        <v>41479</v>
      </c>
      <c r="K460" s="413">
        <v>13.480674</v>
      </c>
      <c r="L460" s="30">
        <f t="shared" si="26"/>
        <v>-3.5063291925226418E-3</v>
      </c>
      <c r="M460" s="414">
        <v>1685.9399410000001</v>
      </c>
      <c r="N460" s="31">
        <f t="shared" si="27"/>
        <v>-2.5499535571660466E-3</v>
      </c>
      <c r="Q460" s="34"/>
      <c r="R460" s="23"/>
      <c r="S460" s="34"/>
      <c r="T460" s="23"/>
      <c r="U460" s="2"/>
      <c r="W460" s="34"/>
      <c r="X460" s="23"/>
      <c r="Y460" s="34"/>
      <c r="Z460" s="23"/>
      <c r="AA460" s="2"/>
      <c r="AC460" s="244"/>
    </row>
    <row r="461" spans="10:29">
      <c r="J461" s="412">
        <v>41480</v>
      </c>
      <c r="K461" s="413">
        <v>13.528108</v>
      </c>
      <c r="L461" s="30">
        <f t="shared" si="26"/>
        <v>4.2253886016131396E-3</v>
      </c>
      <c r="M461" s="414">
        <v>1690.25</v>
      </c>
      <c r="N461" s="31">
        <f t="shared" si="27"/>
        <v>-8.2760853612592758E-4</v>
      </c>
      <c r="Q461" s="34"/>
      <c r="R461" s="23"/>
      <c r="S461" s="34"/>
      <c r="T461" s="23"/>
      <c r="U461" s="2"/>
      <c r="W461" s="34"/>
      <c r="X461" s="23"/>
      <c r="Y461" s="34"/>
      <c r="Z461" s="23"/>
      <c r="AA461" s="2"/>
      <c r="AC461" s="244"/>
    </row>
    <row r="462" spans="10:29">
      <c r="J462" s="412">
        <v>41481</v>
      </c>
      <c r="K462" s="413">
        <v>13.471187</v>
      </c>
      <c r="L462" s="30">
        <f t="shared" si="26"/>
        <v>2.1171299543612555E-3</v>
      </c>
      <c r="M462" s="414">
        <v>1691.650024</v>
      </c>
      <c r="N462" s="31">
        <f t="shared" si="27"/>
        <v>3.7500478630310371E-3</v>
      </c>
      <c r="Q462" s="34"/>
      <c r="R462" s="23"/>
      <c r="S462" s="34"/>
      <c r="T462" s="23"/>
      <c r="U462" s="2"/>
      <c r="W462" s="34"/>
      <c r="X462" s="23"/>
      <c r="Y462" s="34"/>
      <c r="Z462" s="23"/>
      <c r="AA462" s="2"/>
      <c r="AC462" s="244"/>
    </row>
    <row r="463" spans="10:29">
      <c r="J463" s="412">
        <v>41484</v>
      </c>
      <c r="K463" s="413">
        <v>13.442727</v>
      </c>
      <c r="L463" s="30">
        <f t="shared" si="26"/>
        <v>-1.6655097883318613E-2</v>
      </c>
      <c r="M463" s="414">
        <v>1685.329956</v>
      </c>
      <c r="N463" s="31">
        <f t="shared" si="27"/>
        <v>-3.7367732008671516E-4</v>
      </c>
      <c r="Q463" s="34"/>
      <c r="R463" s="23"/>
      <c r="S463" s="34"/>
      <c r="T463" s="23"/>
      <c r="U463" s="2"/>
      <c r="W463" s="34"/>
      <c r="X463" s="23"/>
      <c r="Y463" s="34"/>
      <c r="Z463" s="23"/>
      <c r="AA463" s="2"/>
      <c r="AC463" s="244"/>
    </row>
    <row r="464" spans="10:29">
      <c r="J464" s="412">
        <v>41485</v>
      </c>
      <c r="K464" s="413">
        <v>13.670408999999999</v>
      </c>
      <c r="L464" s="30">
        <f t="shared" si="26"/>
        <v>-2.0775437738692749E-3</v>
      </c>
      <c r="M464" s="414">
        <v>1685.959961</v>
      </c>
      <c r="N464" s="31">
        <f t="shared" si="27"/>
        <v>1.3642813661055757E-4</v>
      </c>
      <c r="Q464" s="34"/>
      <c r="R464" s="23"/>
      <c r="S464" s="34"/>
      <c r="T464" s="23"/>
      <c r="U464" s="2"/>
      <c r="W464" s="34"/>
      <c r="X464" s="23"/>
      <c r="Y464" s="34"/>
      <c r="Z464" s="23"/>
      <c r="AA464" s="2"/>
      <c r="AC464" s="244"/>
    </row>
    <row r="465" spans="10:29">
      <c r="J465" s="412">
        <v>41486</v>
      </c>
      <c r="K465" s="413">
        <v>13.698869</v>
      </c>
      <c r="L465" s="30">
        <f t="shared" si="26"/>
        <v>-1.3661271236384064E-2</v>
      </c>
      <c r="M465" s="414">
        <v>1685.7299800000001</v>
      </c>
      <c r="N465" s="31">
        <f t="shared" si="27"/>
        <v>-1.2385251988684674E-2</v>
      </c>
      <c r="Q465" s="34"/>
      <c r="R465" s="23"/>
      <c r="S465" s="34"/>
      <c r="T465" s="23"/>
      <c r="U465" s="2"/>
      <c r="W465" s="34"/>
      <c r="X465" s="23"/>
      <c r="Y465" s="34"/>
      <c r="Z465" s="23"/>
      <c r="AA465" s="2"/>
      <c r="AC465" s="244"/>
    </row>
    <row r="466" spans="10:29">
      <c r="J466" s="412">
        <v>41487</v>
      </c>
      <c r="K466" s="413">
        <v>13.888605</v>
      </c>
      <c r="L466" s="30">
        <f t="shared" si="26"/>
        <v>-8.1300795589571099E-3</v>
      </c>
      <c r="M466" s="414">
        <v>1706.869995</v>
      </c>
      <c r="N466" s="31">
        <f t="shared" si="27"/>
        <v>-1.6377715745950945E-3</v>
      </c>
      <c r="Q466" s="34"/>
      <c r="R466" s="23"/>
      <c r="S466" s="34"/>
      <c r="T466" s="23"/>
      <c r="U466" s="2"/>
      <c r="W466" s="34"/>
      <c r="X466" s="23"/>
      <c r="Y466" s="34"/>
      <c r="Z466" s="23"/>
      <c r="AA466" s="2"/>
      <c r="AC466" s="244"/>
    </row>
    <row r="467" spans="10:29">
      <c r="J467" s="412">
        <v>41488</v>
      </c>
      <c r="K467" s="413">
        <v>14.002446000000001</v>
      </c>
      <c r="L467" s="30">
        <f t="shared" si="26"/>
        <v>-4.7200723982311317E-3</v>
      </c>
      <c r="M467" s="414">
        <v>1709.670044</v>
      </c>
      <c r="N467" s="31">
        <f t="shared" si="27"/>
        <v>1.4820278230078352E-3</v>
      </c>
      <c r="Q467" s="34"/>
      <c r="R467" s="23"/>
      <c r="S467" s="34"/>
      <c r="T467" s="23"/>
      <c r="U467" s="2"/>
      <c r="W467" s="34"/>
      <c r="X467" s="23"/>
      <c r="Y467" s="34"/>
      <c r="Z467" s="23"/>
      <c r="AA467" s="2"/>
      <c r="AC467" s="244"/>
    </row>
    <row r="468" spans="10:29">
      <c r="J468" s="412">
        <v>41491</v>
      </c>
      <c r="K468" s="413">
        <v>14.068852</v>
      </c>
      <c r="L468" s="30">
        <f t="shared" si="26"/>
        <v>1.5058140810081026E-2</v>
      </c>
      <c r="M468" s="414">
        <v>1707.1400149999999</v>
      </c>
      <c r="N468" s="31">
        <f t="shared" si="27"/>
        <v>5.7559754377535886E-3</v>
      </c>
      <c r="Q468" s="34"/>
      <c r="R468" s="23"/>
      <c r="S468" s="34"/>
      <c r="T468" s="23"/>
      <c r="U468" s="2"/>
      <c r="W468" s="34"/>
      <c r="X468" s="23"/>
      <c r="Y468" s="34"/>
      <c r="Z468" s="23"/>
      <c r="AA468" s="2"/>
      <c r="AC468" s="244"/>
    </row>
    <row r="469" spans="10:29">
      <c r="J469" s="412">
        <v>41492</v>
      </c>
      <c r="K469" s="413">
        <v>13.860144</v>
      </c>
      <c r="L469" s="30">
        <f t="shared" si="26"/>
        <v>6.8487720944382369E-4</v>
      </c>
      <c r="M469" s="414">
        <v>1697.369995</v>
      </c>
      <c r="N469" s="31">
        <f t="shared" si="27"/>
        <v>3.8204049122107352E-3</v>
      </c>
      <c r="Q469" s="34"/>
      <c r="R469" s="23"/>
      <c r="S469" s="34"/>
      <c r="T469" s="23"/>
      <c r="U469" s="2"/>
      <c r="W469" s="34"/>
      <c r="X469" s="23"/>
      <c r="Y469" s="34"/>
      <c r="Z469" s="23"/>
      <c r="AA469" s="2"/>
      <c r="AC469" s="244"/>
    </row>
    <row r="470" spans="10:29">
      <c r="J470" s="412">
        <v>41493</v>
      </c>
      <c r="K470" s="413">
        <v>13.850657999999999</v>
      </c>
      <c r="L470" s="30">
        <f t="shared" si="26"/>
        <v>-6.8026840151231812E-3</v>
      </c>
      <c r="M470" s="414">
        <v>1690.910034</v>
      </c>
      <c r="N470" s="31">
        <f t="shared" si="27"/>
        <v>-3.8704114790208436E-3</v>
      </c>
      <c r="Q470" s="34"/>
      <c r="R470" s="23"/>
      <c r="S470" s="34"/>
      <c r="T470" s="23"/>
      <c r="U470" s="2"/>
      <c r="W470" s="34"/>
      <c r="X470" s="23"/>
      <c r="Y470" s="34"/>
      <c r="Z470" s="23"/>
      <c r="AA470" s="2"/>
      <c r="AC470" s="244"/>
    </row>
    <row r="471" spans="10:29">
      <c r="J471" s="412">
        <v>41494</v>
      </c>
      <c r="K471" s="413">
        <v>13.945525</v>
      </c>
      <c r="L471" s="30">
        <f t="shared" si="26"/>
        <v>1.4492769437717231E-2</v>
      </c>
      <c r="M471" s="414">
        <v>1697.4799800000001</v>
      </c>
      <c r="N471" s="31">
        <f t="shared" si="27"/>
        <v>3.582750495062779E-3</v>
      </c>
      <c r="Q471" s="34"/>
      <c r="R471" s="23"/>
      <c r="S471" s="34"/>
      <c r="T471" s="23"/>
      <c r="U471" s="2"/>
      <c r="W471" s="34"/>
      <c r="X471" s="23"/>
      <c r="Y471" s="34"/>
      <c r="Z471" s="23"/>
      <c r="AA471" s="2"/>
      <c r="AC471" s="244"/>
    </row>
    <row r="472" spans="10:29">
      <c r="J472" s="412">
        <v>41495</v>
      </c>
      <c r="K472" s="413">
        <v>13.746302999999999</v>
      </c>
      <c r="L472" s="30">
        <f t="shared" si="26"/>
        <v>8.3507293106702928E-3</v>
      </c>
      <c r="M472" s="414">
        <v>1691.420044</v>
      </c>
      <c r="N472" s="31">
        <f t="shared" si="27"/>
        <v>1.1542513530712378E-3</v>
      </c>
      <c r="Q472" s="34"/>
      <c r="R472" s="23"/>
      <c r="S472" s="34"/>
      <c r="T472" s="23"/>
      <c r="U472" s="2"/>
      <c r="W472" s="34"/>
      <c r="X472" s="23"/>
      <c r="Y472" s="34"/>
      <c r="Z472" s="23"/>
      <c r="AA472" s="2"/>
      <c r="AC472" s="244"/>
    </row>
    <row r="473" spans="10:29">
      <c r="J473" s="412">
        <v>41498</v>
      </c>
      <c r="K473" s="413">
        <v>13.632462</v>
      </c>
      <c r="L473" s="30">
        <f t="shared" si="26"/>
        <v>-3.4674240213521425E-3</v>
      </c>
      <c r="M473" s="414">
        <v>1689.469971</v>
      </c>
      <c r="N473" s="31">
        <f t="shared" si="27"/>
        <v>-2.7683707004506099E-3</v>
      </c>
      <c r="Q473" s="34"/>
      <c r="R473" s="23"/>
      <c r="S473" s="34"/>
      <c r="T473" s="23"/>
      <c r="U473" s="2"/>
      <c r="W473" s="34"/>
      <c r="X473" s="23"/>
      <c r="Y473" s="34"/>
      <c r="Z473" s="23"/>
      <c r="AA473" s="2"/>
      <c r="AC473" s="244"/>
    </row>
    <row r="474" spans="10:29">
      <c r="J474" s="412">
        <v>41499</v>
      </c>
      <c r="K474" s="413">
        <v>13.679895999999999</v>
      </c>
      <c r="L474" s="30">
        <f t="shared" si="26"/>
        <v>-4.0585438094251622E-2</v>
      </c>
      <c r="M474" s="414">
        <v>1694.160034</v>
      </c>
      <c r="N474" s="31">
        <f t="shared" si="27"/>
        <v>5.2035546205606584E-3</v>
      </c>
      <c r="Q474" s="34"/>
      <c r="R474" s="23"/>
      <c r="S474" s="34"/>
      <c r="T474" s="23"/>
      <c r="U474" s="2"/>
      <c r="W474" s="34"/>
      <c r="X474" s="23"/>
      <c r="Y474" s="34"/>
      <c r="Z474" s="23"/>
      <c r="AA474" s="2"/>
      <c r="AC474" s="244"/>
    </row>
    <row r="475" spans="10:29">
      <c r="J475" s="412">
        <v>41500</v>
      </c>
      <c r="K475" s="413">
        <v>14.258587</v>
      </c>
      <c r="L475" s="30">
        <f t="shared" si="26"/>
        <v>-6.6094191259177633E-3</v>
      </c>
      <c r="M475" s="414">
        <v>1685.3900149999999</v>
      </c>
      <c r="N475" s="31">
        <f t="shared" si="27"/>
        <v>1.4488521044940176E-2</v>
      </c>
      <c r="Q475" s="34"/>
      <c r="R475" s="23"/>
      <c r="S475" s="34"/>
      <c r="T475" s="23"/>
      <c r="U475" s="2"/>
      <c r="W475" s="34"/>
      <c r="X475" s="23"/>
      <c r="Y475" s="34"/>
      <c r="Z475" s="23"/>
      <c r="AA475" s="2"/>
      <c r="AC475" s="244"/>
    </row>
    <row r="476" spans="10:29">
      <c r="J476" s="412">
        <v>41501</v>
      </c>
      <c r="K476" s="413">
        <v>14.353455</v>
      </c>
      <c r="L476" s="30">
        <f t="shared" si="26"/>
        <v>-3.949931906699157E-3</v>
      </c>
      <c r="M476" s="414">
        <v>1661.3199460000001</v>
      </c>
      <c r="N476" s="31">
        <f t="shared" si="27"/>
        <v>3.3155518053690981E-3</v>
      </c>
      <c r="Q476" s="34"/>
      <c r="R476" s="23"/>
      <c r="S476" s="34"/>
      <c r="T476" s="23"/>
      <c r="U476" s="2"/>
      <c r="W476" s="34"/>
      <c r="X476" s="23"/>
      <c r="Y476" s="34"/>
      <c r="Z476" s="23"/>
      <c r="AA476" s="2"/>
      <c r="AC476" s="244"/>
    </row>
    <row r="477" spans="10:29">
      <c r="J477" s="412">
        <v>41502</v>
      </c>
      <c r="K477" s="413">
        <v>14.410375</v>
      </c>
      <c r="L477" s="30">
        <f t="shared" si="26"/>
        <v>1.6053509724845608E-2</v>
      </c>
      <c r="M477" s="414">
        <v>1655.829956</v>
      </c>
      <c r="N477" s="31">
        <f t="shared" si="27"/>
        <v>5.9353223149922309E-3</v>
      </c>
      <c r="Q477" s="34"/>
      <c r="R477" s="23"/>
      <c r="S477" s="34"/>
      <c r="T477" s="23"/>
      <c r="U477" s="2"/>
      <c r="W477" s="34"/>
      <c r="X477" s="23"/>
      <c r="Y477" s="34"/>
      <c r="Z477" s="23"/>
      <c r="AA477" s="2"/>
      <c r="AC477" s="244"/>
    </row>
    <row r="478" spans="10:29">
      <c r="J478" s="412">
        <v>41505</v>
      </c>
      <c r="K478" s="413">
        <v>14.182693</v>
      </c>
      <c r="L478" s="30">
        <f t="shared" si="26"/>
        <v>-5.0166961293237559E-3</v>
      </c>
      <c r="M478" s="414">
        <v>1646.0600589999999</v>
      </c>
      <c r="N478" s="31">
        <f t="shared" si="27"/>
        <v>-3.8066493729292492E-3</v>
      </c>
      <c r="Q478" s="34"/>
      <c r="R478" s="23"/>
      <c r="S478" s="34"/>
      <c r="T478" s="23"/>
      <c r="U478" s="2"/>
      <c r="W478" s="34"/>
      <c r="X478" s="23"/>
      <c r="Y478" s="34"/>
      <c r="Z478" s="23"/>
      <c r="AA478" s="2"/>
      <c r="AC478" s="244"/>
    </row>
    <row r="479" spans="10:29">
      <c r="J479" s="412">
        <v>41506</v>
      </c>
      <c r="K479" s="413">
        <v>14.254201999999999</v>
      </c>
      <c r="L479" s="30">
        <f t="shared" si="26"/>
        <v>4.7042243851805905E-3</v>
      </c>
      <c r="M479" s="414">
        <v>1652.349976</v>
      </c>
      <c r="N479" s="31">
        <f t="shared" si="27"/>
        <v>5.8132010683912671E-3</v>
      </c>
      <c r="Q479" s="34"/>
      <c r="R479" s="23"/>
      <c r="S479" s="34"/>
      <c r="T479" s="23"/>
      <c r="U479" s="2"/>
      <c r="W479" s="34"/>
      <c r="X479" s="23"/>
      <c r="Y479" s="34"/>
      <c r="Z479" s="23"/>
      <c r="AA479" s="2"/>
      <c r="AC479" s="244"/>
    </row>
    <row r="480" spans="10:29">
      <c r="J480" s="412">
        <v>41507</v>
      </c>
      <c r="K480" s="413">
        <v>14.187461000000001</v>
      </c>
      <c r="L480" s="30">
        <f t="shared" si="26"/>
        <v>-5.3475467193485138E-3</v>
      </c>
      <c r="M480" s="414">
        <v>1642.8000489999999</v>
      </c>
      <c r="N480" s="31">
        <f t="shared" si="27"/>
        <v>-8.5457176596194628E-3</v>
      </c>
      <c r="Q480" s="34"/>
      <c r="R480" s="23"/>
      <c r="S480" s="34"/>
      <c r="T480" s="23"/>
      <c r="U480" s="2"/>
      <c r="W480" s="34"/>
      <c r="X480" s="23"/>
      <c r="Y480" s="34"/>
      <c r="Z480" s="23"/>
      <c r="AA480" s="2"/>
      <c r="AC480" s="244"/>
    </row>
    <row r="481" spans="10:29">
      <c r="J481" s="412">
        <v>41508</v>
      </c>
      <c r="K481" s="413">
        <v>14.263737000000001</v>
      </c>
      <c r="L481" s="30">
        <f t="shared" si="26"/>
        <v>0</v>
      </c>
      <c r="M481" s="414">
        <v>1656.959961</v>
      </c>
      <c r="N481" s="31">
        <f t="shared" si="27"/>
        <v>-3.9314932371505738E-3</v>
      </c>
      <c r="Q481" s="34"/>
      <c r="R481" s="23"/>
      <c r="S481" s="34"/>
      <c r="T481" s="23"/>
      <c r="U481" s="2"/>
      <c r="W481" s="34"/>
      <c r="X481" s="23"/>
      <c r="Y481" s="34"/>
      <c r="Z481" s="23"/>
      <c r="AA481" s="2"/>
      <c r="AC481" s="244"/>
    </row>
    <row r="482" spans="10:29">
      <c r="J482" s="412">
        <v>41509</v>
      </c>
      <c r="K482" s="413">
        <v>14.263737000000001</v>
      </c>
      <c r="L482" s="30">
        <f t="shared" si="26"/>
        <v>-2.0013516330179659E-3</v>
      </c>
      <c r="M482" s="414">
        <v>1663.5</v>
      </c>
      <c r="N482" s="31">
        <f t="shared" si="27"/>
        <v>4.0560429763606158E-3</v>
      </c>
      <c r="Q482" s="34"/>
      <c r="R482" s="23"/>
      <c r="S482" s="34"/>
      <c r="T482" s="23"/>
      <c r="U482" s="2"/>
      <c r="W482" s="34"/>
      <c r="X482" s="23"/>
      <c r="Y482" s="34"/>
      <c r="Z482" s="23"/>
      <c r="AA482" s="2"/>
      <c r="AC482" s="244"/>
    </row>
    <row r="483" spans="10:29">
      <c r="J483" s="412">
        <v>41512</v>
      </c>
      <c r="K483" s="413">
        <v>14.292341</v>
      </c>
      <c r="L483" s="30">
        <f t="shared" si="26"/>
        <v>1.2837831325847688E-2</v>
      </c>
      <c r="M483" s="414">
        <v>1656.780029</v>
      </c>
      <c r="N483" s="31">
        <f t="shared" si="27"/>
        <v>1.6130249572276222E-2</v>
      </c>
      <c r="Q483" s="34"/>
      <c r="R483" s="23"/>
      <c r="S483" s="34"/>
      <c r="T483" s="23"/>
      <c r="U483" s="2"/>
      <c r="W483" s="34"/>
      <c r="X483" s="23"/>
      <c r="Y483" s="34"/>
      <c r="Z483" s="23"/>
      <c r="AA483" s="2"/>
      <c r="AC483" s="244"/>
    </row>
    <row r="484" spans="10:29">
      <c r="J484" s="412">
        <v>41513</v>
      </c>
      <c r="K484" s="413">
        <v>14.111184</v>
      </c>
      <c r="L484" s="30">
        <f t="shared" si="26"/>
        <v>0</v>
      </c>
      <c r="M484" s="414">
        <v>1630.4799800000001</v>
      </c>
      <c r="N484" s="31">
        <f t="shared" si="27"/>
        <v>-2.7401166431377535E-3</v>
      </c>
      <c r="Q484" s="34"/>
      <c r="R484" s="23"/>
      <c r="S484" s="34"/>
      <c r="T484" s="23"/>
      <c r="U484" s="2"/>
      <c r="W484" s="34"/>
      <c r="X484" s="23"/>
      <c r="Y484" s="34"/>
      <c r="Z484" s="23"/>
      <c r="AA484" s="2"/>
      <c r="AC484" s="244"/>
    </row>
    <row r="485" spans="10:29">
      <c r="J485" s="412">
        <v>41514</v>
      </c>
      <c r="K485" s="413">
        <v>14.111184</v>
      </c>
      <c r="L485" s="30">
        <f t="shared" si="26"/>
        <v>2.031090749628948E-3</v>
      </c>
      <c r="M485" s="414">
        <v>1634.959961</v>
      </c>
      <c r="N485" s="31">
        <f t="shared" si="27"/>
        <v>-1.9595542060833462E-3</v>
      </c>
      <c r="Q485" s="34"/>
      <c r="R485" s="23"/>
      <c r="S485" s="34"/>
      <c r="T485" s="23"/>
      <c r="U485" s="2"/>
      <c r="W485" s="34"/>
      <c r="X485" s="23"/>
      <c r="Y485" s="34"/>
      <c r="Z485" s="23"/>
      <c r="AA485" s="2"/>
      <c r="AC485" s="244"/>
    </row>
    <row r="486" spans="10:29">
      <c r="J486" s="412">
        <v>41515</v>
      </c>
      <c r="K486" s="413">
        <v>14.082580999999999</v>
      </c>
      <c r="L486" s="30">
        <f t="shared" si="26"/>
        <v>1.3559914021469641E-3</v>
      </c>
      <c r="M486" s="414">
        <v>1638.170044</v>
      </c>
      <c r="N486" s="31">
        <f t="shared" si="27"/>
        <v>3.1844265922511411E-3</v>
      </c>
      <c r="Q486" s="34"/>
      <c r="R486" s="23"/>
      <c r="S486" s="34"/>
      <c r="T486" s="23"/>
      <c r="U486" s="2"/>
      <c r="W486" s="34"/>
      <c r="X486" s="23"/>
      <c r="Y486" s="34"/>
      <c r="Z486" s="23"/>
      <c r="AA486" s="2"/>
      <c r="AC486" s="244"/>
    </row>
    <row r="487" spans="10:29">
      <c r="J487" s="412">
        <v>41516</v>
      </c>
      <c r="K487" s="413">
        <v>14.063511</v>
      </c>
      <c r="L487" s="30">
        <f t="shared" si="26"/>
        <v>-6.7753633435147073E-4</v>
      </c>
      <c r="M487" s="414">
        <v>1632.969971</v>
      </c>
      <c r="N487" s="31">
        <f t="shared" si="27"/>
        <v>-4.1469528757453102E-3</v>
      </c>
      <c r="Q487" s="34"/>
      <c r="R487" s="23"/>
      <c r="S487" s="34"/>
      <c r="T487" s="23"/>
      <c r="U487" s="2"/>
      <c r="W487" s="34"/>
      <c r="X487" s="23"/>
      <c r="Y487" s="34"/>
      <c r="Z487" s="23"/>
      <c r="AA487" s="2"/>
      <c r="AC487" s="244"/>
    </row>
    <row r="488" spans="10:29">
      <c r="J488" s="412">
        <v>41520</v>
      </c>
      <c r="K488" s="413">
        <v>14.073046</v>
      </c>
      <c r="L488" s="30">
        <f t="shared" si="26"/>
        <v>-9.3958911427274045E-3</v>
      </c>
      <c r="M488" s="414">
        <v>1639.7700199999999</v>
      </c>
      <c r="N488" s="31">
        <f t="shared" si="27"/>
        <v>-8.0515984430701709E-3</v>
      </c>
      <c r="Q488" s="34"/>
      <c r="R488" s="23"/>
      <c r="S488" s="34"/>
      <c r="T488" s="23"/>
      <c r="U488" s="2"/>
      <c r="W488" s="34"/>
      <c r="X488" s="23"/>
      <c r="Y488" s="34"/>
      <c r="Z488" s="23"/>
      <c r="AA488" s="2"/>
      <c r="AC488" s="244"/>
    </row>
    <row r="489" spans="10:29">
      <c r="J489" s="412">
        <v>41521</v>
      </c>
      <c r="K489" s="413">
        <v>14.206529</v>
      </c>
      <c r="L489" s="30">
        <f t="shared" si="26"/>
        <v>-2.6774228785115266E-3</v>
      </c>
      <c r="M489" s="414">
        <v>1653.079956</v>
      </c>
      <c r="N489" s="31">
        <f t="shared" si="27"/>
        <v>-1.2084008345032485E-3</v>
      </c>
      <c r="Q489" s="34"/>
      <c r="R489" s="23"/>
      <c r="S489" s="34"/>
      <c r="T489" s="23"/>
      <c r="U489" s="2"/>
      <c r="W489" s="34"/>
      <c r="X489" s="23"/>
      <c r="Y489" s="34"/>
      <c r="Z489" s="23"/>
      <c r="AA489" s="2"/>
      <c r="AC489" s="244"/>
    </row>
    <row r="490" spans="10:29">
      <c r="J490" s="412">
        <v>41522</v>
      </c>
      <c r="K490" s="413">
        <v>14.244668000000001</v>
      </c>
      <c r="L490" s="30">
        <f t="shared" si="26"/>
        <v>4.0322225379156992E-3</v>
      </c>
      <c r="M490" s="414">
        <v>1655.079956</v>
      </c>
      <c r="N490" s="31">
        <f t="shared" si="27"/>
        <v>-5.4428244594259548E-5</v>
      </c>
      <c r="Q490" s="34"/>
      <c r="R490" s="23"/>
      <c r="S490" s="34"/>
      <c r="T490" s="23"/>
      <c r="U490" s="2"/>
      <c r="W490" s="34"/>
      <c r="X490" s="23"/>
      <c r="Y490" s="34"/>
      <c r="Z490" s="23"/>
      <c r="AA490" s="2"/>
      <c r="AC490" s="244"/>
    </row>
    <row r="491" spans="10:29">
      <c r="J491" s="412">
        <v>41523</v>
      </c>
      <c r="K491" s="413">
        <v>14.187461000000001</v>
      </c>
      <c r="L491" s="30">
        <f t="shared" si="26"/>
        <v>-1.6523422403917899E-2</v>
      </c>
      <c r="M491" s="414">
        <v>1655.170044</v>
      </c>
      <c r="N491" s="31">
        <f t="shared" si="27"/>
        <v>-9.8940111537685928E-3</v>
      </c>
      <c r="Q491" s="34"/>
      <c r="R491" s="23"/>
      <c r="S491" s="34"/>
      <c r="T491" s="23"/>
      <c r="U491" s="2"/>
      <c r="W491" s="34"/>
      <c r="X491" s="23"/>
      <c r="Y491" s="34"/>
      <c r="Z491" s="23"/>
      <c r="AA491" s="2"/>
      <c r="AC491" s="244"/>
    </row>
    <row r="492" spans="10:29">
      <c r="J492" s="412">
        <v>41526</v>
      </c>
      <c r="K492" s="413">
        <v>14.425825</v>
      </c>
      <c r="L492" s="30">
        <f t="shared" si="26"/>
        <v>-2.0711995683640357E-2</v>
      </c>
      <c r="M492" s="414">
        <v>1671.709961</v>
      </c>
      <c r="N492" s="31">
        <f t="shared" si="27"/>
        <v>-7.2922220873771421E-3</v>
      </c>
      <c r="Q492" s="34"/>
      <c r="R492" s="23"/>
      <c r="S492" s="34"/>
      <c r="T492" s="23"/>
      <c r="U492" s="2"/>
      <c r="W492" s="34"/>
      <c r="X492" s="23"/>
      <c r="Y492" s="34"/>
      <c r="Z492" s="23"/>
      <c r="AA492" s="2"/>
      <c r="AC492" s="244"/>
    </row>
    <row r="493" spans="10:29">
      <c r="J493" s="412">
        <v>41527</v>
      </c>
      <c r="K493" s="413">
        <v>14.730931999999999</v>
      </c>
      <c r="L493" s="30">
        <f t="shared" si="26"/>
        <v>-1.6549956401804674E-2</v>
      </c>
      <c r="M493" s="414">
        <v>1683.98999</v>
      </c>
      <c r="N493" s="31">
        <f t="shared" si="27"/>
        <v>-3.0429954975549371E-3</v>
      </c>
      <c r="Q493" s="34"/>
      <c r="R493" s="23"/>
      <c r="S493" s="34"/>
      <c r="T493" s="23"/>
      <c r="U493" s="2"/>
      <c r="W493" s="34"/>
      <c r="X493" s="23"/>
      <c r="Y493" s="34"/>
      <c r="Z493" s="23"/>
      <c r="AA493" s="2"/>
      <c r="AC493" s="244"/>
    </row>
    <row r="494" spans="10:29">
      <c r="J494" s="412">
        <v>41528</v>
      </c>
      <c r="K494" s="413">
        <v>14.978831</v>
      </c>
      <c r="L494" s="30">
        <f t="shared" si="26"/>
        <v>6.3697050282121668E-4</v>
      </c>
      <c r="M494" s="414">
        <v>1689.130005</v>
      </c>
      <c r="N494" s="31">
        <f t="shared" si="27"/>
        <v>3.3918813194314212E-3</v>
      </c>
      <c r="Q494" s="34"/>
      <c r="R494" s="23"/>
      <c r="S494" s="34"/>
      <c r="T494" s="23"/>
      <c r="U494" s="2"/>
      <c r="W494" s="34"/>
      <c r="X494" s="23"/>
      <c r="Y494" s="34"/>
      <c r="Z494" s="23"/>
      <c r="AA494" s="2"/>
      <c r="AC494" s="244"/>
    </row>
    <row r="495" spans="10:29">
      <c r="J495" s="412">
        <v>41529</v>
      </c>
      <c r="K495" s="413">
        <v>14.969296</v>
      </c>
      <c r="L495" s="30">
        <f t="shared" si="26"/>
        <v>-6.3291248474407341E-3</v>
      </c>
      <c r="M495" s="414">
        <v>1683.420044</v>
      </c>
      <c r="N495" s="31">
        <f t="shared" si="27"/>
        <v>-2.707330035766428E-3</v>
      </c>
      <c r="Q495" s="34"/>
      <c r="R495" s="23"/>
      <c r="S495" s="34"/>
      <c r="T495" s="23"/>
      <c r="U495" s="2"/>
      <c r="W495" s="34"/>
      <c r="X495" s="23"/>
      <c r="Y495" s="34"/>
      <c r="Z495" s="23"/>
      <c r="AA495" s="2"/>
      <c r="AC495" s="244"/>
    </row>
    <row r="496" spans="10:29">
      <c r="J496" s="412">
        <v>41530</v>
      </c>
      <c r="K496" s="413">
        <v>15.064641999999999</v>
      </c>
      <c r="L496" s="30">
        <f t="shared" si="26"/>
        <v>-6.325386785627768E-4</v>
      </c>
      <c r="M496" s="414">
        <v>1687.98999</v>
      </c>
      <c r="N496" s="31">
        <f t="shared" si="27"/>
        <v>-5.6609249150931509E-3</v>
      </c>
      <c r="Q496" s="34"/>
      <c r="R496" s="23"/>
      <c r="S496" s="34"/>
      <c r="T496" s="23"/>
      <c r="U496" s="2"/>
      <c r="W496" s="34"/>
      <c r="X496" s="23"/>
      <c r="Y496" s="34"/>
      <c r="Z496" s="23"/>
      <c r="AA496" s="2"/>
      <c r="AC496" s="244"/>
    </row>
    <row r="497" spans="10:29">
      <c r="J497" s="412">
        <v>41533</v>
      </c>
      <c r="K497" s="413">
        <v>15.074177000000001</v>
      </c>
      <c r="L497" s="30">
        <f t="shared" si="26"/>
        <v>-3.1525245358552784E-3</v>
      </c>
      <c r="M497" s="414">
        <v>1697.599976</v>
      </c>
      <c r="N497" s="31">
        <f t="shared" si="27"/>
        <v>-4.2000246122619904E-3</v>
      </c>
      <c r="Q497" s="34"/>
      <c r="R497" s="23"/>
      <c r="S497" s="34"/>
      <c r="T497" s="23"/>
      <c r="U497" s="2"/>
      <c r="W497" s="34"/>
      <c r="X497" s="23"/>
      <c r="Y497" s="34"/>
      <c r="Z497" s="23"/>
      <c r="AA497" s="2"/>
      <c r="AC497" s="244"/>
    </row>
    <row r="498" spans="10:29">
      <c r="J498" s="412">
        <v>41534</v>
      </c>
      <c r="K498" s="413">
        <v>15.121848999999999</v>
      </c>
      <c r="L498" s="30">
        <f t="shared" si="26"/>
        <v>-8.7500542433223884E-3</v>
      </c>
      <c r="M498" s="414">
        <v>1704.76001</v>
      </c>
      <c r="N498" s="31">
        <f t="shared" si="27"/>
        <v>-1.2031161481395021E-2</v>
      </c>
      <c r="Q498" s="34"/>
      <c r="R498" s="23"/>
      <c r="S498" s="34"/>
      <c r="T498" s="23"/>
      <c r="U498" s="2"/>
      <c r="W498" s="34"/>
      <c r="X498" s="23"/>
      <c r="Y498" s="34"/>
      <c r="Z498" s="23"/>
      <c r="AA498" s="2"/>
      <c r="AC498" s="244"/>
    </row>
    <row r="499" spans="10:29">
      <c r="J499" s="412">
        <v>41535</v>
      </c>
      <c r="K499" s="413">
        <v>15.255334</v>
      </c>
      <c r="L499" s="30">
        <f t="shared" si="26"/>
        <v>4.3942190296506504E-3</v>
      </c>
      <c r="M499" s="414">
        <v>1725.5200199999999</v>
      </c>
      <c r="N499" s="31">
        <f t="shared" si="27"/>
        <v>1.8463567372156812E-3</v>
      </c>
      <c r="Q499" s="34"/>
      <c r="R499" s="23"/>
      <c r="S499" s="34"/>
      <c r="T499" s="23"/>
      <c r="U499" s="2"/>
      <c r="W499" s="34"/>
      <c r="X499" s="23"/>
      <c r="Y499" s="34"/>
      <c r="Z499" s="23"/>
      <c r="AA499" s="2"/>
      <c r="AC499" s="244"/>
    </row>
    <row r="500" spans="10:29">
      <c r="J500" s="412">
        <v>41536</v>
      </c>
      <c r="K500" s="413">
        <v>15.188592</v>
      </c>
      <c r="L500" s="30">
        <f t="shared" si="26"/>
        <v>8.866359510672342E-3</v>
      </c>
      <c r="M500" s="414">
        <v>1722.339966</v>
      </c>
      <c r="N500" s="31">
        <f t="shared" si="27"/>
        <v>7.2693485346258914E-3</v>
      </c>
      <c r="Q500" s="34"/>
      <c r="R500" s="23"/>
      <c r="S500" s="34"/>
      <c r="T500" s="23"/>
      <c r="U500" s="2"/>
      <c r="W500" s="34"/>
      <c r="X500" s="23"/>
      <c r="Y500" s="34"/>
      <c r="Z500" s="23"/>
      <c r="AA500" s="2"/>
      <c r="AC500" s="244"/>
    </row>
    <row r="501" spans="10:29">
      <c r="J501" s="412">
        <v>41537</v>
      </c>
      <c r="K501" s="413">
        <v>15.055108000000001</v>
      </c>
      <c r="L501" s="30">
        <f t="shared" si="26"/>
        <v>9.5908091750257583E-3</v>
      </c>
      <c r="M501" s="414">
        <v>1709.910034</v>
      </c>
      <c r="N501" s="31">
        <f t="shared" si="27"/>
        <v>4.7419664370486362E-3</v>
      </c>
      <c r="Q501" s="34"/>
      <c r="R501" s="23"/>
      <c r="S501" s="34"/>
      <c r="T501" s="23"/>
      <c r="U501" s="2"/>
      <c r="W501" s="34"/>
      <c r="X501" s="23"/>
      <c r="Y501" s="34"/>
      <c r="Z501" s="23"/>
      <c r="AA501" s="2"/>
      <c r="AC501" s="244"/>
    </row>
    <row r="502" spans="10:29">
      <c r="J502" s="412">
        <v>41540</v>
      </c>
      <c r="K502" s="413">
        <v>14.912089</v>
      </c>
      <c r="L502" s="30">
        <f t="shared" si="26"/>
        <v>-3.8216226067010772E-3</v>
      </c>
      <c r="M502" s="414">
        <v>1701.839966</v>
      </c>
      <c r="N502" s="31">
        <f t="shared" si="27"/>
        <v>2.6039058603222445E-3</v>
      </c>
      <c r="Q502" s="34"/>
      <c r="R502" s="23"/>
      <c r="S502" s="34"/>
      <c r="T502" s="23"/>
      <c r="U502" s="2"/>
      <c r="W502" s="34"/>
      <c r="X502" s="23"/>
      <c r="Y502" s="34"/>
      <c r="Z502" s="23"/>
      <c r="AA502" s="2"/>
      <c r="AC502" s="244"/>
    </row>
    <row r="503" spans="10:29">
      <c r="J503" s="412">
        <v>41541</v>
      </c>
      <c r="K503" s="413">
        <v>14.969296</v>
      </c>
      <c r="L503" s="30">
        <f t="shared" si="26"/>
        <v>-1.2723201448376197E-3</v>
      </c>
      <c r="M503" s="414">
        <v>1697.420044</v>
      </c>
      <c r="N503" s="31">
        <f t="shared" si="27"/>
        <v>2.7469909940867399E-3</v>
      </c>
      <c r="Q503" s="34"/>
      <c r="R503" s="23"/>
      <c r="S503" s="34"/>
      <c r="T503" s="23"/>
      <c r="U503" s="2"/>
      <c r="W503" s="34"/>
      <c r="X503" s="23"/>
      <c r="Y503" s="34"/>
      <c r="Z503" s="23"/>
      <c r="AA503" s="2"/>
      <c r="AC503" s="244"/>
    </row>
    <row r="504" spans="10:29">
      <c r="J504" s="412">
        <v>41542</v>
      </c>
      <c r="K504" s="413">
        <v>14.988365999999999</v>
      </c>
      <c r="L504" s="30">
        <f t="shared" si="26"/>
        <v>3.1908158476986062E-3</v>
      </c>
      <c r="M504" s="414">
        <v>1692.7700199999999</v>
      </c>
      <c r="N504" s="31">
        <f t="shared" si="27"/>
        <v>-3.4733196248676714E-3</v>
      </c>
      <c r="Q504" s="34"/>
      <c r="R504" s="23"/>
      <c r="S504" s="34"/>
      <c r="T504" s="23"/>
      <c r="U504" s="2"/>
      <c r="W504" s="34"/>
      <c r="X504" s="23"/>
      <c r="Y504" s="34"/>
      <c r="Z504" s="23"/>
      <c r="AA504" s="2"/>
      <c r="AC504" s="244"/>
    </row>
    <row r="505" spans="10:29">
      <c r="J505" s="412">
        <v>41543</v>
      </c>
      <c r="K505" s="413">
        <v>14.940693</v>
      </c>
      <c r="L505" s="30">
        <f t="shared" si="26"/>
        <v>5.7766871373792147E-3</v>
      </c>
      <c r="M505" s="414">
        <v>1698.670044</v>
      </c>
      <c r="N505" s="31">
        <f t="shared" si="27"/>
        <v>4.0904649032067163E-3</v>
      </c>
      <c r="Q505" s="34"/>
      <c r="R505" s="23"/>
      <c r="S505" s="34"/>
      <c r="T505" s="23"/>
      <c r="U505" s="2"/>
      <c r="W505" s="34"/>
      <c r="X505" s="23"/>
      <c r="Y505" s="34"/>
      <c r="Z505" s="23"/>
      <c r="AA505" s="2"/>
      <c r="AC505" s="244"/>
    </row>
    <row r="506" spans="10:29">
      <c r="J506" s="412">
        <v>41544</v>
      </c>
      <c r="K506" s="413">
        <v>14.854881000000001</v>
      </c>
      <c r="L506" s="30">
        <f t="shared" si="26"/>
        <v>1.2852682896448446E-3</v>
      </c>
      <c r="M506" s="414">
        <v>1691.75</v>
      </c>
      <c r="N506" s="31">
        <f t="shared" si="27"/>
        <v>6.0658028026378749E-3</v>
      </c>
      <c r="Q506" s="34"/>
      <c r="R506" s="23"/>
      <c r="S506" s="34"/>
      <c r="T506" s="23"/>
      <c r="U506" s="2"/>
      <c r="W506" s="34"/>
      <c r="X506" s="23"/>
      <c r="Y506" s="34"/>
      <c r="Z506" s="23"/>
      <c r="AA506" s="2"/>
      <c r="AC506" s="244"/>
    </row>
    <row r="507" spans="10:29">
      <c r="J507" s="412">
        <v>41547</v>
      </c>
      <c r="K507" s="413">
        <v>14.835813</v>
      </c>
      <c r="L507" s="30">
        <f t="shared" si="26"/>
        <v>6.431148802146855E-4</v>
      </c>
      <c r="M507" s="414">
        <v>1681.5500489999999</v>
      </c>
      <c r="N507" s="31">
        <f t="shared" si="27"/>
        <v>-7.9350743362832186E-3</v>
      </c>
      <c r="Q507" s="34"/>
      <c r="R507" s="23"/>
      <c r="S507" s="34"/>
      <c r="T507" s="23"/>
      <c r="U507" s="2"/>
      <c r="W507" s="34"/>
      <c r="X507" s="23"/>
      <c r="Y507" s="34"/>
      <c r="Z507" s="23"/>
      <c r="AA507" s="2"/>
      <c r="AC507" s="244"/>
    </row>
    <row r="508" spans="10:29">
      <c r="J508" s="412">
        <v>41548</v>
      </c>
      <c r="K508" s="413">
        <v>14.826278</v>
      </c>
      <c r="L508" s="30">
        <f t="shared" si="26"/>
        <v>6.4352874312523516E-4</v>
      </c>
      <c r="M508" s="414">
        <v>1695</v>
      </c>
      <c r="N508" s="31">
        <f t="shared" si="27"/>
        <v>6.6711436139464935E-4</v>
      </c>
      <c r="Q508" s="34"/>
      <c r="R508" s="23"/>
      <c r="S508" s="34"/>
      <c r="T508" s="23"/>
      <c r="U508" s="2"/>
      <c r="W508" s="34"/>
      <c r="X508" s="23"/>
      <c r="Y508" s="34"/>
      <c r="Z508" s="23"/>
      <c r="AA508" s="2"/>
      <c r="AC508" s="244"/>
    </row>
    <row r="509" spans="10:29">
      <c r="J509" s="412">
        <v>41549</v>
      </c>
      <c r="K509" s="413">
        <v>14.816743000000001</v>
      </c>
      <c r="L509" s="30">
        <f t="shared" si="26"/>
        <v>1.0403097613983524E-2</v>
      </c>
      <c r="M509" s="414">
        <v>1693.869995</v>
      </c>
      <c r="N509" s="31">
        <f t="shared" si="27"/>
        <v>9.0607750777010644E-3</v>
      </c>
      <c r="Q509" s="34"/>
      <c r="R509" s="23"/>
      <c r="S509" s="34"/>
      <c r="T509" s="23"/>
      <c r="U509" s="2"/>
      <c r="W509" s="34"/>
      <c r="X509" s="23"/>
      <c r="Y509" s="34"/>
      <c r="Z509" s="23"/>
      <c r="AA509" s="2"/>
      <c r="AC509" s="244"/>
    </row>
    <row r="510" spans="10:29">
      <c r="J510" s="412">
        <v>41550</v>
      </c>
      <c r="K510" s="413">
        <v>14.66419</v>
      </c>
      <c r="L510" s="30">
        <f t="shared" si="26"/>
        <v>-1.3470155840633139E-2</v>
      </c>
      <c r="M510" s="414">
        <v>1678.660034</v>
      </c>
      <c r="N510" s="31">
        <f t="shared" si="27"/>
        <v>-7.0038249038745955E-3</v>
      </c>
      <c r="Q510" s="34"/>
      <c r="R510" s="23"/>
      <c r="S510" s="34"/>
      <c r="T510" s="23"/>
      <c r="U510" s="2"/>
      <c r="W510" s="34"/>
      <c r="X510" s="23"/>
      <c r="Y510" s="34"/>
      <c r="Z510" s="23"/>
      <c r="AA510" s="2"/>
      <c r="AC510" s="244"/>
    </row>
    <row r="511" spans="10:29">
      <c r="J511" s="412">
        <v>41551</v>
      </c>
      <c r="K511" s="413">
        <v>14.864416</v>
      </c>
      <c r="L511" s="30">
        <f t="shared" si="26"/>
        <v>0</v>
      </c>
      <c r="M511" s="414">
        <v>1690.5</v>
      </c>
      <c r="N511" s="31">
        <f t="shared" si="27"/>
        <v>8.5793410035657873E-3</v>
      </c>
      <c r="Q511" s="34"/>
      <c r="R511" s="23"/>
      <c r="S511" s="34"/>
      <c r="T511" s="23"/>
      <c r="U511" s="2"/>
      <c r="W511" s="34"/>
      <c r="X511" s="23"/>
      <c r="Y511" s="34"/>
      <c r="Z511" s="23"/>
      <c r="AA511" s="2"/>
      <c r="AC511" s="244"/>
    </row>
    <row r="512" spans="10:29">
      <c r="J512" s="412">
        <v>41554</v>
      </c>
      <c r="K512" s="413">
        <v>14.864416</v>
      </c>
      <c r="L512" s="30">
        <f t="shared" si="26"/>
        <v>8.4088250669958932E-3</v>
      </c>
      <c r="M512" s="414">
        <v>1676.119995</v>
      </c>
      <c r="N512" s="31">
        <f t="shared" si="27"/>
        <v>1.2486057937006131E-2</v>
      </c>
      <c r="Q512" s="34"/>
      <c r="R512" s="23"/>
      <c r="S512" s="34"/>
      <c r="T512" s="23"/>
      <c r="U512" s="2"/>
      <c r="W512" s="34"/>
      <c r="X512" s="23"/>
      <c r="Y512" s="34"/>
      <c r="Z512" s="23"/>
      <c r="AA512" s="2"/>
      <c r="AC512" s="244"/>
    </row>
    <row r="513" spans="10:29">
      <c r="J513" s="412">
        <v>41555</v>
      </c>
      <c r="K513" s="413">
        <v>14.740466</v>
      </c>
      <c r="L513" s="30">
        <f t="shared" si="26"/>
        <v>1.5768655183422745E-2</v>
      </c>
      <c r="M513" s="414">
        <v>1655.4499510000001</v>
      </c>
      <c r="N513" s="31">
        <f t="shared" si="27"/>
        <v>-5.7357702622200322E-4</v>
      </c>
      <c r="Q513" s="34"/>
      <c r="R513" s="23"/>
      <c r="S513" s="34"/>
      <c r="T513" s="23"/>
      <c r="U513" s="2"/>
      <c r="W513" s="34"/>
      <c r="X513" s="23"/>
      <c r="Y513" s="34"/>
      <c r="Z513" s="23"/>
      <c r="AA513" s="2"/>
      <c r="AC513" s="244"/>
    </row>
    <row r="514" spans="10:29">
      <c r="J514" s="412">
        <v>41556</v>
      </c>
      <c r="K514" s="413">
        <v>14.511637</v>
      </c>
      <c r="L514" s="30">
        <f t="shared" si="26"/>
        <v>-1.1046138591257429E-2</v>
      </c>
      <c r="M514" s="414">
        <v>1656.400024</v>
      </c>
      <c r="N514" s="31">
        <f t="shared" si="27"/>
        <v>-2.1364107470055738E-2</v>
      </c>
      <c r="Q514" s="34"/>
      <c r="R514" s="23"/>
      <c r="S514" s="34"/>
      <c r="T514" s="23"/>
      <c r="U514" s="2"/>
      <c r="W514" s="34"/>
      <c r="X514" s="23"/>
      <c r="Y514" s="34"/>
      <c r="Z514" s="23"/>
      <c r="AA514" s="2"/>
      <c r="AC514" s="244"/>
    </row>
    <row r="515" spans="10:29">
      <c r="J515" s="412">
        <v>41557</v>
      </c>
      <c r="K515" s="413">
        <v>14.673724999999999</v>
      </c>
      <c r="L515" s="30">
        <f t="shared" si="26"/>
        <v>8.5190320812520391E-3</v>
      </c>
      <c r="M515" s="414">
        <v>1692.5600589999999</v>
      </c>
      <c r="N515" s="31">
        <f t="shared" si="27"/>
        <v>-6.2470011191305772E-3</v>
      </c>
      <c r="Q515" s="34"/>
      <c r="R515" s="23"/>
      <c r="S515" s="34"/>
      <c r="T515" s="23"/>
      <c r="U515" s="2"/>
      <c r="W515" s="34"/>
      <c r="X515" s="23"/>
      <c r="Y515" s="34"/>
      <c r="Z515" s="23"/>
      <c r="AA515" s="2"/>
      <c r="AC515" s="244"/>
    </row>
    <row r="516" spans="10:29">
      <c r="J516" s="412">
        <v>41558</v>
      </c>
      <c r="K516" s="413">
        <v>14.549775</v>
      </c>
      <c r="L516" s="30">
        <f t="shared" si="26"/>
        <v>-1.4848260587836533E-2</v>
      </c>
      <c r="M516" s="414">
        <v>1703.1999510000001</v>
      </c>
      <c r="N516" s="31">
        <f t="shared" si="27"/>
        <v>-4.0581846744284812E-3</v>
      </c>
      <c r="Q516" s="34"/>
      <c r="R516" s="23"/>
      <c r="S516" s="34"/>
      <c r="T516" s="23"/>
      <c r="U516" s="2"/>
      <c r="W516" s="34"/>
      <c r="X516" s="23"/>
      <c r="Y516" s="34"/>
      <c r="Z516" s="23"/>
      <c r="AA516" s="2"/>
      <c r="AC516" s="244"/>
    </row>
    <row r="517" spans="10:29">
      <c r="J517" s="412">
        <v>41561</v>
      </c>
      <c r="K517" s="413">
        <v>14.769069999999999</v>
      </c>
      <c r="L517" s="30">
        <f t="shared" si="26"/>
        <v>5.1914567910947406E-3</v>
      </c>
      <c r="M517" s="414">
        <v>1710.1400149999999</v>
      </c>
      <c r="N517" s="31">
        <f t="shared" si="27"/>
        <v>7.1139745240306829E-3</v>
      </c>
      <c r="Q517" s="34"/>
      <c r="R517" s="23"/>
      <c r="S517" s="34"/>
      <c r="T517" s="23"/>
      <c r="U517" s="2"/>
      <c r="W517" s="34"/>
      <c r="X517" s="23"/>
      <c r="Y517" s="34"/>
      <c r="Z517" s="23"/>
      <c r="AA517" s="2"/>
      <c r="AC517" s="244"/>
    </row>
    <row r="518" spans="10:29">
      <c r="J518" s="412">
        <v>41562</v>
      </c>
      <c r="K518" s="413">
        <v>14.692793</v>
      </c>
      <c r="L518" s="30">
        <f t="shared" si="26"/>
        <v>-1.2179547989636373E-2</v>
      </c>
      <c r="M518" s="414">
        <v>1698.0600589999999</v>
      </c>
      <c r="N518" s="31">
        <f t="shared" si="27"/>
        <v>-1.3638939245141814E-2</v>
      </c>
      <c r="Q518" s="34"/>
      <c r="R518" s="23"/>
      <c r="S518" s="34"/>
      <c r="T518" s="23"/>
      <c r="U518" s="2"/>
      <c r="W518" s="34"/>
      <c r="X518" s="23"/>
      <c r="Y518" s="34"/>
      <c r="Z518" s="23"/>
      <c r="AA518" s="2"/>
      <c r="AC518" s="244"/>
    </row>
    <row r="519" spans="10:29">
      <c r="J519" s="412">
        <v>41563</v>
      </c>
      <c r="K519" s="413">
        <v>14.873951</v>
      </c>
      <c r="L519" s="30">
        <f t="shared" si="26"/>
        <v>-1.9193354374022317E-3</v>
      </c>
      <c r="M519" s="414">
        <v>1721.540039</v>
      </c>
      <c r="N519" s="31">
        <f t="shared" si="27"/>
        <v>-6.6987767009372588E-3</v>
      </c>
      <c r="Q519" s="34"/>
      <c r="R519" s="23"/>
      <c r="S519" s="34"/>
      <c r="T519" s="23"/>
      <c r="U519" s="2"/>
      <c r="W519" s="34"/>
      <c r="X519" s="23"/>
      <c r="Y519" s="34"/>
      <c r="Z519" s="23"/>
      <c r="AA519" s="2"/>
      <c r="AC519" s="244"/>
    </row>
    <row r="520" spans="10:29">
      <c r="J520" s="412">
        <v>41564</v>
      </c>
      <c r="K520" s="413">
        <v>14.902554</v>
      </c>
      <c r="L520" s="30">
        <f t="shared" ref="L520:L583" si="28">(K520-K521)/K521</f>
        <v>-1.1385231843834678E-2</v>
      </c>
      <c r="M520" s="414">
        <v>1733.150024</v>
      </c>
      <c r="N520" s="31">
        <f t="shared" si="27"/>
        <v>-6.5061484666093265E-3</v>
      </c>
      <c r="Q520" s="34"/>
      <c r="R520" s="23"/>
      <c r="S520" s="34"/>
      <c r="T520" s="23"/>
      <c r="U520" s="2"/>
      <c r="W520" s="34"/>
      <c r="X520" s="23"/>
      <c r="Y520" s="34"/>
      <c r="Z520" s="23"/>
      <c r="AA520" s="2"/>
      <c r="AC520" s="244"/>
    </row>
    <row r="521" spans="10:29">
      <c r="J521" s="412">
        <v>41565</v>
      </c>
      <c r="K521" s="413">
        <v>15.074177000000001</v>
      </c>
      <c r="L521" s="30">
        <f t="shared" si="28"/>
        <v>-2.5237031835490509E-3</v>
      </c>
      <c r="M521" s="414">
        <v>1744.5</v>
      </c>
      <c r="N521" s="31">
        <f t="shared" si="27"/>
        <v>-9.1727899350731621E-5</v>
      </c>
      <c r="Q521" s="34"/>
      <c r="R521" s="23"/>
      <c r="S521" s="34"/>
      <c r="T521" s="23"/>
      <c r="U521" s="2"/>
      <c r="W521" s="34"/>
      <c r="X521" s="23"/>
      <c r="Y521" s="34"/>
      <c r="Z521" s="23"/>
      <c r="AA521" s="2"/>
      <c r="AC521" s="244"/>
    </row>
    <row r="522" spans="10:29">
      <c r="J522" s="412">
        <v>41568</v>
      </c>
      <c r="K522" s="413">
        <v>15.112316</v>
      </c>
      <c r="L522" s="30">
        <f t="shared" si="28"/>
        <v>5.0729450754949E-3</v>
      </c>
      <c r="M522" s="414">
        <v>1744.660034</v>
      </c>
      <c r="N522" s="31">
        <f t="shared" ref="N522:N585" si="29">(M522-M523)/M523</f>
        <v>-5.7047819527259024E-3</v>
      </c>
      <c r="Q522" s="34"/>
      <c r="R522" s="23"/>
      <c r="S522" s="34"/>
      <c r="T522" s="23"/>
      <c r="U522" s="2"/>
      <c r="W522" s="34"/>
      <c r="X522" s="23"/>
      <c r="Y522" s="34"/>
      <c r="Z522" s="23"/>
      <c r="AA522" s="2"/>
      <c r="AC522" s="244"/>
    </row>
    <row r="523" spans="10:29">
      <c r="J523" s="412">
        <v>41569</v>
      </c>
      <c r="K523" s="413">
        <v>15.036039000000001</v>
      </c>
      <c r="L523" s="30">
        <f t="shared" si="28"/>
        <v>1.7419370772816509E-2</v>
      </c>
      <c r="M523" s="414">
        <v>1754.670044</v>
      </c>
      <c r="N523" s="31">
        <f t="shared" si="29"/>
        <v>4.7469846060222039E-3</v>
      </c>
      <c r="Q523" s="34"/>
      <c r="R523" s="23"/>
      <c r="S523" s="34"/>
      <c r="T523" s="23"/>
      <c r="U523" s="2"/>
      <c r="W523" s="34"/>
      <c r="X523" s="23"/>
      <c r="Y523" s="34"/>
      <c r="Z523" s="23"/>
      <c r="AA523" s="2"/>
      <c r="AC523" s="244"/>
    </row>
    <row r="524" spans="10:29">
      <c r="J524" s="412">
        <v>41570</v>
      </c>
      <c r="K524" s="413">
        <v>14.778605000000001</v>
      </c>
      <c r="L524" s="30">
        <f t="shared" si="28"/>
        <v>7.1474693712742622E-3</v>
      </c>
      <c r="M524" s="414">
        <v>1746.380005</v>
      </c>
      <c r="N524" s="31">
        <f t="shared" si="29"/>
        <v>-3.2475535654214625E-3</v>
      </c>
      <c r="Q524" s="34"/>
      <c r="R524" s="23"/>
      <c r="S524" s="34"/>
      <c r="T524" s="23"/>
      <c r="U524" s="2"/>
      <c r="W524" s="34"/>
      <c r="X524" s="23"/>
      <c r="Y524" s="34"/>
      <c r="Z524" s="23"/>
      <c r="AA524" s="2"/>
      <c r="AC524" s="244"/>
    </row>
    <row r="525" spans="10:29">
      <c r="J525" s="412">
        <v>41571</v>
      </c>
      <c r="K525" s="413">
        <v>14.673724999999999</v>
      </c>
      <c r="L525" s="30">
        <f t="shared" si="28"/>
        <v>9.8426057097711316E-3</v>
      </c>
      <c r="M525" s="414">
        <v>1752.0699460000001</v>
      </c>
      <c r="N525" s="31">
        <f t="shared" si="29"/>
        <v>-4.3756138088997896E-3</v>
      </c>
      <c r="Q525" s="34"/>
      <c r="R525" s="23"/>
      <c r="S525" s="34"/>
      <c r="T525" s="23"/>
      <c r="U525" s="2"/>
      <c r="W525" s="34"/>
      <c r="X525" s="23"/>
      <c r="Y525" s="34"/>
      <c r="Z525" s="23"/>
      <c r="AA525" s="2"/>
      <c r="AC525" s="244"/>
    </row>
    <row r="526" spans="10:29">
      <c r="J526" s="412">
        <v>41572</v>
      </c>
      <c r="K526" s="413">
        <v>14.530704999999999</v>
      </c>
      <c r="L526" s="30">
        <f t="shared" si="28"/>
        <v>1.9723347691250966E-3</v>
      </c>
      <c r="M526" s="414">
        <v>1759.7700199999999</v>
      </c>
      <c r="N526" s="31">
        <f t="shared" si="29"/>
        <v>-1.3279335682330408E-3</v>
      </c>
      <c r="Q526" s="34"/>
      <c r="R526" s="23"/>
      <c r="S526" s="34"/>
      <c r="T526" s="23"/>
      <c r="U526" s="2"/>
      <c r="W526" s="34"/>
      <c r="X526" s="23"/>
      <c r="Y526" s="34"/>
      <c r="Z526" s="23"/>
      <c r="AA526" s="2"/>
      <c r="AC526" s="244"/>
    </row>
    <row r="527" spans="10:29">
      <c r="J527" s="412">
        <v>41575</v>
      </c>
      <c r="K527" s="413">
        <v>14.502102000000001</v>
      </c>
      <c r="L527" s="30">
        <f t="shared" si="28"/>
        <v>-1.3131861059965482E-3</v>
      </c>
      <c r="M527" s="414">
        <v>1762.1099850000001</v>
      </c>
      <c r="N527" s="31">
        <f t="shared" si="29"/>
        <v>-5.5531850628438E-3</v>
      </c>
      <c r="Q527" s="34"/>
      <c r="R527" s="23"/>
      <c r="S527" s="34"/>
      <c r="T527" s="23"/>
      <c r="U527" s="2"/>
      <c r="W527" s="34"/>
      <c r="X527" s="23"/>
      <c r="Y527" s="34"/>
      <c r="Z527" s="23"/>
      <c r="AA527" s="2"/>
      <c r="AC527" s="244"/>
    </row>
    <row r="528" spans="10:29">
      <c r="J528" s="412">
        <v>41576</v>
      </c>
      <c r="K528" s="413">
        <v>14.521171000000001</v>
      </c>
      <c r="L528" s="30">
        <f t="shared" si="28"/>
        <v>6.5698997294380882E-4</v>
      </c>
      <c r="M528" s="414">
        <v>1771.9499510000001</v>
      </c>
      <c r="N528" s="31">
        <f t="shared" si="29"/>
        <v>4.8998143893649428E-3</v>
      </c>
      <c r="Q528" s="34"/>
      <c r="R528" s="23"/>
      <c r="S528" s="34"/>
      <c r="T528" s="23"/>
      <c r="U528" s="2"/>
      <c r="W528" s="34"/>
      <c r="X528" s="23"/>
      <c r="Y528" s="34"/>
      <c r="Z528" s="23"/>
      <c r="AA528" s="2"/>
      <c r="AC528" s="244"/>
    </row>
    <row r="529" spans="10:29">
      <c r="J529" s="412">
        <v>41577</v>
      </c>
      <c r="K529" s="413">
        <v>14.511637</v>
      </c>
      <c r="L529" s="30">
        <f t="shared" si="28"/>
        <v>1.9750698610622873E-3</v>
      </c>
      <c r="M529" s="414">
        <v>1763.3100589999999</v>
      </c>
      <c r="N529" s="31">
        <f t="shared" si="29"/>
        <v>3.8541791531573116E-3</v>
      </c>
      <c r="Q529" s="34"/>
      <c r="R529" s="23"/>
      <c r="S529" s="34"/>
      <c r="T529" s="23"/>
      <c r="U529" s="2"/>
      <c r="W529" s="34"/>
      <c r="X529" s="23"/>
      <c r="Y529" s="34"/>
      <c r="Z529" s="23"/>
      <c r="AA529" s="2"/>
      <c r="AC529" s="244"/>
    </row>
    <row r="530" spans="10:29">
      <c r="J530" s="412">
        <v>41578</v>
      </c>
      <c r="K530" s="413">
        <v>14.483032</v>
      </c>
      <c r="L530" s="30">
        <f t="shared" si="28"/>
        <v>-4.5872187026947606E-3</v>
      </c>
      <c r="M530" s="414">
        <v>1756.540039</v>
      </c>
      <c r="N530" s="31">
        <f t="shared" si="29"/>
        <v>-2.8950159831604245E-3</v>
      </c>
      <c r="Q530" s="34"/>
      <c r="R530" s="23"/>
      <c r="S530" s="34"/>
      <c r="T530" s="23"/>
      <c r="U530" s="2"/>
      <c r="W530" s="34"/>
      <c r="X530" s="23"/>
      <c r="Y530" s="34"/>
      <c r="Z530" s="23"/>
      <c r="AA530" s="2"/>
      <c r="AC530" s="244"/>
    </row>
    <row r="531" spans="10:29">
      <c r="J531" s="412">
        <v>41579</v>
      </c>
      <c r="K531" s="413">
        <v>14.549775</v>
      </c>
      <c r="L531" s="30">
        <f t="shared" si="28"/>
        <v>2.9689631176455272E-2</v>
      </c>
      <c r="M531" s="414">
        <v>1761.6400149999999</v>
      </c>
      <c r="N531" s="31">
        <f t="shared" si="29"/>
        <v>-3.5578551231529544E-3</v>
      </c>
      <c r="Q531" s="34"/>
      <c r="R531" s="23"/>
      <c r="S531" s="34"/>
      <c r="T531" s="23"/>
      <c r="U531" s="2"/>
      <c r="W531" s="34"/>
      <c r="X531" s="23"/>
      <c r="Y531" s="34"/>
      <c r="Z531" s="23"/>
      <c r="AA531" s="2"/>
      <c r="AC531" s="244"/>
    </row>
    <row r="532" spans="10:29">
      <c r="J532" s="412">
        <v>41582</v>
      </c>
      <c r="K532" s="413">
        <v>14.130253</v>
      </c>
      <c r="L532" s="30">
        <f t="shared" si="28"/>
        <v>1.3513394765456961E-3</v>
      </c>
      <c r="M532" s="414">
        <v>1767.9300539999999</v>
      </c>
      <c r="N532" s="31">
        <f t="shared" si="29"/>
        <v>2.8134812739813481E-3</v>
      </c>
      <c r="Q532" s="34"/>
      <c r="R532" s="23"/>
      <c r="S532" s="34"/>
      <c r="T532" s="23"/>
      <c r="U532" s="2"/>
      <c r="W532" s="34"/>
      <c r="X532" s="23"/>
      <c r="Y532" s="34"/>
      <c r="Z532" s="23"/>
      <c r="AA532" s="2"/>
      <c r="AC532" s="244"/>
    </row>
    <row r="533" spans="10:29">
      <c r="J533" s="412">
        <v>41583</v>
      </c>
      <c r="K533" s="413">
        <v>14.111184</v>
      </c>
      <c r="L533" s="30">
        <f t="shared" si="28"/>
        <v>-6.7113508162338605E-3</v>
      </c>
      <c r="M533" s="414">
        <v>1762.969971</v>
      </c>
      <c r="N533" s="31">
        <f t="shared" si="29"/>
        <v>-4.2474224889574481E-3</v>
      </c>
      <c r="Q533" s="34"/>
      <c r="R533" s="23"/>
      <c r="S533" s="34"/>
      <c r="T533" s="23"/>
      <c r="U533" s="2"/>
      <c r="W533" s="34"/>
      <c r="X533" s="23"/>
      <c r="Y533" s="34"/>
      <c r="Z533" s="23"/>
      <c r="AA533" s="2"/>
      <c r="AC533" s="244"/>
    </row>
    <row r="534" spans="10:29">
      <c r="J534" s="412">
        <v>41584</v>
      </c>
      <c r="K534" s="413">
        <v>14.206529</v>
      </c>
      <c r="L534" s="30">
        <f t="shared" si="28"/>
        <v>2.4054952349626992E-2</v>
      </c>
      <c r="M534" s="414">
        <v>1770.48999</v>
      </c>
      <c r="N534" s="31">
        <f t="shared" si="29"/>
        <v>1.3358879134239707E-2</v>
      </c>
      <c r="Q534" s="34"/>
      <c r="R534" s="23"/>
      <c r="S534" s="34"/>
      <c r="T534" s="23"/>
      <c r="U534" s="2"/>
      <c r="W534" s="34"/>
      <c r="X534" s="23"/>
      <c r="Y534" s="34"/>
      <c r="Z534" s="23"/>
      <c r="AA534" s="2"/>
      <c r="AC534" s="244"/>
    </row>
    <row r="535" spans="10:29">
      <c r="J535" s="412">
        <v>41585</v>
      </c>
      <c r="K535" s="413">
        <v>13.872819</v>
      </c>
      <c r="L535" s="30">
        <f t="shared" si="28"/>
        <v>-6.4910092894807994E-2</v>
      </c>
      <c r="M535" s="414">
        <v>1747.150024</v>
      </c>
      <c r="N535" s="31">
        <f t="shared" si="29"/>
        <v>-1.3249649103272181E-2</v>
      </c>
      <c r="Q535" s="34"/>
      <c r="R535" s="23"/>
      <c r="S535" s="34"/>
      <c r="T535" s="23"/>
      <c r="U535" s="2"/>
      <c r="W535" s="34"/>
      <c r="X535" s="23"/>
      <c r="Y535" s="34"/>
      <c r="Z535" s="23"/>
      <c r="AA535" s="2"/>
      <c r="AC535" s="244"/>
    </row>
    <row r="536" spans="10:29">
      <c r="J536" s="412">
        <v>41586</v>
      </c>
      <c r="K536" s="413">
        <v>14.835813</v>
      </c>
      <c r="L536" s="30">
        <f t="shared" si="28"/>
        <v>-8.2854264850889259E-3</v>
      </c>
      <c r="M536" s="414">
        <v>1770.6099850000001</v>
      </c>
      <c r="N536" s="31">
        <f t="shared" si="29"/>
        <v>-7.2240939853137384E-4</v>
      </c>
      <c r="Q536" s="34"/>
      <c r="R536" s="23"/>
      <c r="S536" s="34"/>
      <c r="T536" s="23"/>
      <c r="U536" s="2"/>
      <c r="W536" s="34"/>
      <c r="X536" s="23"/>
      <c r="Y536" s="34"/>
      <c r="Z536" s="23"/>
      <c r="AA536" s="2"/>
      <c r="AC536" s="244"/>
    </row>
    <row r="537" spans="10:29">
      <c r="J537" s="412">
        <v>41589</v>
      </c>
      <c r="K537" s="413">
        <v>14.959761</v>
      </c>
      <c r="L537" s="30">
        <f t="shared" si="28"/>
        <v>-1.9084802172564296E-3</v>
      </c>
      <c r="M537" s="414">
        <v>1771.8900149999999</v>
      </c>
      <c r="N537" s="31">
        <f t="shared" si="29"/>
        <v>2.3760241559239934E-3</v>
      </c>
      <c r="Q537" s="34"/>
      <c r="R537" s="23"/>
      <c r="S537" s="34"/>
      <c r="T537" s="23"/>
      <c r="U537" s="2"/>
      <c r="W537" s="34"/>
      <c r="X537" s="23"/>
      <c r="Y537" s="34"/>
      <c r="Z537" s="23"/>
      <c r="AA537" s="2"/>
      <c r="AC537" s="244"/>
    </row>
    <row r="538" spans="10:29">
      <c r="J538" s="412">
        <v>41590</v>
      </c>
      <c r="K538" s="413">
        <v>14.988365999999999</v>
      </c>
      <c r="L538" s="30">
        <f t="shared" si="28"/>
        <v>-2.662531678714709E-2</v>
      </c>
      <c r="M538" s="414">
        <v>1767.6899410000001</v>
      </c>
      <c r="N538" s="31">
        <f t="shared" si="29"/>
        <v>-8.0303361391694215E-3</v>
      </c>
      <c r="Q538" s="34"/>
      <c r="R538" s="23"/>
      <c r="S538" s="34"/>
      <c r="T538" s="23"/>
      <c r="U538" s="2"/>
      <c r="W538" s="34"/>
      <c r="X538" s="23"/>
      <c r="Y538" s="34"/>
      <c r="Z538" s="23"/>
      <c r="AA538" s="2"/>
      <c r="AC538" s="244"/>
    </row>
    <row r="539" spans="10:29">
      <c r="J539" s="412">
        <v>41591</v>
      </c>
      <c r="K539" s="413">
        <v>15.398351999999999</v>
      </c>
      <c r="L539" s="30">
        <f t="shared" si="28"/>
        <v>-4.3156543374389712E-3</v>
      </c>
      <c r="M539" s="414">
        <v>1782</v>
      </c>
      <c r="N539" s="31">
        <f t="shared" si="29"/>
        <v>-4.8139722688621137E-3</v>
      </c>
      <c r="Q539" s="34"/>
      <c r="R539" s="23"/>
      <c r="S539" s="34"/>
      <c r="T539" s="23"/>
      <c r="U539" s="2"/>
      <c r="W539" s="34"/>
      <c r="X539" s="23"/>
      <c r="Y539" s="34"/>
      <c r="Z539" s="23"/>
      <c r="AA539" s="2"/>
      <c r="AC539" s="244"/>
    </row>
    <row r="540" spans="10:29">
      <c r="J540" s="412">
        <v>41592</v>
      </c>
      <c r="K540" s="413">
        <v>15.465094000000001</v>
      </c>
      <c r="L540" s="30">
        <f t="shared" si="28"/>
        <v>3.092086342321069E-3</v>
      </c>
      <c r="M540" s="414">
        <v>1790.619995</v>
      </c>
      <c r="N540" s="31">
        <f t="shared" si="29"/>
        <v>-4.2042836495615526E-3</v>
      </c>
      <c r="Q540" s="34"/>
      <c r="R540" s="23"/>
      <c r="S540" s="34"/>
      <c r="T540" s="23"/>
      <c r="U540" s="2"/>
      <c r="W540" s="34"/>
      <c r="X540" s="23"/>
      <c r="Y540" s="34"/>
      <c r="Z540" s="23"/>
      <c r="AA540" s="2"/>
      <c r="AC540" s="244"/>
    </row>
    <row r="541" spans="10:29">
      <c r="J541" s="412">
        <v>41593</v>
      </c>
      <c r="K541" s="413">
        <v>15.417422</v>
      </c>
      <c r="L541" s="30">
        <f t="shared" si="28"/>
        <v>2.471484469218959E-2</v>
      </c>
      <c r="M541" s="414">
        <v>1798.1800539999999</v>
      </c>
      <c r="N541" s="31">
        <f t="shared" si="29"/>
        <v>3.711924942565344E-3</v>
      </c>
      <c r="Q541" s="34"/>
      <c r="R541" s="23"/>
      <c r="S541" s="34"/>
      <c r="T541" s="23"/>
      <c r="U541" s="2"/>
      <c r="W541" s="34"/>
      <c r="X541" s="23"/>
      <c r="Y541" s="34"/>
      <c r="Z541" s="23"/>
      <c r="AA541" s="2"/>
      <c r="AC541" s="244"/>
    </row>
    <row r="542" spans="10:29">
      <c r="J542" s="412">
        <v>41596</v>
      </c>
      <c r="K542" s="413">
        <v>15.045572999999999</v>
      </c>
      <c r="L542" s="30">
        <f t="shared" si="28"/>
        <v>1.6515570033735241E-2</v>
      </c>
      <c r="M542" s="414">
        <v>1791.530029</v>
      </c>
      <c r="N542" s="31">
        <f t="shared" si="29"/>
        <v>2.0471477289935704E-3</v>
      </c>
      <c r="Q542" s="34"/>
      <c r="R542" s="23"/>
      <c r="S542" s="34"/>
      <c r="T542" s="23"/>
      <c r="U542" s="2"/>
      <c r="W542" s="34"/>
      <c r="X542" s="23"/>
      <c r="Y542" s="34"/>
      <c r="Z542" s="23"/>
      <c r="AA542" s="2"/>
      <c r="AC542" s="244"/>
    </row>
    <row r="543" spans="10:29">
      <c r="J543" s="412">
        <v>41597</v>
      </c>
      <c r="K543" s="413">
        <v>14.801124</v>
      </c>
      <c r="L543" s="30">
        <f t="shared" si="28"/>
        <v>1.5121625997101209E-2</v>
      </c>
      <c r="M543" s="414">
        <v>1787.869995</v>
      </c>
      <c r="N543" s="31">
        <f t="shared" si="29"/>
        <v>3.648876998178023E-3</v>
      </c>
      <c r="Q543" s="34"/>
      <c r="R543" s="23"/>
      <c r="S543" s="34"/>
      <c r="T543" s="23"/>
      <c r="U543" s="2"/>
      <c r="W543" s="34"/>
      <c r="X543" s="23"/>
      <c r="Y543" s="34"/>
      <c r="Z543" s="23"/>
      <c r="AA543" s="2"/>
      <c r="AC543" s="244"/>
    </row>
    <row r="544" spans="10:29">
      <c r="J544" s="412">
        <v>41598</v>
      </c>
      <c r="K544" s="413">
        <v>14.580641</v>
      </c>
      <c r="L544" s="30">
        <f t="shared" si="28"/>
        <v>-7.8278127525403165E-3</v>
      </c>
      <c r="M544" s="414">
        <v>1781.369995</v>
      </c>
      <c r="N544" s="31">
        <f t="shared" si="29"/>
        <v>-8.0630237455870599E-3</v>
      </c>
      <c r="Q544" s="34"/>
      <c r="R544" s="23"/>
      <c r="S544" s="34"/>
      <c r="T544" s="23"/>
      <c r="U544" s="2"/>
      <c r="W544" s="34"/>
      <c r="X544" s="23"/>
      <c r="Y544" s="34"/>
      <c r="Z544" s="23"/>
      <c r="AA544" s="2"/>
      <c r="AC544" s="244"/>
    </row>
    <row r="545" spans="10:29">
      <c r="J545" s="412">
        <v>41599</v>
      </c>
      <c r="K545" s="413">
        <v>14.695676000000001</v>
      </c>
      <c r="L545" s="30">
        <f t="shared" si="28"/>
        <v>9.8814016028029149E-3</v>
      </c>
      <c r="M545" s="414">
        <v>1795.849976</v>
      </c>
      <c r="N545" s="31">
        <f t="shared" si="29"/>
        <v>-4.9369633361944871E-3</v>
      </c>
      <c r="Q545" s="34"/>
      <c r="R545" s="23"/>
      <c r="S545" s="34"/>
      <c r="T545" s="23"/>
      <c r="U545" s="2"/>
      <c r="W545" s="34"/>
      <c r="X545" s="23"/>
      <c r="Y545" s="34"/>
      <c r="Z545" s="23"/>
      <c r="AA545" s="2"/>
      <c r="AC545" s="244"/>
    </row>
    <row r="546" spans="10:29">
      <c r="J546" s="412">
        <v>41600</v>
      </c>
      <c r="K546" s="413">
        <v>14.551883</v>
      </c>
      <c r="L546" s="30">
        <f t="shared" si="28"/>
        <v>-2.127657714153967E-2</v>
      </c>
      <c r="M546" s="414">
        <v>1804.76001</v>
      </c>
      <c r="N546" s="31">
        <f t="shared" si="29"/>
        <v>1.2649405404213682E-3</v>
      </c>
      <c r="Q546" s="34"/>
      <c r="R546" s="23"/>
      <c r="S546" s="34"/>
      <c r="T546" s="23"/>
      <c r="U546" s="2"/>
      <c r="W546" s="34"/>
      <c r="X546" s="23"/>
      <c r="Y546" s="34"/>
      <c r="Z546" s="23"/>
      <c r="AA546" s="2"/>
      <c r="AC546" s="244"/>
    </row>
    <row r="547" spans="10:29">
      <c r="J547" s="412">
        <v>41603</v>
      </c>
      <c r="K547" s="413">
        <v>14.868228</v>
      </c>
      <c r="L547" s="30">
        <f t="shared" si="28"/>
        <v>-8.3120292880959068E-3</v>
      </c>
      <c r="M547" s="414">
        <v>1802.4799800000001</v>
      </c>
      <c r="N547" s="31">
        <f t="shared" si="29"/>
        <v>-1.497822770766503E-4</v>
      </c>
      <c r="Q547" s="34"/>
      <c r="R547" s="23"/>
      <c r="S547" s="34"/>
      <c r="T547" s="23"/>
      <c r="U547" s="2"/>
      <c r="W547" s="34"/>
      <c r="X547" s="23"/>
      <c r="Y547" s="34"/>
      <c r="Z547" s="23"/>
      <c r="AA547" s="2"/>
      <c r="AC547" s="244"/>
    </row>
    <row r="548" spans="10:29">
      <c r="J548" s="412">
        <v>41604</v>
      </c>
      <c r="K548" s="413">
        <v>14.992849</v>
      </c>
      <c r="L548" s="30">
        <f t="shared" si="28"/>
        <v>-3.8216346366593814E-3</v>
      </c>
      <c r="M548" s="414">
        <v>1802.75</v>
      </c>
      <c r="N548" s="31">
        <f t="shared" si="29"/>
        <v>-2.4789208067476109E-3</v>
      </c>
      <c r="Q548" s="34"/>
      <c r="R548" s="23"/>
      <c r="S548" s="34"/>
      <c r="T548" s="23"/>
      <c r="U548" s="2"/>
      <c r="W548" s="34"/>
      <c r="X548" s="23"/>
      <c r="Y548" s="34"/>
      <c r="Z548" s="23"/>
      <c r="AA548" s="2"/>
      <c r="AC548" s="244"/>
    </row>
    <row r="549" spans="10:29">
      <c r="J549" s="412">
        <v>41605</v>
      </c>
      <c r="K549" s="413">
        <v>15.050366</v>
      </c>
      <c r="L549" s="30">
        <f t="shared" si="28"/>
        <v>6.4102426934387353E-3</v>
      </c>
      <c r="M549" s="414">
        <v>1807.2299800000001</v>
      </c>
      <c r="N549" s="31">
        <f t="shared" si="29"/>
        <v>7.8630695012656289E-4</v>
      </c>
      <c r="Q549" s="34"/>
      <c r="R549" s="23"/>
      <c r="S549" s="34"/>
      <c r="T549" s="23"/>
      <c r="U549" s="2"/>
      <c r="W549" s="34"/>
      <c r="X549" s="23"/>
      <c r="Y549" s="34"/>
      <c r="Z549" s="23"/>
      <c r="AA549" s="2"/>
      <c r="AC549" s="244"/>
    </row>
    <row r="550" spans="10:29">
      <c r="J550" s="412">
        <v>41607</v>
      </c>
      <c r="K550" s="413">
        <v>14.954504</v>
      </c>
      <c r="L550" s="30">
        <f t="shared" si="28"/>
        <v>-9.5237893386254414E-3</v>
      </c>
      <c r="M550" s="414">
        <v>1805.8100589999999</v>
      </c>
      <c r="N550" s="31">
        <f t="shared" si="29"/>
        <v>2.7264339688852597E-3</v>
      </c>
      <c r="Q550" s="34"/>
      <c r="R550" s="23"/>
      <c r="S550" s="34"/>
      <c r="T550" s="23"/>
      <c r="U550" s="2"/>
      <c r="W550" s="34"/>
      <c r="X550" s="23"/>
      <c r="Y550" s="34"/>
      <c r="Z550" s="23"/>
      <c r="AA550" s="2"/>
      <c r="AC550" s="244"/>
    </row>
    <row r="551" spans="10:29">
      <c r="J551" s="412">
        <v>41610</v>
      </c>
      <c r="K551" s="413">
        <v>15.098297000000001</v>
      </c>
      <c r="L551" s="30">
        <f t="shared" si="28"/>
        <v>6.3530940449456146E-4</v>
      </c>
      <c r="M551" s="414">
        <v>1800.900024</v>
      </c>
      <c r="N551" s="31">
        <f t="shared" si="29"/>
        <v>3.2030749091308259E-3</v>
      </c>
      <c r="Q551" s="34"/>
      <c r="R551" s="23"/>
      <c r="S551" s="34"/>
      <c r="T551" s="23"/>
      <c r="U551" s="2"/>
      <c r="W551" s="34"/>
      <c r="X551" s="23"/>
      <c r="Y551" s="34"/>
      <c r="Z551" s="23"/>
      <c r="AA551" s="2"/>
      <c r="AC551" s="244"/>
    </row>
    <row r="552" spans="10:29">
      <c r="J552" s="412">
        <v>41611</v>
      </c>
      <c r="K552" s="413">
        <v>15.088711</v>
      </c>
      <c r="L552" s="30">
        <f t="shared" si="28"/>
        <v>-1.3784470817814367E-2</v>
      </c>
      <c r="M552" s="414">
        <v>1795.150024</v>
      </c>
      <c r="N552" s="31">
        <f t="shared" si="29"/>
        <v>1.3051940378476649E-3</v>
      </c>
      <c r="Q552" s="34"/>
      <c r="R552" s="23"/>
      <c r="S552" s="34"/>
      <c r="T552" s="23"/>
      <c r="U552" s="2"/>
      <c r="W552" s="34"/>
      <c r="X552" s="23"/>
      <c r="Y552" s="34"/>
      <c r="Z552" s="23"/>
      <c r="AA552" s="2"/>
      <c r="AC552" s="244"/>
    </row>
    <row r="553" spans="10:29">
      <c r="J553" s="412">
        <v>41612</v>
      </c>
      <c r="K553" s="413">
        <v>15.299607999999999</v>
      </c>
      <c r="L553" s="30">
        <f t="shared" si="28"/>
        <v>1.6560527498135184E-2</v>
      </c>
      <c r="M553" s="414">
        <v>1792.8100589999999</v>
      </c>
      <c r="N553" s="31">
        <f t="shared" si="29"/>
        <v>4.3584869013987308E-3</v>
      </c>
      <c r="Q553" s="34"/>
      <c r="R553" s="23"/>
      <c r="S553" s="34"/>
      <c r="T553" s="23"/>
      <c r="U553" s="2"/>
      <c r="W553" s="34"/>
      <c r="X553" s="23"/>
      <c r="Y553" s="34"/>
      <c r="Z553" s="23"/>
      <c r="AA553" s="2"/>
      <c r="AC553" s="244"/>
    </row>
    <row r="554" spans="10:29">
      <c r="J554" s="412">
        <v>41613</v>
      </c>
      <c r="K554" s="413">
        <v>15.050366</v>
      </c>
      <c r="L554" s="30">
        <f t="shared" si="28"/>
        <v>1.4867480748162326E-2</v>
      </c>
      <c r="M554" s="414">
        <v>1785.030029</v>
      </c>
      <c r="N554" s="31">
        <f t="shared" si="29"/>
        <v>-1.1112984603449949E-2</v>
      </c>
      <c r="Q554" s="34"/>
      <c r="R554" s="23"/>
      <c r="S554" s="34"/>
      <c r="T554" s="23"/>
      <c r="U554" s="2"/>
      <c r="W554" s="34"/>
      <c r="X554" s="23"/>
      <c r="Y554" s="34"/>
      <c r="Z554" s="23"/>
      <c r="AA554" s="2"/>
      <c r="AC554" s="244"/>
    </row>
    <row r="555" spans="10:29">
      <c r="J555" s="412">
        <v>41614</v>
      </c>
      <c r="K555" s="413">
        <v>14.829883000000001</v>
      </c>
      <c r="L555" s="30">
        <f t="shared" si="28"/>
        <v>1.7094035852058948E-2</v>
      </c>
      <c r="M555" s="414">
        <v>1805.089966</v>
      </c>
      <c r="N555" s="31">
        <f t="shared" si="29"/>
        <v>-1.8138041490784705E-3</v>
      </c>
      <c r="Q555" s="34"/>
      <c r="R555" s="23"/>
      <c r="S555" s="34"/>
      <c r="T555" s="23"/>
      <c r="U555" s="2"/>
      <c r="W555" s="34"/>
      <c r="X555" s="23"/>
      <c r="Y555" s="34"/>
      <c r="Z555" s="23"/>
      <c r="AA555" s="2"/>
      <c r="AC555" s="244"/>
    </row>
    <row r="556" spans="10:29">
      <c r="J556" s="412">
        <v>41617</v>
      </c>
      <c r="K556" s="413">
        <v>14.580641</v>
      </c>
      <c r="L556" s="30">
        <f t="shared" si="28"/>
        <v>-2.2493592351757609E-2</v>
      </c>
      <c r="M556" s="414">
        <v>1808.369995</v>
      </c>
      <c r="N556" s="31">
        <f t="shared" si="29"/>
        <v>3.1898015199814758E-3</v>
      </c>
      <c r="Q556" s="34"/>
      <c r="R556" s="23"/>
      <c r="S556" s="34"/>
      <c r="T556" s="23"/>
      <c r="U556" s="2"/>
      <c r="W556" s="34"/>
      <c r="X556" s="23"/>
      <c r="Y556" s="34"/>
      <c r="Z556" s="23"/>
      <c r="AA556" s="2"/>
      <c r="AC556" s="244"/>
    </row>
    <row r="557" spans="10:29">
      <c r="J557" s="412">
        <v>41618</v>
      </c>
      <c r="K557" s="413">
        <v>14.916159</v>
      </c>
      <c r="L557" s="30">
        <f t="shared" si="28"/>
        <v>9.7339863996049204E-3</v>
      </c>
      <c r="M557" s="414">
        <v>1802.619995</v>
      </c>
      <c r="N557" s="31">
        <f t="shared" si="29"/>
        <v>1.1446411964822512E-2</v>
      </c>
      <c r="Q557" s="34"/>
      <c r="R557" s="23"/>
      <c r="S557" s="34"/>
      <c r="T557" s="23"/>
      <c r="U557" s="2"/>
      <c r="W557" s="34"/>
      <c r="X557" s="23"/>
      <c r="Y557" s="34"/>
      <c r="Z557" s="23"/>
      <c r="AA557" s="2"/>
      <c r="AC557" s="244"/>
    </row>
    <row r="558" spans="10:29">
      <c r="J558" s="412">
        <v>41619</v>
      </c>
      <c r="K558" s="413">
        <v>14.772365000000001</v>
      </c>
      <c r="L558" s="30">
        <f t="shared" si="28"/>
        <v>1.9854358841098027E-2</v>
      </c>
      <c r="M558" s="414">
        <v>1782.219971</v>
      </c>
      <c r="N558" s="31">
        <f t="shared" si="29"/>
        <v>3.7848330047873763E-3</v>
      </c>
      <c r="Q558" s="34"/>
      <c r="R558" s="23"/>
      <c r="S558" s="34"/>
      <c r="T558" s="23"/>
      <c r="U558" s="2"/>
      <c r="W558" s="34"/>
      <c r="X558" s="23"/>
      <c r="Y558" s="34"/>
      <c r="Z558" s="23"/>
      <c r="AA558" s="2"/>
      <c r="AC558" s="244"/>
    </row>
    <row r="559" spans="10:29">
      <c r="J559" s="412">
        <v>41620</v>
      </c>
      <c r="K559" s="413">
        <v>14.484779</v>
      </c>
      <c r="L559" s="30">
        <f t="shared" si="28"/>
        <v>5.9920118084497952E-3</v>
      </c>
      <c r="M559" s="414">
        <v>1775.5</v>
      </c>
      <c r="N559" s="31">
        <f t="shared" si="29"/>
        <v>1.0142059204911751E-4</v>
      </c>
      <c r="Q559" s="34"/>
      <c r="R559" s="23"/>
      <c r="S559" s="34"/>
      <c r="T559" s="23"/>
      <c r="U559" s="2"/>
      <c r="W559" s="34"/>
      <c r="X559" s="23"/>
      <c r="Y559" s="34"/>
      <c r="Z559" s="23"/>
      <c r="AA559" s="2"/>
      <c r="AC559" s="244"/>
    </row>
    <row r="560" spans="10:29">
      <c r="J560" s="412">
        <v>41621</v>
      </c>
      <c r="K560" s="413">
        <v>14.398503</v>
      </c>
      <c r="L560" s="30">
        <f t="shared" si="28"/>
        <v>-1.3297567048778185E-3</v>
      </c>
      <c r="M560" s="414">
        <v>1775.3199460000001</v>
      </c>
      <c r="N560" s="31">
        <f t="shared" si="29"/>
        <v>-6.2803479099635823E-3</v>
      </c>
      <c r="Q560" s="34"/>
      <c r="R560" s="23"/>
      <c r="S560" s="34"/>
      <c r="T560" s="23"/>
      <c r="U560" s="2"/>
      <c r="W560" s="34"/>
      <c r="X560" s="23"/>
      <c r="Y560" s="34"/>
      <c r="Z560" s="23"/>
      <c r="AA560" s="2"/>
      <c r="AC560" s="244"/>
    </row>
    <row r="561" spans="10:29">
      <c r="J561" s="412">
        <v>41624</v>
      </c>
      <c r="K561" s="413">
        <v>14.417674999999999</v>
      </c>
      <c r="L561" s="30">
        <f t="shared" si="28"/>
        <v>-4.6327251523824078E-3</v>
      </c>
      <c r="M561" s="414">
        <v>1786.540039</v>
      </c>
      <c r="N561" s="31">
        <f t="shared" si="29"/>
        <v>3.1106339135317119E-3</v>
      </c>
      <c r="Q561" s="34"/>
      <c r="R561" s="23"/>
      <c r="S561" s="34"/>
      <c r="T561" s="23"/>
      <c r="U561" s="2"/>
      <c r="W561" s="34"/>
      <c r="X561" s="23"/>
      <c r="Y561" s="34"/>
      <c r="Z561" s="23"/>
      <c r="AA561" s="2"/>
      <c r="AC561" s="244"/>
    </row>
    <row r="562" spans="10:29">
      <c r="J562" s="412">
        <v>41625</v>
      </c>
      <c r="K562" s="413">
        <v>14.484779</v>
      </c>
      <c r="L562" s="30">
        <f t="shared" si="28"/>
        <v>-1.3707529622079861E-2</v>
      </c>
      <c r="M562" s="414">
        <v>1781</v>
      </c>
      <c r="N562" s="31">
        <f t="shared" si="29"/>
        <v>-1.6375347862365271E-2</v>
      </c>
      <c r="Q562" s="34"/>
      <c r="R562" s="23"/>
      <c r="S562" s="34"/>
      <c r="T562" s="23"/>
      <c r="U562" s="2"/>
      <c r="W562" s="34"/>
      <c r="X562" s="23"/>
      <c r="Y562" s="34"/>
      <c r="Z562" s="23"/>
      <c r="AA562" s="2"/>
      <c r="AC562" s="244"/>
    </row>
    <row r="563" spans="10:29">
      <c r="J563" s="412">
        <v>41626</v>
      </c>
      <c r="K563" s="413">
        <v>14.686089000000001</v>
      </c>
      <c r="L563" s="30">
        <f t="shared" si="28"/>
        <v>-3.9012163034459583E-3</v>
      </c>
      <c r="M563" s="414">
        <v>1810.650024</v>
      </c>
      <c r="N563" s="31">
        <f t="shared" si="29"/>
        <v>5.8026525968524916E-4</v>
      </c>
      <c r="Q563" s="34"/>
      <c r="R563" s="23"/>
      <c r="S563" s="34"/>
      <c r="T563" s="23"/>
      <c r="U563" s="2"/>
      <c r="W563" s="34"/>
      <c r="X563" s="23"/>
      <c r="Y563" s="34"/>
      <c r="Z563" s="23"/>
      <c r="AA563" s="2"/>
      <c r="AC563" s="244"/>
    </row>
    <row r="564" spans="10:29">
      <c r="J564" s="412">
        <v>41627</v>
      </c>
      <c r="K564" s="413">
        <v>14.743607000000001</v>
      </c>
      <c r="L564" s="30">
        <f t="shared" si="28"/>
        <v>-1.975775323871189E-2</v>
      </c>
      <c r="M564" s="414">
        <v>1809.599976</v>
      </c>
      <c r="N564" s="31">
        <f t="shared" si="29"/>
        <v>-4.7956191753726176E-3</v>
      </c>
      <c r="Q564" s="34"/>
      <c r="R564" s="23"/>
      <c r="S564" s="34"/>
      <c r="T564" s="23"/>
      <c r="U564" s="2"/>
      <c r="W564" s="34"/>
      <c r="X564" s="23"/>
      <c r="Y564" s="34"/>
      <c r="Z564" s="23"/>
      <c r="AA564" s="2"/>
      <c r="AC564" s="244"/>
    </row>
    <row r="565" spans="10:29">
      <c r="J565" s="412">
        <v>41628</v>
      </c>
      <c r="K565" s="413">
        <v>15.040779000000001</v>
      </c>
      <c r="L565" s="30">
        <f t="shared" si="28"/>
        <v>-5.7034891653735568E-3</v>
      </c>
      <c r="M565" s="414">
        <v>1818.3199460000001</v>
      </c>
      <c r="N565" s="31">
        <f t="shared" si="29"/>
        <v>-5.2899873921081822E-3</v>
      </c>
      <c r="Q565" s="34"/>
      <c r="R565" s="23"/>
      <c r="S565" s="34"/>
      <c r="T565" s="23"/>
      <c r="U565" s="2"/>
      <c r="W565" s="34"/>
      <c r="X565" s="23"/>
      <c r="Y565" s="34"/>
      <c r="Z565" s="23"/>
      <c r="AA565" s="2"/>
      <c r="AC565" s="244"/>
    </row>
    <row r="566" spans="10:29">
      <c r="J566" s="412">
        <v>41631</v>
      </c>
      <c r="K566" s="413">
        <v>15.127056</v>
      </c>
      <c r="L566" s="30">
        <f t="shared" si="28"/>
        <v>-2.5283869861659025E-3</v>
      </c>
      <c r="M566" s="414">
        <v>1827.98999</v>
      </c>
      <c r="N566" s="31">
        <f t="shared" si="29"/>
        <v>-2.9072699566865664E-3</v>
      </c>
      <c r="Q566" s="34"/>
      <c r="R566" s="23"/>
      <c r="S566" s="34"/>
      <c r="T566" s="23"/>
      <c r="U566" s="2"/>
      <c r="W566" s="34"/>
      <c r="X566" s="23"/>
      <c r="Y566" s="34"/>
      <c r="Z566" s="23"/>
      <c r="AA566" s="2"/>
      <c r="AC566" s="244"/>
    </row>
    <row r="567" spans="10:29">
      <c r="J567" s="412">
        <v>41632</v>
      </c>
      <c r="K567" s="413">
        <v>15.1654</v>
      </c>
      <c r="L567" s="30">
        <f t="shared" si="28"/>
        <v>9.5724112606594292E-3</v>
      </c>
      <c r="M567" s="414">
        <v>1833.3199460000001</v>
      </c>
      <c r="N567" s="31">
        <f t="shared" si="29"/>
        <v>-4.723115875798059E-3</v>
      </c>
      <c r="Q567" s="34"/>
      <c r="R567" s="23"/>
      <c r="S567" s="34"/>
      <c r="T567" s="23"/>
      <c r="U567" s="2"/>
      <c r="W567" s="34"/>
      <c r="X567" s="23"/>
      <c r="Y567" s="34"/>
      <c r="Z567" s="23"/>
      <c r="AA567" s="2"/>
      <c r="AC567" s="244"/>
    </row>
    <row r="568" spans="10:29">
      <c r="J568" s="412">
        <v>41634</v>
      </c>
      <c r="K568" s="413">
        <v>15.021606999999999</v>
      </c>
      <c r="L568" s="30">
        <f t="shared" si="28"/>
        <v>-5.7107269290656995E-3</v>
      </c>
      <c r="M568" s="414">
        <v>1842.0200199999999</v>
      </c>
      <c r="N568" s="31">
        <f t="shared" si="29"/>
        <v>3.3669816005166996E-4</v>
      </c>
      <c r="Q568" s="34"/>
      <c r="R568" s="23"/>
      <c r="S568" s="34"/>
      <c r="T568" s="23"/>
      <c r="U568" s="2"/>
      <c r="W568" s="34"/>
      <c r="X568" s="23"/>
      <c r="Y568" s="34"/>
      <c r="Z568" s="23"/>
      <c r="AA568" s="2"/>
      <c r="AC568" s="244"/>
    </row>
    <row r="569" spans="10:29">
      <c r="J569" s="412">
        <v>41635</v>
      </c>
      <c r="K569" s="413">
        <v>15.107884</v>
      </c>
      <c r="L569" s="30">
        <f t="shared" si="28"/>
        <v>-1.3149614538818924E-2</v>
      </c>
      <c r="M569" s="414">
        <v>1841.400024</v>
      </c>
      <c r="N569" s="31">
        <f t="shared" si="29"/>
        <v>1.7928596396736665E-4</v>
      </c>
      <c r="Q569" s="34"/>
      <c r="R569" s="23"/>
      <c r="S569" s="34"/>
      <c r="T569" s="23"/>
      <c r="U569" s="2"/>
      <c r="W569" s="34"/>
      <c r="X569" s="23"/>
      <c r="Y569" s="34"/>
      <c r="Z569" s="23"/>
      <c r="AA569" s="2"/>
      <c r="AC569" s="244"/>
    </row>
    <row r="570" spans="10:29">
      <c r="J570" s="412">
        <v>41638</v>
      </c>
      <c r="K570" s="413">
        <v>15.309194</v>
      </c>
      <c r="L570" s="30">
        <f t="shared" si="28"/>
        <v>-3.1210920012697801E-3</v>
      </c>
      <c r="M570" s="414">
        <v>1841.0699460000001</v>
      </c>
      <c r="N570" s="31">
        <f t="shared" si="29"/>
        <v>-3.9440580077262271E-3</v>
      </c>
      <c r="Q570" s="34"/>
      <c r="R570" s="23"/>
      <c r="S570" s="34"/>
      <c r="T570" s="23"/>
      <c r="U570" s="2"/>
      <c r="W570" s="34"/>
      <c r="X570" s="23"/>
      <c r="Y570" s="34"/>
      <c r="Z570" s="23"/>
      <c r="AA570" s="2"/>
      <c r="AC570" s="244"/>
    </row>
    <row r="571" spans="10:29">
      <c r="J571" s="412">
        <v>41639</v>
      </c>
      <c r="K571" s="413">
        <v>15.357125</v>
      </c>
      <c r="L571" s="30">
        <f t="shared" si="28"/>
        <v>1.0088303901440093E-2</v>
      </c>
      <c r="M571" s="414">
        <v>1848.3599850000001</v>
      </c>
      <c r="N571" s="31">
        <f t="shared" si="29"/>
        <v>8.9411484725941074E-3</v>
      </c>
      <c r="Q571" s="34"/>
      <c r="R571" s="23"/>
      <c r="S571" s="34"/>
      <c r="T571" s="23"/>
      <c r="U571" s="2"/>
      <c r="W571" s="34"/>
      <c r="X571" s="23"/>
      <c r="Y571" s="34"/>
      <c r="Z571" s="23"/>
      <c r="AA571" s="2"/>
      <c r="AC571" s="244"/>
    </row>
    <row r="572" spans="10:29">
      <c r="J572" s="412">
        <v>41641</v>
      </c>
      <c r="K572" s="413">
        <v>15.203745</v>
      </c>
      <c r="L572" s="30">
        <f t="shared" si="28"/>
        <v>1.2125067577656648E-2</v>
      </c>
      <c r="M572" s="414">
        <v>1831.9799800000001</v>
      </c>
      <c r="N572" s="31">
        <f t="shared" si="29"/>
        <v>3.3307578570438003E-4</v>
      </c>
      <c r="Q572" s="34"/>
      <c r="R572" s="23"/>
      <c r="S572" s="34"/>
      <c r="T572" s="23"/>
      <c r="U572" s="2"/>
      <c r="W572" s="34"/>
      <c r="X572" s="23"/>
      <c r="Y572" s="34"/>
      <c r="Z572" s="23"/>
      <c r="AA572" s="2"/>
      <c r="AC572" s="244"/>
    </row>
    <row r="573" spans="10:29">
      <c r="J573" s="412">
        <v>41642</v>
      </c>
      <c r="K573" s="413">
        <v>15.021606999999999</v>
      </c>
      <c r="L573" s="30">
        <f t="shared" si="28"/>
        <v>-1.3224205766594844E-2</v>
      </c>
      <c r="M573" s="414">
        <v>1831.369995</v>
      </c>
      <c r="N573" s="31">
        <f t="shared" si="29"/>
        <v>2.5180920146697428E-3</v>
      </c>
      <c r="Q573" s="34"/>
      <c r="R573" s="23"/>
      <c r="S573" s="34"/>
      <c r="T573" s="23"/>
      <c r="U573" s="2"/>
      <c r="W573" s="34"/>
      <c r="X573" s="23"/>
      <c r="Y573" s="34"/>
      <c r="Z573" s="23"/>
      <c r="AA573" s="2"/>
      <c r="AC573" s="244"/>
    </row>
    <row r="574" spans="10:29">
      <c r="J574" s="412">
        <v>41645</v>
      </c>
      <c r="K574" s="413">
        <v>15.222918</v>
      </c>
      <c r="L574" s="30">
        <f t="shared" si="28"/>
        <v>-1.6108999396916721E-2</v>
      </c>
      <c r="M574" s="414">
        <v>1826.7700199999999</v>
      </c>
      <c r="N574" s="31">
        <f t="shared" si="29"/>
        <v>-6.0450002011965152E-3</v>
      </c>
      <c r="Q574" s="34"/>
      <c r="R574" s="23"/>
      <c r="S574" s="34"/>
      <c r="T574" s="23"/>
      <c r="U574" s="2"/>
      <c r="W574" s="34"/>
      <c r="X574" s="23"/>
      <c r="Y574" s="34"/>
      <c r="Z574" s="23"/>
      <c r="AA574" s="2"/>
      <c r="AC574" s="244"/>
    </row>
    <row r="575" spans="10:29">
      <c r="J575" s="412">
        <v>41646</v>
      </c>
      <c r="K575" s="413">
        <v>15.472159</v>
      </c>
      <c r="L575" s="30">
        <f t="shared" si="28"/>
        <v>-1.3447505801961968E-2</v>
      </c>
      <c r="M575" s="414">
        <v>1837.880005</v>
      </c>
      <c r="N575" s="31">
        <f t="shared" si="29"/>
        <v>2.1225421750457998E-4</v>
      </c>
      <c r="Q575" s="34"/>
      <c r="R575" s="23"/>
      <c r="S575" s="34"/>
      <c r="T575" s="23"/>
      <c r="U575" s="2"/>
      <c r="W575" s="34"/>
      <c r="X575" s="23"/>
      <c r="Y575" s="34"/>
      <c r="Z575" s="23"/>
      <c r="AA575" s="2"/>
      <c r="AC575" s="244"/>
    </row>
    <row r="576" spans="10:29">
      <c r="J576" s="412">
        <v>41647</v>
      </c>
      <c r="K576" s="413">
        <v>15.683057</v>
      </c>
      <c r="L576" s="30">
        <f t="shared" si="28"/>
        <v>3.8730195862486959E-2</v>
      </c>
      <c r="M576" s="414">
        <v>1837.48999</v>
      </c>
      <c r="N576" s="31">
        <f t="shared" si="29"/>
        <v>-3.4818810326745549E-4</v>
      </c>
      <c r="Q576" s="34"/>
      <c r="R576" s="23"/>
      <c r="S576" s="34"/>
      <c r="T576" s="23"/>
      <c r="U576" s="2"/>
      <c r="W576" s="34"/>
      <c r="X576" s="23"/>
      <c r="Y576" s="34"/>
      <c r="Z576" s="23"/>
      <c r="AA576" s="2"/>
      <c r="AC576" s="244"/>
    </row>
    <row r="577" spans="10:29">
      <c r="J577" s="412">
        <v>41648</v>
      </c>
      <c r="K577" s="413">
        <v>15.098297000000001</v>
      </c>
      <c r="L577" s="30">
        <f t="shared" si="28"/>
        <v>1.2714929594053559E-3</v>
      </c>
      <c r="M577" s="414">
        <v>1838.130005</v>
      </c>
      <c r="N577" s="31">
        <f t="shared" si="29"/>
        <v>-2.3013781224764432E-3</v>
      </c>
      <c r="Q577" s="34"/>
      <c r="R577" s="23"/>
      <c r="S577" s="34"/>
      <c r="T577" s="23"/>
      <c r="U577" s="2"/>
      <c r="W577" s="34"/>
      <c r="X577" s="23"/>
      <c r="Y577" s="34"/>
      <c r="Z577" s="23"/>
      <c r="AA577" s="2"/>
      <c r="AC577" s="244"/>
    </row>
    <row r="578" spans="10:29">
      <c r="J578" s="412">
        <v>41649</v>
      </c>
      <c r="K578" s="413">
        <v>15.079124</v>
      </c>
      <c r="L578" s="30">
        <f t="shared" si="28"/>
        <v>2.4088532027784545E-2</v>
      </c>
      <c r="M578" s="414">
        <v>1842.369995</v>
      </c>
      <c r="N578" s="31">
        <f t="shared" si="29"/>
        <v>1.2736392163634112E-2</v>
      </c>
      <c r="Q578" s="34"/>
      <c r="R578" s="23"/>
      <c r="S578" s="34"/>
      <c r="T578" s="23"/>
      <c r="U578" s="2"/>
      <c r="W578" s="34"/>
      <c r="X578" s="23"/>
      <c r="Y578" s="34"/>
      <c r="Z578" s="23"/>
      <c r="AA578" s="2"/>
      <c r="AC578" s="244"/>
    </row>
    <row r="579" spans="10:29">
      <c r="J579" s="412">
        <v>41652</v>
      </c>
      <c r="K579" s="413">
        <v>14.724434</v>
      </c>
      <c r="L579" s="30">
        <f t="shared" si="28"/>
        <v>-3.0303058242072387E-2</v>
      </c>
      <c r="M579" s="414">
        <v>1819.1999510000001</v>
      </c>
      <c r="N579" s="31">
        <f t="shared" si="29"/>
        <v>-1.0702195872753496E-2</v>
      </c>
      <c r="Q579" s="34"/>
      <c r="R579" s="23"/>
      <c r="S579" s="34"/>
      <c r="T579" s="23"/>
      <c r="U579" s="2"/>
      <c r="W579" s="34"/>
      <c r="X579" s="23"/>
      <c r="Y579" s="34"/>
      <c r="Z579" s="23"/>
      <c r="AA579" s="2"/>
      <c r="AC579" s="244"/>
    </row>
    <row r="580" spans="10:29">
      <c r="J580" s="412">
        <v>41653</v>
      </c>
      <c r="K580" s="413">
        <v>15.184573</v>
      </c>
      <c r="L580" s="30">
        <f t="shared" si="28"/>
        <v>-1.0618379923973418E-2</v>
      </c>
      <c r="M580" s="414">
        <v>1838.880005</v>
      </c>
      <c r="N580" s="31">
        <f t="shared" si="29"/>
        <v>-5.1396357752744679E-3</v>
      </c>
      <c r="Q580" s="34"/>
      <c r="R580" s="23"/>
      <c r="S580" s="34"/>
      <c r="T580" s="23"/>
      <c r="U580" s="2"/>
      <c r="W580" s="34"/>
      <c r="X580" s="23"/>
      <c r="Y580" s="34"/>
      <c r="Z580" s="23"/>
      <c r="AA580" s="2"/>
      <c r="AC580" s="244"/>
    </row>
    <row r="581" spans="10:29">
      <c r="J581" s="412">
        <v>41654</v>
      </c>
      <c r="K581" s="413">
        <v>15.347538999999999</v>
      </c>
      <c r="L581" s="30">
        <f t="shared" si="28"/>
        <v>-3.1132536462514337E-3</v>
      </c>
      <c r="M581" s="414">
        <v>1848.380005</v>
      </c>
      <c r="N581" s="31">
        <f t="shared" si="29"/>
        <v>1.348937358003984E-3</v>
      </c>
      <c r="Q581" s="34"/>
      <c r="R581" s="23"/>
      <c r="S581" s="34"/>
      <c r="T581" s="23"/>
      <c r="U581" s="2"/>
      <c r="W581" s="34"/>
      <c r="X581" s="23"/>
      <c r="Y581" s="34"/>
      <c r="Z581" s="23"/>
      <c r="AA581" s="2"/>
      <c r="AC581" s="244"/>
    </row>
    <row r="582" spans="10:29">
      <c r="J582" s="412">
        <v>41655</v>
      </c>
      <c r="K582" s="413">
        <v>15.395469</v>
      </c>
      <c r="L582" s="30">
        <f t="shared" si="28"/>
        <v>4.3777007934178679E-3</v>
      </c>
      <c r="M582" s="414">
        <v>1845.8900149999999</v>
      </c>
      <c r="N582" s="31">
        <f t="shared" si="29"/>
        <v>3.9104063695055225E-3</v>
      </c>
      <c r="Q582" s="34"/>
      <c r="R582" s="23"/>
      <c r="S582" s="34"/>
      <c r="T582" s="23"/>
      <c r="U582" s="2"/>
      <c r="W582" s="34"/>
      <c r="X582" s="23"/>
      <c r="Y582" s="34"/>
      <c r="Z582" s="23"/>
      <c r="AA582" s="2"/>
      <c r="AC582" s="244"/>
    </row>
    <row r="583" spans="10:29">
      <c r="J583" s="412">
        <v>41656</v>
      </c>
      <c r="K583" s="413">
        <v>15.328366000000001</v>
      </c>
      <c r="L583" s="30">
        <f t="shared" si="28"/>
        <v>-3.7382969830200147E-3</v>
      </c>
      <c r="M583" s="414">
        <v>1838.6999510000001</v>
      </c>
      <c r="N583" s="31">
        <f t="shared" si="29"/>
        <v>-2.7660797616129626E-3</v>
      </c>
      <c r="Q583" s="34"/>
      <c r="R583" s="23"/>
      <c r="S583" s="34"/>
      <c r="T583" s="23"/>
      <c r="U583" s="2"/>
      <c r="W583" s="34"/>
      <c r="X583" s="23"/>
      <c r="Y583" s="34"/>
      <c r="Z583" s="23"/>
      <c r="AA583" s="2"/>
      <c r="AC583" s="244"/>
    </row>
    <row r="584" spans="10:29">
      <c r="J584" s="412">
        <v>41660</v>
      </c>
      <c r="K584" s="413">
        <v>15.385883</v>
      </c>
      <c r="L584" s="30">
        <f t="shared" ref="L584:L647" si="30">(K584-K585)/K585</f>
        <v>1.2475668184579792E-3</v>
      </c>
      <c r="M584" s="414">
        <v>1843.8000489999999</v>
      </c>
      <c r="N584" s="31">
        <f t="shared" si="29"/>
        <v>-5.7453465770742869E-4</v>
      </c>
      <c r="Q584" s="34"/>
      <c r="R584" s="23"/>
      <c r="S584" s="34"/>
      <c r="T584" s="23"/>
      <c r="U584" s="2"/>
      <c r="W584" s="34"/>
      <c r="X584" s="23"/>
      <c r="Y584" s="34"/>
      <c r="Z584" s="23"/>
      <c r="AA584" s="2"/>
      <c r="AC584" s="244"/>
    </row>
    <row r="585" spans="10:29">
      <c r="J585" s="412">
        <v>41661</v>
      </c>
      <c r="K585" s="413">
        <v>15.366712</v>
      </c>
      <c r="L585" s="30">
        <f t="shared" si="30"/>
        <v>3.7570887141413164E-3</v>
      </c>
      <c r="M585" s="414">
        <v>1844.8599850000001</v>
      </c>
      <c r="N585" s="31">
        <f t="shared" si="29"/>
        <v>8.9693098836196115E-3</v>
      </c>
      <c r="Q585" s="34"/>
      <c r="R585" s="23"/>
      <c r="S585" s="34"/>
      <c r="T585" s="23"/>
      <c r="U585" s="2"/>
      <c r="W585" s="34"/>
      <c r="X585" s="23"/>
      <c r="Y585" s="34"/>
      <c r="Z585" s="23"/>
      <c r="AA585" s="2"/>
      <c r="AC585" s="244"/>
    </row>
    <row r="586" spans="10:29">
      <c r="J586" s="412">
        <v>41662</v>
      </c>
      <c r="K586" s="413">
        <v>15.309194</v>
      </c>
      <c r="L586" s="30">
        <f t="shared" si="30"/>
        <v>2.6349611853829082E-2</v>
      </c>
      <c r="M586" s="414">
        <v>1828.459961</v>
      </c>
      <c r="N586" s="31">
        <f t="shared" ref="N586:N649" si="31">(M586-M587)/M587</f>
        <v>2.1320524143294998E-2</v>
      </c>
      <c r="Q586" s="34"/>
      <c r="R586" s="23"/>
      <c r="S586" s="34"/>
      <c r="T586" s="23"/>
      <c r="U586" s="2"/>
      <c r="W586" s="34"/>
      <c r="X586" s="23"/>
      <c r="Y586" s="34"/>
      <c r="Z586" s="23"/>
      <c r="AA586" s="2"/>
      <c r="AC586" s="244"/>
    </row>
    <row r="587" spans="10:29">
      <c r="J587" s="412">
        <v>41663</v>
      </c>
      <c r="K587" s="413">
        <v>14.916159</v>
      </c>
      <c r="L587" s="30">
        <f t="shared" si="30"/>
        <v>6.4682914249289559E-3</v>
      </c>
      <c r="M587" s="414">
        <v>1790.290039</v>
      </c>
      <c r="N587" s="31">
        <f t="shared" si="31"/>
        <v>4.9001884364764312E-3</v>
      </c>
      <c r="Q587" s="34"/>
      <c r="R587" s="23"/>
      <c r="S587" s="34"/>
      <c r="T587" s="23"/>
      <c r="U587" s="2"/>
      <c r="W587" s="34"/>
      <c r="X587" s="23"/>
      <c r="Y587" s="34"/>
      <c r="Z587" s="23"/>
      <c r="AA587" s="2"/>
      <c r="AC587" s="244"/>
    </row>
    <row r="588" spans="10:29">
      <c r="J588" s="412">
        <v>41666</v>
      </c>
      <c r="K588" s="413">
        <v>14.820297</v>
      </c>
      <c r="L588" s="30">
        <f t="shared" si="30"/>
        <v>-9.6092044354184249E-3</v>
      </c>
      <c r="M588" s="414">
        <v>1781.5600589999999</v>
      </c>
      <c r="N588" s="31">
        <f t="shared" si="31"/>
        <v>-6.1031748953975394E-3</v>
      </c>
      <c r="Q588" s="34"/>
      <c r="R588" s="23"/>
      <c r="S588" s="34"/>
      <c r="T588" s="23"/>
      <c r="U588" s="2"/>
      <c r="W588" s="34"/>
      <c r="X588" s="23"/>
      <c r="Y588" s="34"/>
      <c r="Z588" s="23"/>
      <c r="AA588" s="2"/>
      <c r="AC588" s="244"/>
    </row>
    <row r="589" spans="10:29">
      <c r="J589" s="412">
        <v>41667</v>
      </c>
      <c r="K589" s="413">
        <v>14.964090000000001</v>
      </c>
      <c r="L589" s="30">
        <f t="shared" si="30"/>
        <v>9.7024371373934347E-3</v>
      </c>
      <c r="M589" s="414">
        <v>1792.5</v>
      </c>
      <c r="N589" s="31">
        <f t="shared" si="31"/>
        <v>1.0314535850192876E-2</v>
      </c>
      <c r="Q589" s="34"/>
      <c r="R589" s="23"/>
      <c r="S589" s="34"/>
      <c r="T589" s="23"/>
      <c r="U589" s="2"/>
      <c r="W589" s="34"/>
      <c r="X589" s="23"/>
      <c r="Y589" s="34"/>
      <c r="Z589" s="23"/>
      <c r="AA589" s="2"/>
      <c r="AC589" s="244"/>
    </row>
    <row r="590" spans="10:29">
      <c r="J590" s="412">
        <v>41668</v>
      </c>
      <c r="K590" s="413">
        <v>14.820297</v>
      </c>
      <c r="L590" s="30">
        <f t="shared" si="30"/>
        <v>-1.6539457510943142E-2</v>
      </c>
      <c r="M590" s="414">
        <v>1774.1999510000001</v>
      </c>
      <c r="N590" s="31">
        <f t="shared" si="31"/>
        <v>-1.1141512692272993E-2</v>
      </c>
      <c r="Q590" s="34"/>
      <c r="R590" s="23"/>
      <c r="S590" s="34"/>
      <c r="T590" s="23"/>
      <c r="U590" s="2"/>
      <c r="W590" s="34"/>
      <c r="X590" s="23"/>
      <c r="Y590" s="34"/>
      <c r="Z590" s="23"/>
      <c r="AA590" s="2"/>
      <c r="AC590" s="244"/>
    </row>
    <row r="591" spans="10:29">
      <c r="J591" s="412">
        <v>41669</v>
      </c>
      <c r="K591" s="413">
        <v>15.069539000000001</v>
      </c>
      <c r="L591" s="30">
        <f t="shared" si="30"/>
        <v>1.2739225079310581E-3</v>
      </c>
      <c r="M591" s="414">
        <v>1794.1899410000001</v>
      </c>
      <c r="N591" s="31">
        <f t="shared" si="31"/>
        <v>6.5073714209384738E-3</v>
      </c>
      <c r="Q591" s="34"/>
      <c r="R591" s="23"/>
      <c r="S591" s="34"/>
      <c r="T591" s="23"/>
      <c r="U591" s="2"/>
      <c r="W591" s="34"/>
      <c r="X591" s="23"/>
      <c r="Y591" s="34"/>
      <c r="Z591" s="23"/>
      <c r="AA591" s="2"/>
      <c r="AC591" s="244"/>
    </row>
    <row r="592" spans="10:29">
      <c r="J592" s="412">
        <v>41670</v>
      </c>
      <c r="K592" s="413">
        <v>15.050366</v>
      </c>
      <c r="L592" s="30">
        <f t="shared" si="30"/>
        <v>1.3557159024597892E-2</v>
      </c>
      <c r="M592" s="414">
        <v>1782.589966</v>
      </c>
      <c r="N592" s="31">
        <f t="shared" si="31"/>
        <v>2.3365396580449459E-2</v>
      </c>
      <c r="Q592" s="34"/>
      <c r="R592" s="23"/>
      <c r="S592" s="34"/>
      <c r="T592" s="23"/>
      <c r="U592" s="2"/>
      <c r="W592" s="34"/>
      <c r="X592" s="23"/>
      <c r="Y592" s="34"/>
      <c r="Z592" s="23"/>
      <c r="AA592" s="2"/>
      <c r="AC592" s="244"/>
    </row>
    <row r="593" spans="10:29">
      <c r="J593" s="412">
        <v>41673</v>
      </c>
      <c r="K593" s="413">
        <v>14.849055</v>
      </c>
      <c r="L593" s="30">
        <f t="shared" si="30"/>
        <v>-5.7766379600157373E-3</v>
      </c>
      <c r="M593" s="414">
        <v>1741.8900149999999</v>
      </c>
      <c r="N593" s="31">
        <f t="shared" si="31"/>
        <v>-7.5831451524465696E-3</v>
      </c>
      <c r="Q593" s="34"/>
      <c r="R593" s="23"/>
      <c r="S593" s="34"/>
      <c r="T593" s="23"/>
      <c r="U593" s="2"/>
      <c r="W593" s="34"/>
      <c r="X593" s="23"/>
      <c r="Y593" s="34"/>
      <c r="Z593" s="23"/>
      <c r="AA593" s="2"/>
      <c r="AC593" s="244"/>
    </row>
    <row r="594" spans="10:29">
      <c r="J594" s="412">
        <v>41674</v>
      </c>
      <c r="K594" s="413">
        <v>14.935331</v>
      </c>
      <c r="L594" s="30">
        <f t="shared" si="30"/>
        <v>9.0673519119223618E-3</v>
      </c>
      <c r="M594" s="414">
        <v>1755.1999510000001</v>
      </c>
      <c r="N594" s="31">
        <f t="shared" si="31"/>
        <v>2.0323445282791779E-3</v>
      </c>
      <c r="Q594" s="34"/>
      <c r="R594" s="23"/>
      <c r="S594" s="34"/>
      <c r="T594" s="23"/>
      <c r="U594" s="2"/>
      <c r="W594" s="34"/>
      <c r="X594" s="23"/>
      <c r="Y594" s="34"/>
      <c r="Z594" s="23"/>
      <c r="AA594" s="2"/>
      <c r="AC594" s="244"/>
    </row>
    <row r="595" spans="10:29">
      <c r="J595" s="412">
        <v>41675</v>
      </c>
      <c r="K595" s="413">
        <v>14.801124</v>
      </c>
      <c r="L595" s="30">
        <f t="shared" si="30"/>
        <v>-1.2787763019556852E-2</v>
      </c>
      <c r="M595" s="414">
        <v>1751.6400149999999</v>
      </c>
      <c r="N595" s="31">
        <f t="shared" si="31"/>
        <v>-1.2286945826170136E-2</v>
      </c>
      <c r="Q595" s="34"/>
      <c r="R595" s="23"/>
      <c r="S595" s="34"/>
      <c r="T595" s="23"/>
      <c r="U595" s="2"/>
      <c r="W595" s="34"/>
      <c r="X595" s="23"/>
      <c r="Y595" s="34"/>
      <c r="Z595" s="23"/>
      <c r="AA595" s="2"/>
      <c r="AC595" s="244"/>
    </row>
    <row r="596" spans="10:29">
      <c r="J596" s="412">
        <v>41676</v>
      </c>
      <c r="K596" s="413">
        <v>14.992849</v>
      </c>
      <c r="L596" s="30">
        <f t="shared" si="30"/>
        <v>-1.4492748860013031E-2</v>
      </c>
      <c r="M596" s="414">
        <v>1773.4300539999999</v>
      </c>
      <c r="N596" s="31">
        <f t="shared" si="31"/>
        <v>-1.3127269444666512E-2</v>
      </c>
      <c r="Q596" s="34"/>
      <c r="R596" s="23"/>
      <c r="S596" s="34"/>
      <c r="T596" s="23"/>
      <c r="U596" s="2"/>
      <c r="W596" s="34"/>
      <c r="X596" s="23"/>
      <c r="Y596" s="34"/>
      <c r="Z596" s="23"/>
      <c r="AA596" s="2"/>
      <c r="AC596" s="244"/>
    </row>
    <row r="597" spans="10:29">
      <c r="J597" s="412">
        <v>41677</v>
      </c>
      <c r="K597" s="413">
        <v>15.213331999999999</v>
      </c>
      <c r="L597" s="30">
        <f t="shared" si="30"/>
        <v>-3.1406968086455339E-3</v>
      </c>
      <c r="M597" s="414">
        <v>1797.0200199999999</v>
      </c>
      <c r="N597" s="31">
        <f t="shared" si="31"/>
        <v>-1.5667759652360517E-3</v>
      </c>
      <c r="Q597" s="34"/>
      <c r="R597" s="23"/>
      <c r="S597" s="34"/>
      <c r="T597" s="23"/>
      <c r="U597" s="2"/>
      <c r="W597" s="34"/>
      <c r="X597" s="23"/>
      <c r="Y597" s="34"/>
      <c r="Z597" s="23"/>
      <c r="AA597" s="2"/>
      <c r="AC597" s="244"/>
    </row>
    <row r="598" spans="10:29">
      <c r="J598" s="412">
        <v>41680</v>
      </c>
      <c r="K598" s="413">
        <v>15.261263</v>
      </c>
      <c r="L598" s="30">
        <f t="shared" si="30"/>
        <v>-2.0307674965244993E-2</v>
      </c>
      <c r="M598" s="414">
        <v>1799.839966</v>
      </c>
      <c r="N598" s="31">
        <f t="shared" si="31"/>
        <v>-1.0941082016760542E-2</v>
      </c>
      <c r="Q598" s="34"/>
      <c r="R598" s="23"/>
      <c r="S598" s="34"/>
      <c r="T598" s="23"/>
      <c r="U598" s="2"/>
      <c r="W598" s="34"/>
      <c r="X598" s="23"/>
      <c r="Y598" s="34"/>
      <c r="Z598" s="23"/>
      <c r="AA598" s="2"/>
      <c r="AC598" s="244"/>
    </row>
    <row r="599" spans="10:29">
      <c r="J599" s="412">
        <v>41681</v>
      </c>
      <c r="K599" s="413">
        <v>15.577608</v>
      </c>
      <c r="L599" s="30">
        <f t="shared" si="30"/>
        <v>-3.4462283051485888E-2</v>
      </c>
      <c r="M599" s="414">
        <v>1819.75</v>
      </c>
      <c r="N599" s="31">
        <f t="shared" si="31"/>
        <v>2.6933478299236309E-4</v>
      </c>
      <c r="Q599" s="34"/>
      <c r="R599" s="23"/>
      <c r="S599" s="34"/>
      <c r="T599" s="23"/>
      <c r="U599" s="2"/>
      <c r="W599" s="34"/>
      <c r="X599" s="23"/>
      <c r="Y599" s="34"/>
      <c r="Z599" s="23"/>
      <c r="AA599" s="2"/>
      <c r="AC599" s="244"/>
    </row>
    <row r="600" spans="10:29">
      <c r="J600" s="412">
        <v>41682</v>
      </c>
      <c r="K600" s="413">
        <v>16.133609</v>
      </c>
      <c r="L600" s="30">
        <f t="shared" si="30"/>
        <v>-3.0529972366370006E-2</v>
      </c>
      <c r="M600" s="414">
        <v>1819.26001</v>
      </c>
      <c r="N600" s="31">
        <f t="shared" si="31"/>
        <v>-5.7764635262097944E-3</v>
      </c>
      <c r="Q600" s="34"/>
      <c r="R600" s="23"/>
      <c r="S600" s="34"/>
      <c r="T600" s="23"/>
      <c r="U600" s="2"/>
      <c r="W600" s="34"/>
      <c r="X600" s="23"/>
      <c r="Y600" s="34"/>
      <c r="Z600" s="23"/>
      <c r="AA600" s="2"/>
      <c r="AC600" s="244"/>
    </row>
    <row r="601" spans="10:29">
      <c r="J601" s="412">
        <v>41683</v>
      </c>
      <c r="K601" s="413">
        <v>16.641679</v>
      </c>
      <c r="L601" s="30">
        <f t="shared" si="30"/>
        <v>-3.070909348351018E-2</v>
      </c>
      <c r="M601" s="414">
        <v>1829.829956</v>
      </c>
      <c r="N601" s="31">
        <f t="shared" si="31"/>
        <v>-4.7861989503428914E-3</v>
      </c>
      <c r="Q601" s="34"/>
      <c r="R601" s="23"/>
      <c r="S601" s="34"/>
      <c r="T601" s="23"/>
      <c r="U601" s="2"/>
      <c r="W601" s="34"/>
      <c r="X601" s="23"/>
      <c r="Y601" s="34"/>
      <c r="Z601" s="23"/>
      <c r="AA601" s="2"/>
      <c r="AC601" s="244"/>
    </row>
    <row r="602" spans="10:29">
      <c r="J602" s="412">
        <v>41684</v>
      </c>
      <c r="K602" s="413">
        <v>17.168921000000001</v>
      </c>
      <c r="L602" s="30">
        <f t="shared" si="30"/>
        <v>5.5870466767531828E-4</v>
      </c>
      <c r="M602" s="414">
        <v>1838.630005</v>
      </c>
      <c r="N602" s="31">
        <f t="shared" si="31"/>
        <v>-1.1571334603254354E-3</v>
      </c>
      <c r="Q602" s="34"/>
      <c r="R602" s="23"/>
      <c r="S602" s="34"/>
      <c r="T602" s="23"/>
      <c r="U602" s="2"/>
      <c r="W602" s="34"/>
      <c r="X602" s="23"/>
      <c r="Y602" s="34"/>
      <c r="Z602" s="23"/>
      <c r="AA602" s="2"/>
      <c r="AC602" s="244"/>
    </row>
    <row r="603" spans="10:29">
      <c r="J603" s="412">
        <v>41688</v>
      </c>
      <c r="K603" s="413">
        <v>17.159334000000001</v>
      </c>
      <c r="L603" s="30">
        <f t="shared" si="30"/>
        <v>-1.3230413948080924E-2</v>
      </c>
      <c r="M603" s="414">
        <v>1840.76001</v>
      </c>
      <c r="N603" s="31">
        <f t="shared" si="31"/>
        <v>6.5673328776486486E-3</v>
      </c>
      <c r="Q603" s="34"/>
      <c r="R603" s="23"/>
      <c r="S603" s="34"/>
      <c r="T603" s="23"/>
      <c r="U603" s="2"/>
      <c r="W603" s="34"/>
      <c r="X603" s="23"/>
      <c r="Y603" s="34"/>
      <c r="Z603" s="23"/>
      <c r="AA603" s="2"/>
      <c r="AC603" s="244"/>
    </row>
    <row r="604" spans="10:29">
      <c r="J604" s="412">
        <v>41689</v>
      </c>
      <c r="K604" s="413">
        <v>17.389403000000001</v>
      </c>
      <c r="L604" s="30">
        <f t="shared" si="30"/>
        <v>-3.4078910408048606E-2</v>
      </c>
      <c r="M604" s="414">
        <v>1828.75</v>
      </c>
      <c r="N604" s="31">
        <f t="shared" si="31"/>
        <v>-5.9952977128441328E-3</v>
      </c>
      <c r="Q604" s="34"/>
      <c r="R604" s="23"/>
      <c r="S604" s="34"/>
      <c r="T604" s="23"/>
      <c r="U604" s="2"/>
      <c r="W604" s="34"/>
      <c r="X604" s="23"/>
      <c r="Y604" s="34"/>
      <c r="Z604" s="23"/>
      <c r="AA604" s="2"/>
      <c r="AC604" s="244"/>
    </row>
    <row r="605" spans="10:29">
      <c r="J605" s="412">
        <v>41690</v>
      </c>
      <c r="K605" s="413">
        <v>18.002922999999999</v>
      </c>
      <c r="L605" s="30">
        <f t="shared" si="30"/>
        <v>7.5108370977339757E-3</v>
      </c>
      <c r="M605" s="414">
        <v>1839.780029</v>
      </c>
      <c r="N605" s="31">
        <f t="shared" si="31"/>
        <v>1.9224119809394217E-3</v>
      </c>
      <c r="Q605" s="34"/>
      <c r="R605" s="23"/>
      <c r="S605" s="34"/>
      <c r="T605" s="23"/>
      <c r="U605" s="2"/>
      <c r="W605" s="34"/>
      <c r="X605" s="23"/>
      <c r="Y605" s="34"/>
      <c r="Z605" s="23"/>
      <c r="AA605" s="2"/>
      <c r="AC605" s="244"/>
    </row>
    <row r="606" spans="10:29">
      <c r="J606" s="412">
        <v>41691</v>
      </c>
      <c r="K606" s="413">
        <v>17.868714000000001</v>
      </c>
      <c r="L606" s="30">
        <f t="shared" si="30"/>
        <v>-1.4278217406517732E-2</v>
      </c>
      <c r="M606" s="414">
        <v>1836.25</v>
      </c>
      <c r="N606" s="31">
        <f t="shared" si="31"/>
        <v>-6.148475648122269E-3</v>
      </c>
      <c r="Q606" s="34"/>
      <c r="R606" s="23"/>
      <c r="S606" s="34"/>
      <c r="T606" s="23"/>
      <c r="U606" s="2"/>
      <c r="W606" s="34"/>
      <c r="X606" s="23"/>
      <c r="Y606" s="34"/>
      <c r="Z606" s="23"/>
      <c r="AA606" s="2"/>
      <c r="AC606" s="244"/>
    </row>
    <row r="607" spans="10:29">
      <c r="J607" s="412">
        <v>41694</v>
      </c>
      <c r="K607" s="413">
        <v>18.127542999999999</v>
      </c>
      <c r="L607" s="30">
        <f t="shared" si="30"/>
        <v>4.535763992868788E-3</v>
      </c>
      <c r="M607" s="414">
        <v>1847.6099850000001</v>
      </c>
      <c r="N607" s="31">
        <f t="shared" si="31"/>
        <v>1.3495003071602584E-3</v>
      </c>
      <c r="Q607" s="34"/>
      <c r="R607" s="23"/>
      <c r="S607" s="34"/>
      <c r="T607" s="23"/>
      <c r="U607" s="2"/>
      <c r="W607" s="34"/>
      <c r="X607" s="23"/>
      <c r="Y607" s="34"/>
      <c r="Z607" s="23"/>
      <c r="AA607" s="2"/>
      <c r="AC607" s="244"/>
    </row>
    <row r="608" spans="10:29">
      <c r="J608" s="412">
        <v>41695</v>
      </c>
      <c r="K608" s="413">
        <v>18.045691999999999</v>
      </c>
      <c r="L608" s="30">
        <f t="shared" si="30"/>
        <v>1.6035032188287648E-3</v>
      </c>
      <c r="M608" s="414">
        <v>1845.119995</v>
      </c>
      <c r="N608" s="31">
        <f t="shared" si="31"/>
        <v>-2.1699472816556161E-5</v>
      </c>
      <c r="Q608" s="34"/>
      <c r="R608" s="23"/>
      <c r="S608" s="34"/>
      <c r="T608" s="23"/>
      <c r="U608" s="2"/>
      <c r="W608" s="34"/>
      <c r="X608" s="23"/>
      <c r="Y608" s="34"/>
      <c r="Z608" s="23"/>
      <c r="AA608" s="2"/>
      <c r="AC608" s="244"/>
    </row>
    <row r="609" spans="10:29">
      <c r="J609" s="412">
        <v>41696</v>
      </c>
      <c r="K609" s="413">
        <v>18.016801999999998</v>
      </c>
      <c r="L609" s="30">
        <f t="shared" si="30"/>
        <v>1.1351261415927448E-2</v>
      </c>
      <c r="M609" s="414">
        <v>1845.160034</v>
      </c>
      <c r="N609" s="31">
        <f t="shared" si="31"/>
        <v>-4.9237200265195317E-3</v>
      </c>
      <c r="Q609" s="34"/>
      <c r="R609" s="23"/>
      <c r="S609" s="34"/>
      <c r="T609" s="23"/>
      <c r="U609" s="2"/>
      <c r="W609" s="34"/>
      <c r="X609" s="23"/>
      <c r="Y609" s="34"/>
      <c r="Z609" s="23"/>
      <c r="AA609" s="2"/>
      <c r="AC609" s="244"/>
    </row>
    <row r="610" spans="10:29">
      <c r="J610" s="412">
        <v>41697</v>
      </c>
      <c r="K610" s="413">
        <v>17.814584</v>
      </c>
      <c r="L610" s="30">
        <f t="shared" si="30"/>
        <v>6.5288892401950708E-3</v>
      </c>
      <c r="M610" s="414">
        <v>1854.290039</v>
      </c>
      <c r="N610" s="31">
        <f t="shared" si="31"/>
        <v>-2.774966864381109E-3</v>
      </c>
      <c r="Q610" s="34"/>
      <c r="R610" s="23"/>
      <c r="S610" s="34"/>
      <c r="T610" s="23"/>
      <c r="U610" s="2"/>
      <c r="W610" s="34"/>
      <c r="X610" s="23"/>
      <c r="Y610" s="34"/>
      <c r="Z610" s="23"/>
      <c r="AA610" s="2"/>
      <c r="AC610" s="244"/>
    </row>
    <row r="611" spans="10:29">
      <c r="J611" s="412">
        <v>41698</v>
      </c>
      <c r="K611" s="413">
        <v>17.699028999999999</v>
      </c>
      <c r="L611" s="30">
        <f t="shared" si="30"/>
        <v>4.9206338842057249E-3</v>
      </c>
      <c r="M611" s="414">
        <v>1859.4499510000001</v>
      </c>
      <c r="N611" s="31">
        <f t="shared" si="31"/>
        <v>7.4333576138802199E-3</v>
      </c>
      <c r="Q611" s="34"/>
      <c r="R611" s="23"/>
      <c r="S611" s="34"/>
      <c r="T611" s="23"/>
      <c r="U611" s="2"/>
      <c r="W611" s="34"/>
      <c r="X611" s="23"/>
      <c r="Y611" s="34"/>
      <c r="Z611" s="23"/>
      <c r="AA611" s="2"/>
      <c r="AC611" s="244"/>
    </row>
    <row r="612" spans="10:29">
      <c r="J612" s="412">
        <v>41701</v>
      </c>
      <c r="K612" s="413">
        <v>17.612365</v>
      </c>
      <c r="L612" s="30">
        <f t="shared" si="30"/>
        <v>-1.0281296367517687E-2</v>
      </c>
      <c r="M612" s="414">
        <v>1845.7299800000001</v>
      </c>
      <c r="N612" s="31">
        <f t="shared" si="31"/>
        <v>-1.5038104011774521E-2</v>
      </c>
      <c r="Q612" s="34"/>
      <c r="R612" s="23"/>
      <c r="S612" s="34"/>
      <c r="T612" s="23"/>
      <c r="U612" s="2"/>
      <c r="W612" s="34"/>
      <c r="X612" s="23"/>
      <c r="Y612" s="34"/>
      <c r="Z612" s="23"/>
      <c r="AA612" s="2"/>
      <c r="AC612" s="244"/>
    </row>
    <row r="613" spans="10:29">
      <c r="J613" s="412">
        <v>41702</v>
      </c>
      <c r="K613" s="413">
        <v>17.795324000000001</v>
      </c>
      <c r="L613" s="30">
        <f t="shared" si="30"/>
        <v>-8.5836871613952544E-3</v>
      </c>
      <c r="M613" s="414">
        <v>1873.910034</v>
      </c>
      <c r="N613" s="31">
        <f t="shared" si="31"/>
        <v>5.3353860237808588E-5</v>
      </c>
      <c r="Q613" s="34"/>
      <c r="R613" s="23"/>
      <c r="S613" s="34"/>
      <c r="T613" s="23"/>
      <c r="U613" s="2"/>
      <c r="W613" s="34"/>
      <c r="X613" s="23"/>
      <c r="Y613" s="34"/>
      <c r="Z613" s="23"/>
      <c r="AA613" s="2"/>
      <c r="AC613" s="244"/>
    </row>
    <row r="614" spans="10:29">
      <c r="J614" s="412">
        <v>41703</v>
      </c>
      <c r="K614" s="413">
        <v>17.949396</v>
      </c>
      <c r="L614" s="30">
        <f t="shared" si="30"/>
        <v>1.4145804269827497E-2</v>
      </c>
      <c r="M614" s="414">
        <v>1873.8100589999999</v>
      </c>
      <c r="N614" s="31">
        <f t="shared" si="31"/>
        <v>-1.7154600354026106E-3</v>
      </c>
      <c r="Q614" s="34"/>
      <c r="R614" s="23"/>
      <c r="S614" s="34"/>
      <c r="T614" s="23"/>
      <c r="U614" s="2"/>
      <c r="W614" s="34"/>
      <c r="X614" s="23"/>
      <c r="Y614" s="34"/>
      <c r="Z614" s="23"/>
      <c r="AA614" s="2"/>
      <c r="AC614" s="244"/>
    </row>
    <row r="615" spans="10:29">
      <c r="J615" s="412">
        <v>41704</v>
      </c>
      <c r="K615" s="413">
        <v>17.699028999999999</v>
      </c>
      <c r="L615" s="30">
        <f t="shared" si="30"/>
        <v>1.0892675023901986E-3</v>
      </c>
      <c r="M615" s="414">
        <v>1877.030029</v>
      </c>
      <c r="N615" s="31">
        <f t="shared" si="31"/>
        <v>-5.3780003568921022E-4</v>
      </c>
      <c r="Q615" s="34"/>
      <c r="R615" s="23"/>
      <c r="S615" s="34"/>
      <c r="T615" s="23"/>
      <c r="U615" s="2"/>
      <c r="W615" s="34"/>
      <c r="X615" s="23"/>
      <c r="Y615" s="34"/>
      <c r="Z615" s="23"/>
      <c r="AA615" s="2"/>
      <c r="AC615" s="244"/>
    </row>
    <row r="616" spans="10:29">
      <c r="J616" s="412">
        <v>41705</v>
      </c>
      <c r="K616" s="413">
        <v>17.679770999999999</v>
      </c>
      <c r="L616" s="30">
        <f t="shared" si="30"/>
        <v>1.4925394554487244E-2</v>
      </c>
      <c r="M616" s="414">
        <v>1878.040039</v>
      </c>
      <c r="N616" s="31">
        <f t="shared" si="31"/>
        <v>4.6346094365866473E-4</v>
      </c>
      <c r="Q616" s="34"/>
      <c r="R616" s="23"/>
      <c r="S616" s="34"/>
      <c r="T616" s="23"/>
      <c r="U616" s="2"/>
      <c r="W616" s="34"/>
      <c r="X616" s="23"/>
      <c r="Y616" s="34"/>
      <c r="Z616" s="23"/>
      <c r="AA616" s="2"/>
      <c r="AC616" s="244"/>
    </row>
    <row r="617" spans="10:29">
      <c r="J617" s="412">
        <v>41708</v>
      </c>
      <c r="K617" s="413">
        <v>17.419774</v>
      </c>
      <c r="L617" s="30">
        <f t="shared" si="30"/>
        <v>-9.8522119887308694E-3</v>
      </c>
      <c r="M617" s="414">
        <v>1877.170044</v>
      </c>
      <c r="N617" s="31">
        <f t="shared" si="31"/>
        <v>5.1080990209299935E-3</v>
      </c>
      <c r="Q617" s="34"/>
      <c r="R617" s="23"/>
      <c r="S617" s="34"/>
      <c r="T617" s="23"/>
      <c r="U617" s="2"/>
      <c r="W617" s="34"/>
      <c r="X617" s="23"/>
      <c r="Y617" s="34"/>
      <c r="Z617" s="23"/>
      <c r="AA617" s="2"/>
      <c r="AC617" s="244"/>
    </row>
    <row r="618" spans="10:29">
      <c r="J618" s="412">
        <v>41709</v>
      </c>
      <c r="K618" s="413">
        <v>17.593105000000001</v>
      </c>
      <c r="L618" s="30">
        <f t="shared" si="30"/>
        <v>-2.7292280615911022E-3</v>
      </c>
      <c r="M618" s="414">
        <v>1867.630005</v>
      </c>
      <c r="N618" s="31">
        <f t="shared" si="31"/>
        <v>-3.0507762281815448E-4</v>
      </c>
      <c r="Q618" s="34"/>
      <c r="R618" s="23"/>
      <c r="S618" s="34"/>
      <c r="T618" s="23"/>
      <c r="U618" s="2"/>
      <c r="W618" s="34"/>
      <c r="X618" s="23"/>
      <c r="Y618" s="34"/>
      <c r="Z618" s="23"/>
      <c r="AA618" s="2"/>
      <c r="AC618" s="244"/>
    </row>
    <row r="619" spans="10:29">
      <c r="J619" s="412">
        <v>41710</v>
      </c>
      <c r="K619" s="413">
        <v>17.641252000000001</v>
      </c>
      <c r="L619" s="30">
        <f t="shared" si="30"/>
        <v>3.2694460449877623E-2</v>
      </c>
      <c r="M619" s="414">
        <v>1868.1999510000001</v>
      </c>
      <c r="N619" s="31">
        <f t="shared" si="31"/>
        <v>1.1839631596860559E-2</v>
      </c>
      <c r="Q619" s="34"/>
      <c r="R619" s="23"/>
      <c r="S619" s="34"/>
      <c r="T619" s="23"/>
      <c r="U619" s="2"/>
      <c r="W619" s="34"/>
      <c r="X619" s="23"/>
      <c r="Y619" s="34"/>
      <c r="Z619" s="23"/>
      <c r="AA619" s="2"/>
      <c r="AC619" s="244"/>
    </row>
    <row r="620" spans="10:29">
      <c r="J620" s="412">
        <v>41711</v>
      </c>
      <c r="K620" s="413">
        <v>17.082740999999999</v>
      </c>
      <c r="L620" s="30">
        <f t="shared" si="30"/>
        <v>-4.4893357297125522E-3</v>
      </c>
      <c r="M620" s="414">
        <v>1846.339966</v>
      </c>
      <c r="N620" s="31">
        <f t="shared" si="31"/>
        <v>2.8297626923960871E-3</v>
      </c>
      <c r="Q620" s="34"/>
      <c r="R620" s="23"/>
      <c r="S620" s="34"/>
      <c r="T620" s="23"/>
      <c r="U620" s="2"/>
      <c r="W620" s="34"/>
      <c r="X620" s="23"/>
      <c r="Y620" s="34"/>
      <c r="Z620" s="23"/>
      <c r="AA620" s="2"/>
      <c r="AC620" s="244"/>
    </row>
    <row r="621" spans="10:29">
      <c r="J621" s="412">
        <v>41712</v>
      </c>
      <c r="K621" s="413">
        <v>17.159776999999998</v>
      </c>
      <c r="L621" s="30">
        <f t="shared" si="30"/>
        <v>0</v>
      </c>
      <c r="M621" s="414">
        <v>1841.130005</v>
      </c>
      <c r="N621" s="31">
        <f t="shared" si="31"/>
        <v>-9.5220926168461499E-3</v>
      </c>
      <c r="Q621" s="34"/>
      <c r="R621" s="23"/>
      <c r="S621" s="34"/>
      <c r="T621" s="23"/>
      <c r="U621" s="2"/>
      <c r="W621" s="34"/>
      <c r="X621" s="23"/>
      <c r="Y621" s="34"/>
      <c r="Z621" s="23"/>
      <c r="AA621" s="2"/>
      <c r="AC621" s="244"/>
    </row>
    <row r="622" spans="10:29">
      <c r="J622" s="412">
        <v>41715</v>
      </c>
      <c r="K622" s="413">
        <v>17.159776999999998</v>
      </c>
      <c r="L622" s="30">
        <f t="shared" si="30"/>
        <v>-2.3026305301642843E-2</v>
      </c>
      <c r="M622" s="414">
        <v>1858.829956</v>
      </c>
      <c r="N622" s="31">
        <f t="shared" si="31"/>
        <v>-7.1678696755240814E-3</v>
      </c>
      <c r="Q622" s="34"/>
      <c r="R622" s="23"/>
      <c r="S622" s="34"/>
      <c r="T622" s="23"/>
      <c r="U622" s="2"/>
      <c r="W622" s="34"/>
      <c r="X622" s="23"/>
      <c r="Y622" s="34"/>
      <c r="Z622" s="23"/>
      <c r="AA622" s="2"/>
      <c r="AC622" s="244"/>
    </row>
    <row r="623" spans="10:29">
      <c r="J623" s="412">
        <v>41716</v>
      </c>
      <c r="K623" s="413">
        <v>17.564215999999998</v>
      </c>
      <c r="L623" s="30">
        <f t="shared" si="30"/>
        <v>-1.7241371592783616E-2</v>
      </c>
      <c r="M623" s="414">
        <v>1872.25</v>
      </c>
      <c r="N623" s="31">
        <f t="shared" si="31"/>
        <v>6.1694781604446037E-3</v>
      </c>
      <c r="Q623" s="34"/>
      <c r="R623" s="23"/>
      <c r="S623" s="34"/>
      <c r="T623" s="23"/>
      <c r="U623" s="2"/>
      <c r="W623" s="34"/>
      <c r="X623" s="23"/>
      <c r="Y623" s="34"/>
      <c r="Z623" s="23"/>
      <c r="AA623" s="2"/>
      <c r="AC623" s="244"/>
    </row>
    <row r="624" spans="10:29">
      <c r="J624" s="412">
        <v>41717</v>
      </c>
      <c r="K624" s="413">
        <v>17.87236</v>
      </c>
      <c r="L624" s="30">
        <f t="shared" si="30"/>
        <v>-5.3853066688874156E-4</v>
      </c>
      <c r="M624" s="414">
        <v>1860.7700199999999</v>
      </c>
      <c r="N624" s="31">
        <f t="shared" si="31"/>
        <v>-6.0042360564087124E-3</v>
      </c>
      <c r="Q624" s="34"/>
      <c r="R624" s="23"/>
      <c r="S624" s="34"/>
      <c r="T624" s="23"/>
      <c r="U624" s="2"/>
      <c r="W624" s="34"/>
      <c r="X624" s="23"/>
      <c r="Y624" s="34"/>
      <c r="Z624" s="23"/>
      <c r="AA624" s="2"/>
      <c r="AC624" s="244"/>
    </row>
    <row r="625" spans="10:29">
      <c r="J625" s="412">
        <v>41718</v>
      </c>
      <c r="K625" s="413">
        <v>17.881989999999998</v>
      </c>
      <c r="L625" s="30">
        <f t="shared" si="30"/>
        <v>1.6180380519844333E-3</v>
      </c>
      <c r="M625" s="414">
        <v>1872.01001</v>
      </c>
      <c r="N625" s="31">
        <f t="shared" si="31"/>
        <v>2.9412971418329788E-3</v>
      </c>
      <c r="Q625" s="34"/>
      <c r="R625" s="23"/>
      <c r="S625" s="34"/>
      <c r="T625" s="23"/>
      <c r="U625" s="2"/>
      <c r="W625" s="34"/>
      <c r="X625" s="23"/>
      <c r="Y625" s="34"/>
      <c r="Z625" s="23"/>
      <c r="AA625" s="2"/>
      <c r="AC625" s="244"/>
    </row>
    <row r="626" spans="10:29">
      <c r="J626" s="412">
        <v>41719</v>
      </c>
      <c r="K626" s="413">
        <v>17.853103000000001</v>
      </c>
      <c r="L626" s="30">
        <f t="shared" si="30"/>
        <v>4.8780743150695334E-3</v>
      </c>
      <c r="M626" s="414">
        <v>1866.5200199999999</v>
      </c>
      <c r="N626" s="31">
        <f t="shared" si="31"/>
        <v>4.8884913043871284E-3</v>
      </c>
      <c r="Q626" s="34"/>
      <c r="R626" s="23"/>
      <c r="S626" s="34"/>
      <c r="T626" s="23"/>
      <c r="U626" s="2"/>
      <c r="W626" s="34"/>
      <c r="X626" s="23"/>
      <c r="Y626" s="34"/>
      <c r="Z626" s="23"/>
      <c r="AA626" s="2"/>
      <c r="AC626" s="244"/>
    </row>
    <row r="627" spans="10:29">
      <c r="J627" s="412">
        <v>41722</v>
      </c>
      <c r="K627" s="413">
        <v>17.766437</v>
      </c>
      <c r="L627" s="30">
        <f t="shared" si="30"/>
        <v>0</v>
      </c>
      <c r="M627" s="414">
        <v>1857.4399410000001</v>
      </c>
      <c r="N627" s="31">
        <f t="shared" si="31"/>
        <v>-4.384630322318092E-3</v>
      </c>
      <c r="Q627" s="34"/>
      <c r="R627" s="23"/>
      <c r="S627" s="34"/>
      <c r="T627" s="23"/>
      <c r="U627" s="2"/>
      <c r="W627" s="34"/>
      <c r="X627" s="23"/>
      <c r="Y627" s="34"/>
      <c r="Z627" s="23"/>
      <c r="AA627" s="2"/>
      <c r="AC627" s="244"/>
    </row>
    <row r="628" spans="10:29">
      <c r="J628" s="412">
        <v>41723</v>
      </c>
      <c r="K628" s="413">
        <v>17.766437</v>
      </c>
      <c r="L628" s="30">
        <f t="shared" si="30"/>
        <v>2.3294496405310033E-2</v>
      </c>
      <c r="M628" s="414">
        <v>1865.619995</v>
      </c>
      <c r="N628" s="31">
        <f t="shared" si="31"/>
        <v>7.0496694218106903E-3</v>
      </c>
      <c r="Q628" s="34"/>
      <c r="R628" s="23"/>
      <c r="S628" s="34"/>
      <c r="T628" s="23"/>
      <c r="U628" s="2"/>
      <c r="W628" s="34"/>
      <c r="X628" s="23"/>
      <c r="Y628" s="34"/>
      <c r="Z628" s="23"/>
      <c r="AA628" s="2"/>
      <c r="AC628" s="244"/>
    </row>
    <row r="629" spans="10:29">
      <c r="J629" s="412">
        <v>41724</v>
      </c>
      <c r="K629" s="413">
        <v>17.361998</v>
      </c>
      <c r="L629" s="30">
        <f t="shared" si="30"/>
        <v>1.349071764514272E-2</v>
      </c>
      <c r="M629" s="414">
        <v>1852.5600589999999</v>
      </c>
      <c r="N629" s="31">
        <f t="shared" si="31"/>
        <v>1.9037013400227032E-3</v>
      </c>
      <c r="Q629" s="34"/>
      <c r="R629" s="23"/>
      <c r="S629" s="34"/>
      <c r="T629" s="23"/>
      <c r="U629" s="2"/>
      <c r="W629" s="34"/>
      <c r="X629" s="23"/>
      <c r="Y629" s="34"/>
      <c r="Z629" s="23"/>
      <c r="AA629" s="2"/>
      <c r="AC629" s="244"/>
    </row>
    <row r="630" spans="10:29">
      <c r="J630" s="412">
        <v>41725</v>
      </c>
      <c r="K630" s="413">
        <v>17.130890000000001</v>
      </c>
      <c r="L630" s="30">
        <f t="shared" si="30"/>
        <v>-6.1451615214483469E-3</v>
      </c>
      <c r="M630" s="414">
        <v>1849.040039</v>
      </c>
      <c r="N630" s="31">
        <f t="shared" si="31"/>
        <v>-4.6187896464798973E-3</v>
      </c>
      <c r="Q630" s="34"/>
      <c r="R630" s="23"/>
      <c r="S630" s="34"/>
      <c r="T630" s="23"/>
      <c r="U630" s="2"/>
      <c r="W630" s="34"/>
      <c r="X630" s="23"/>
      <c r="Y630" s="34"/>
      <c r="Z630" s="23"/>
      <c r="AA630" s="2"/>
      <c r="AC630" s="244"/>
    </row>
    <row r="631" spans="10:29">
      <c r="J631" s="412">
        <v>41726</v>
      </c>
      <c r="K631" s="413">
        <v>17.236813000000001</v>
      </c>
      <c r="L631" s="30">
        <f t="shared" si="30"/>
        <v>-5.5837600831648636E-4</v>
      </c>
      <c r="M631" s="414">
        <v>1857.619995</v>
      </c>
      <c r="N631" s="31">
        <f t="shared" si="31"/>
        <v>-7.861804622718814E-3</v>
      </c>
      <c r="Q631" s="34"/>
      <c r="R631" s="23"/>
      <c r="S631" s="34"/>
      <c r="T631" s="23"/>
      <c r="U631" s="2"/>
      <c r="W631" s="34"/>
      <c r="X631" s="23"/>
      <c r="Y631" s="34"/>
      <c r="Z631" s="23"/>
      <c r="AA631" s="2"/>
      <c r="AC631" s="244"/>
    </row>
    <row r="632" spans="10:29">
      <c r="J632" s="412">
        <v>41729</v>
      </c>
      <c r="K632" s="413">
        <v>17.246442999999999</v>
      </c>
      <c r="L632" s="30">
        <f t="shared" si="30"/>
        <v>-3.967826540258932E-2</v>
      </c>
      <c r="M632" s="414">
        <v>1872.339966</v>
      </c>
      <c r="N632" s="31">
        <f t="shared" si="31"/>
        <v>-6.9901426981400748E-3</v>
      </c>
      <c r="Q632" s="34"/>
      <c r="R632" s="23"/>
      <c r="S632" s="34"/>
      <c r="T632" s="23"/>
      <c r="U632" s="2"/>
      <c r="W632" s="34"/>
      <c r="X632" s="23"/>
      <c r="Y632" s="34"/>
      <c r="Z632" s="23"/>
      <c r="AA632" s="2"/>
      <c r="AC632" s="244"/>
    </row>
    <row r="633" spans="10:29">
      <c r="J633" s="412">
        <v>41730</v>
      </c>
      <c r="K633" s="413">
        <v>17.959026000000001</v>
      </c>
      <c r="L633" s="30">
        <f t="shared" si="30"/>
        <v>6.4759253986038491E-3</v>
      </c>
      <c r="M633" s="414">
        <v>1885.5200199999999</v>
      </c>
      <c r="N633" s="31">
        <f t="shared" si="31"/>
        <v>-2.8452080658496514E-3</v>
      </c>
      <c r="Q633" s="34"/>
      <c r="R633" s="23"/>
      <c r="S633" s="34"/>
      <c r="T633" s="23"/>
      <c r="U633" s="2"/>
      <c r="W633" s="34"/>
      <c r="X633" s="23"/>
      <c r="Y633" s="34"/>
      <c r="Z633" s="23"/>
      <c r="AA633" s="2"/>
      <c r="AC633" s="244"/>
    </row>
    <row r="634" spans="10:29">
      <c r="J634" s="412">
        <v>41731</v>
      </c>
      <c r="K634" s="413">
        <v>17.843472999999999</v>
      </c>
      <c r="L634" s="30">
        <f t="shared" si="30"/>
        <v>-1.0677996116890798E-2</v>
      </c>
      <c r="M634" s="414">
        <v>1890.900024</v>
      </c>
      <c r="N634" s="31">
        <f t="shared" si="31"/>
        <v>1.1277201445627028E-3</v>
      </c>
      <c r="Q634" s="34"/>
      <c r="R634" s="23"/>
      <c r="S634" s="34"/>
      <c r="T634" s="23"/>
      <c r="U634" s="2"/>
      <c r="W634" s="34"/>
      <c r="X634" s="23"/>
      <c r="Y634" s="34"/>
      <c r="Z634" s="23"/>
      <c r="AA634" s="2"/>
      <c r="AC634" s="244"/>
    </row>
    <row r="635" spans="10:29">
      <c r="J635" s="412">
        <v>41732</v>
      </c>
      <c r="K635" s="413">
        <v>18.036062000000001</v>
      </c>
      <c r="L635" s="30">
        <f t="shared" si="30"/>
        <v>3.1955907323629205E-2</v>
      </c>
      <c r="M635" s="414">
        <v>1888.7700199999999</v>
      </c>
      <c r="N635" s="31">
        <f t="shared" si="31"/>
        <v>1.2696467426065134E-2</v>
      </c>
      <c r="Q635" s="34"/>
      <c r="R635" s="23"/>
      <c r="S635" s="34"/>
      <c r="T635" s="23"/>
      <c r="U635" s="2"/>
      <c r="W635" s="34"/>
      <c r="X635" s="23"/>
      <c r="Y635" s="34"/>
      <c r="Z635" s="23"/>
      <c r="AA635" s="2"/>
      <c r="AC635" s="244"/>
    </row>
    <row r="636" spans="10:29">
      <c r="J636" s="412">
        <v>41733</v>
      </c>
      <c r="K636" s="413">
        <v>17.477550999999998</v>
      </c>
      <c r="L636" s="30">
        <f t="shared" si="30"/>
        <v>-3.2948344789920656E-3</v>
      </c>
      <c r="M636" s="414">
        <v>1865.089966</v>
      </c>
      <c r="N636" s="31">
        <f t="shared" si="31"/>
        <v>1.0866933278514086E-2</v>
      </c>
      <c r="Q636" s="34"/>
      <c r="R636" s="23"/>
      <c r="S636" s="34"/>
      <c r="T636" s="23"/>
      <c r="U636" s="2"/>
      <c r="W636" s="34"/>
      <c r="X636" s="23"/>
      <c r="Y636" s="34"/>
      <c r="Z636" s="23"/>
      <c r="AA636" s="2"/>
      <c r="AC636" s="244"/>
    </row>
    <row r="637" spans="10:29">
      <c r="J637" s="412">
        <v>41736</v>
      </c>
      <c r="K637" s="413">
        <v>17.535326999999999</v>
      </c>
      <c r="L637" s="30">
        <f t="shared" si="30"/>
        <v>-3.4464540593745589E-2</v>
      </c>
      <c r="M637" s="414">
        <v>1845.040039</v>
      </c>
      <c r="N637" s="31">
        <f t="shared" si="31"/>
        <v>-3.736539744770455E-3</v>
      </c>
      <c r="Q637" s="34"/>
      <c r="R637" s="23"/>
      <c r="S637" s="34"/>
      <c r="T637" s="23"/>
      <c r="U637" s="2"/>
      <c r="W637" s="34"/>
      <c r="X637" s="23"/>
      <c r="Y637" s="34"/>
      <c r="Z637" s="23"/>
      <c r="AA637" s="2"/>
      <c r="AC637" s="244"/>
    </row>
    <row r="638" spans="10:29">
      <c r="J638" s="412">
        <v>41737</v>
      </c>
      <c r="K638" s="413">
        <v>18.161245999999998</v>
      </c>
      <c r="L638" s="30">
        <f t="shared" si="30"/>
        <v>1.0615705986338837E-3</v>
      </c>
      <c r="M638" s="414">
        <v>1851.959961</v>
      </c>
      <c r="N638" s="31">
        <f t="shared" si="31"/>
        <v>-1.0800292929517508E-2</v>
      </c>
      <c r="Q638" s="34"/>
      <c r="R638" s="23"/>
      <c r="S638" s="34"/>
      <c r="T638" s="23"/>
      <c r="U638" s="2"/>
      <c r="W638" s="34"/>
      <c r="X638" s="23"/>
      <c r="Y638" s="34"/>
      <c r="Z638" s="23"/>
      <c r="AA638" s="2"/>
      <c r="AC638" s="244"/>
    </row>
    <row r="639" spans="10:29">
      <c r="J639" s="412">
        <v>41738</v>
      </c>
      <c r="K639" s="413">
        <v>18.141987</v>
      </c>
      <c r="L639" s="30">
        <f t="shared" si="30"/>
        <v>2.5027248669969457E-2</v>
      </c>
      <c r="M639" s="414">
        <v>1872.1800539999999</v>
      </c>
      <c r="N639" s="31">
        <f t="shared" si="31"/>
        <v>2.1330274149809036E-2</v>
      </c>
      <c r="Q639" s="34"/>
      <c r="R639" s="23"/>
      <c r="S639" s="34"/>
      <c r="T639" s="23"/>
      <c r="U639" s="2"/>
      <c r="W639" s="34"/>
      <c r="X639" s="23"/>
      <c r="Y639" s="34"/>
      <c r="Z639" s="23"/>
      <c r="AA639" s="2"/>
      <c r="AC639" s="244"/>
    </row>
    <row r="640" spans="10:29">
      <c r="J640" s="412">
        <v>41739</v>
      </c>
      <c r="K640" s="413">
        <v>17.699028999999999</v>
      </c>
      <c r="L640" s="30">
        <f t="shared" si="30"/>
        <v>1.4348721159896299E-2</v>
      </c>
      <c r="M640" s="414">
        <v>1833.079956</v>
      </c>
      <c r="N640" s="31">
        <f t="shared" si="31"/>
        <v>9.5776347091631256E-3</v>
      </c>
      <c r="Q640" s="34"/>
      <c r="R640" s="23"/>
      <c r="S640" s="34"/>
      <c r="T640" s="23"/>
      <c r="U640" s="2"/>
      <c r="W640" s="34"/>
      <c r="X640" s="23"/>
      <c r="Y640" s="34"/>
      <c r="Z640" s="23"/>
      <c r="AA640" s="2"/>
      <c r="AC640" s="244"/>
    </row>
    <row r="641" spans="10:29">
      <c r="J641" s="412">
        <v>41740</v>
      </c>
      <c r="K641" s="413">
        <v>17.448663</v>
      </c>
      <c r="L641" s="30">
        <f t="shared" si="30"/>
        <v>-1.0916968931683627E-2</v>
      </c>
      <c r="M641" s="414">
        <v>1815.6899410000001</v>
      </c>
      <c r="N641" s="31">
        <f t="shared" si="31"/>
        <v>-8.1503128040678538E-3</v>
      </c>
      <c r="Q641" s="34"/>
      <c r="R641" s="23"/>
      <c r="S641" s="34"/>
      <c r="T641" s="23"/>
      <c r="U641" s="2"/>
      <c r="W641" s="34"/>
      <c r="X641" s="23"/>
      <c r="Y641" s="34"/>
      <c r="Z641" s="23"/>
      <c r="AA641" s="2"/>
      <c r="AC641" s="244"/>
    </row>
    <row r="642" spans="10:29">
      <c r="J642" s="412">
        <v>41743</v>
      </c>
      <c r="K642" s="413">
        <v>17.641252000000001</v>
      </c>
      <c r="L642" s="30">
        <f t="shared" si="30"/>
        <v>-7.0461511219159093E-3</v>
      </c>
      <c r="M642" s="414">
        <v>1830.6099850000001</v>
      </c>
      <c r="N642" s="31">
        <f t="shared" si="31"/>
        <v>-6.7119529969066815E-3</v>
      </c>
      <c r="Q642" s="34"/>
      <c r="R642" s="23"/>
      <c r="S642" s="34"/>
      <c r="T642" s="23"/>
      <c r="U642" s="2"/>
      <c r="W642" s="34"/>
      <c r="X642" s="23"/>
      <c r="Y642" s="34"/>
      <c r="Z642" s="23"/>
      <c r="AA642" s="2"/>
      <c r="AC642" s="244"/>
    </row>
    <row r="643" spans="10:29">
      <c r="J643" s="412">
        <v>41744</v>
      </c>
      <c r="K643" s="413">
        <v>17.766437</v>
      </c>
      <c r="L643" s="30">
        <f t="shared" si="30"/>
        <v>-2.1632743336488713E-3</v>
      </c>
      <c r="M643" s="414">
        <v>1842.9799800000001</v>
      </c>
      <c r="N643" s="31">
        <f t="shared" si="31"/>
        <v>-1.0379624438252494E-2</v>
      </c>
      <c r="Q643" s="34"/>
      <c r="R643" s="23"/>
      <c r="S643" s="34"/>
      <c r="T643" s="23"/>
      <c r="U643" s="2"/>
      <c r="W643" s="34"/>
      <c r="X643" s="23"/>
      <c r="Y643" s="34"/>
      <c r="Z643" s="23"/>
      <c r="AA643" s="2"/>
      <c r="AC643" s="244"/>
    </row>
    <row r="644" spans="10:29">
      <c r="J644" s="412">
        <v>41745</v>
      </c>
      <c r="K644" s="413">
        <v>17.804953999999999</v>
      </c>
      <c r="L644" s="30">
        <f t="shared" si="30"/>
        <v>-3.7715220597616572E-3</v>
      </c>
      <c r="M644" s="414">
        <v>1862.3100589999999</v>
      </c>
      <c r="N644" s="31">
        <f t="shared" si="31"/>
        <v>-1.3619953522738815E-3</v>
      </c>
      <c r="Q644" s="34"/>
      <c r="R644" s="23"/>
      <c r="S644" s="34"/>
      <c r="T644" s="23"/>
      <c r="U644" s="2"/>
      <c r="W644" s="34"/>
      <c r="X644" s="23"/>
      <c r="Y644" s="34"/>
      <c r="Z644" s="23"/>
      <c r="AA644" s="2"/>
      <c r="AC644" s="244"/>
    </row>
    <row r="645" spans="10:29">
      <c r="J645" s="412">
        <v>41746</v>
      </c>
      <c r="K645" s="413">
        <v>17.87236</v>
      </c>
      <c r="L645" s="30">
        <f t="shared" si="30"/>
        <v>-8.0170720641764264E-3</v>
      </c>
      <c r="M645" s="414">
        <v>1864.849976</v>
      </c>
      <c r="N645" s="31">
        <f t="shared" si="31"/>
        <v>-3.7609255584388481E-3</v>
      </c>
      <c r="Q645" s="34"/>
      <c r="R645" s="23"/>
      <c r="S645" s="34"/>
      <c r="T645" s="23"/>
      <c r="U645" s="2"/>
      <c r="W645" s="34"/>
      <c r="X645" s="23"/>
      <c r="Y645" s="34"/>
      <c r="Z645" s="23"/>
      <c r="AA645" s="2"/>
      <c r="AC645" s="244"/>
    </row>
    <row r="646" spans="10:29">
      <c r="J646" s="412">
        <v>41750</v>
      </c>
      <c r="K646" s="413">
        <v>18.016801999999998</v>
      </c>
      <c r="L646" s="30">
        <f t="shared" si="30"/>
        <v>-8.4791729358563335E-3</v>
      </c>
      <c r="M646" s="414">
        <v>1871.8900149999999</v>
      </c>
      <c r="N646" s="31">
        <f t="shared" si="31"/>
        <v>-4.0754615734097943E-3</v>
      </c>
      <c r="Q646" s="34"/>
      <c r="R646" s="23"/>
      <c r="S646" s="34"/>
      <c r="T646" s="23"/>
      <c r="U646" s="2"/>
      <c r="W646" s="34"/>
      <c r="X646" s="23"/>
      <c r="Y646" s="34"/>
      <c r="Z646" s="23"/>
      <c r="AA646" s="2"/>
      <c r="AC646" s="244"/>
    </row>
    <row r="647" spans="10:29">
      <c r="J647" s="412">
        <v>41751</v>
      </c>
      <c r="K647" s="413">
        <v>18.170876</v>
      </c>
      <c r="L647" s="30">
        <f t="shared" si="30"/>
        <v>-1.152435234710854E-2</v>
      </c>
      <c r="M647" s="414">
        <v>1879.5500489999999</v>
      </c>
      <c r="N647" s="31">
        <f t="shared" si="31"/>
        <v>2.2182233917887187E-3</v>
      </c>
      <c r="Q647" s="34"/>
      <c r="R647" s="23"/>
      <c r="S647" s="34"/>
      <c r="T647" s="23"/>
      <c r="U647" s="2"/>
      <c r="W647" s="34"/>
      <c r="X647" s="23"/>
      <c r="Y647" s="34"/>
      <c r="Z647" s="23"/>
      <c r="AA647" s="2"/>
      <c r="AC647" s="244"/>
    </row>
    <row r="648" spans="10:29">
      <c r="J648" s="412">
        <v>41752</v>
      </c>
      <c r="K648" s="413">
        <v>18.382725000000001</v>
      </c>
      <c r="L648" s="30">
        <f t="shared" ref="L648:L711" si="32">(K648-K649)/K649</f>
        <v>-8.826552350301867E-3</v>
      </c>
      <c r="M648" s="414">
        <v>1875.3900149999999</v>
      </c>
      <c r="N648" s="31">
        <f t="shared" si="31"/>
        <v>-1.7140172924185234E-3</v>
      </c>
      <c r="Q648" s="34"/>
      <c r="R648" s="23"/>
      <c r="S648" s="34"/>
      <c r="T648" s="23"/>
      <c r="U648" s="2"/>
      <c r="W648" s="34"/>
      <c r="X648" s="23"/>
      <c r="Y648" s="34"/>
      <c r="Z648" s="23"/>
      <c r="AA648" s="2"/>
      <c r="AC648" s="244"/>
    </row>
    <row r="649" spans="10:29">
      <c r="J649" s="412">
        <v>41753</v>
      </c>
      <c r="K649" s="413">
        <v>18.546426</v>
      </c>
      <c r="L649" s="30">
        <f t="shared" si="32"/>
        <v>2.8296864359858551E-2</v>
      </c>
      <c r="M649" s="414">
        <v>1878.6099850000001</v>
      </c>
      <c r="N649" s="31">
        <f t="shared" si="31"/>
        <v>8.1624776237525804E-3</v>
      </c>
      <c r="Q649" s="34"/>
      <c r="R649" s="23"/>
      <c r="S649" s="34"/>
      <c r="T649" s="23"/>
      <c r="U649" s="2"/>
      <c r="W649" s="34"/>
      <c r="X649" s="23"/>
      <c r="Y649" s="34"/>
      <c r="Z649" s="23"/>
      <c r="AA649" s="2"/>
      <c r="AC649" s="244"/>
    </row>
    <row r="650" spans="10:29">
      <c r="J650" s="412">
        <v>41754</v>
      </c>
      <c r="K650" s="413">
        <v>18.036062000000001</v>
      </c>
      <c r="L650" s="30">
        <f t="shared" si="32"/>
        <v>4.2895422056852999E-3</v>
      </c>
      <c r="M650" s="414">
        <v>1863.400024</v>
      </c>
      <c r="N650" s="31">
        <f t="shared" ref="N650:N713" si="33">(M650-M651)/M651</f>
        <v>-3.2255980838103598E-3</v>
      </c>
      <c r="Q650" s="34"/>
      <c r="R650" s="23"/>
      <c r="S650" s="34"/>
      <c r="T650" s="23"/>
      <c r="U650" s="2"/>
      <c r="W650" s="34"/>
      <c r="X650" s="23"/>
      <c r="Y650" s="34"/>
      <c r="Z650" s="23"/>
      <c r="AA650" s="2"/>
      <c r="AC650" s="244"/>
    </row>
    <row r="651" spans="10:29">
      <c r="J651" s="412">
        <v>41757</v>
      </c>
      <c r="K651" s="413">
        <v>17.959026000000001</v>
      </c>
      <c r="L651" s="30">
        <f t="shared" si="32"/>
        <v>-2.1402363489018811E-3</v>
      </c>
      <c r="M651" s="414">
        <v>1869.4300539999999</v>
      </c>
      <c r="N651" s="31">
        <f t="shared" si="33"/>
        <v>-4.7381994689329821E-3</v>
      </c>
      <c r="Q651" s="34"/>
      <c r="R651" s="23"/>
      <c r="S651" s="34"/>
      <c r="T651" s="23"/>
      <c r="U651" s="2"/>
      <c r="W651" s="34"/>
      <c r="X651" s="23"/>
      <c r="Y651" s="34"/>
      <c r="Z651" s="23"/>
      <c r="AA651" s="2"/>
      <c r="AC651" s="244"/>
    </row>
    <row r="652" spans="10:29">
      <c r="J652" s="412">
        <v>41758</v>
      </c>
      <c r="K652" s="413">
        <v>17.997544999999999</v>
      </c>
      <c r="L652" s="30">
        <f t="shared" si="32"/>
        <v>1.1911314790415227E-2</v>
      </c>
      <c r="M652" s="414">
        <v>1878.329956</v>
      </c>
      <c r="N652" s="31">
        <f t="shared" si="33"/>
        <v>-2.9830914547474712E-3</v>
      </c>
      <c r="Q652" s="34"/>
      <c r="R652" s="23"/>
      <c r="S652" s="34"/>
      <c r="T652" s="23"/>
      <c r="U652" s="2"/>
      <c r="W652" s="34"/>
      <c r="X652" s="23"/>
      <c r="Y652" s="34"/>
      <c r="Z652" s="23"/>
      <c r="AA652" s="2"/>
      <c r="AC652" s="244"/>
    </row>
    <row r="653" spans="10:29">
      <c r="J653" s="412">
        <v>41759</v>
      </c>
      <c r="K653" s="413">
        <v>17.785693999999999</v>
      </c>
      <c r="L653" s="30">
        <f t="shared" si="32"/>
        <v>-5.3850829801380517E-3</v>
      </c>
      <c r="M653" s="414">
        <v>1883.9499510000001</v>
      </c>
      <c r="N653" s="31">
        <f t="shared" si="33"/>
        <v>1.4328176349640755E-4</v>
      </c>
      <c r="Q653" s="34"/>
      <c r="R653" s="23"/>
      <c r="S653" s="34"/>
      <c r="T653" s="23"/>
      <c r="U653" s="2"/>
      <c r="W653" s="34"/>
      <c r="X653" s="23"/>
      <c r="Y653" s="34"/>
      <c r="Z653" s="23"/>
      <c r="AA653" s="2"/>
      <c r="AC653" s="244"/>
    </row>
    <row r="654" spans="10:29">
      <c r="J654" s="412">
        <v>41760</v>
      </c>
      <c r="K654" s="413">
        <v>17.881989999999998</v>
      </c>
      <c r="L654" s="30">
        <f t="shared" si="32"/>
        <v>7.5963067252891895E-3</v>
      </c>
      <c r="M654" s="414">
        <v>1883.6800539999999</v>
      </c>
      <c r="N654" s="31">
        <f t="shared" si="33"/>
        <v>1.3502657855055935E-3</v>
      </c>
      <c r="Q654" s="34"/>
      <c r="R654" s="23"/>
      <c r="S654" s="34"/>
      <c r="T654" s="23"/>
      <c r="U654" s="2"/>
      <c r="W654" s="34"/>
      <c r="X654" s="23"/>
      <c r="Y654" s="34"/>
      <c r="Z654" s="23"/>
      <c r="AA654" s="2"/>
      <c r="AC654" s="244"/>
    </row>
    <row r="655" spans="10:29">
      <c r="J655" s="412">
        <v>41761</v>
      </c>
      <c r="K655" s="413">
        <v>17.747177000000001</v>
      </c>
      <c r="L655" s="30">
        <f t="shared" si="32"/>
        <v>-1.0735312824035616E-2</v>
      </c>
      <c r="M655" s="414">
        <v>1881.1400149999999</v>
      </c>
      <c r="N655" s="31">
        <f t="shared" si="33"/>
        <v>-1.8677209345439156E-3</v>
      </c>
      <c r="Q655" s="34"/>
      <c r="R655" s="23"/>
      <c r="S655" s="34"/>
      <c r="T655" s="23"/>
      <c r="U655" s="2"/>
      <c r="W655" s="34"/>
      <c r="X655" s="23"/>
      <c r="Y655" s="34"/>
      <c r="Z655" s="23"/>
      <c r="AA655" s="2"/>
      <c r="AC655" s="244"/>
    </row>
    <row r="656" spans="10:29">
      <c r="J656" s="412">
        <v>41764</v>
      </c>
      <c r="K656" s="413">
        <v>17.939765999999999</v>
      </c>
      <c r="L656" s="30">
        <f t="shared" si="32"/>
        <v>2.0821850834472952E-2</v>
      </c>
      <c r="M656" s="414">
        <v>1884.660034</v>
      </c>
      <c r="N656" s="31">
        <f t="shared" si="33"/>
        <v>9.0699158669541313E-3</v>
      </c>
      <c r="Q656" s="34"/>
      <c r="R656" s="23"/>
      <c r="S656" s="34"/>
      <c r="T656" s="23"/>
      <c r="U656" s="2"/>
      <c r="W656" s="34"/>
      <c r="X656" s="23"/>
      <c r="Y656" s="34"/>
      <c r="Z656" s="23"/>
      <c r="AA656" s="2"/>
      <c r="AC656" s="244"/>
    </row>
    <row r="657" spans="10:29">
      <c r="J657" s="412">
        <v>41765</v>
      </c>
      <c r="K657" s="413">
        <v>17.573846</v>
      </c>
      <c r="L657" s="30">
        <f t="shared" si="32"/>
        <v>-1.0946902209701863E-3</v>
      </c>
      <c r="M657" s="414">
        <v>1867.719971</v>
      </c>
      <c r="N657" s="31">
        <f t="shared" si="33"/>
        <v>-5.5850997587165042E-3</v>
      </c>
      <c r="Q657" s="34"/>
      <c r="R657" s="23"/>
      <c r="S657" s="34"/>
      <c r="T657" s="23"/>
      <c r="U657" s="2"/>
      <c r="W657" s="34"/>
      <c r="X657" s="23"/>
      <c r="Y657" s="34"/>
      <c r="Z657" s="23"/>
      <c r="AA657" s="2"/>
      <c r="AC657" s="244"/>
    </row>
    <row r="658" spans="10:29">
      <c r="J658" s="412">
        <v>41766</v>
      </c>
      <c r="K658" s="413">
        <v>17.593105000000001</v>
      </c>
      <c r="L658" s="30">
        <f t="shared" si="32"/>
        <v>-1.2432454218408842E-2</v>
      </c>
      <c r="M658" s="414">
        <v>1878.209961</v>
      </c>
      <c r="N658" s="31">
        <f t="shared" si="33"/>
        <v>1.3755143568414169E-3</v>
      </c>
      <c r="Q658" s="34"/>
      <c r="R658" s="23"/>
      <c r="S658" s="34"/>
      <c r="T658" s="23"/>
      <c r="U658" s="2"/>
      <c r="W658" s="34"/>
      <c r="X658" s="23"/>
      <c r="Y658" s="34"/>
      <c r="Z658" s="23"/>
      <c r="AA658" s="2"/>
      <c r="AC658" s="244"/>
    </row>
    <row r="659" spans="10:29">
      <c r="J659" s="412">
        <v>41767</v>
      </c>
      <c r="K659" s="413">
        <v>17.814584</v>
      </c>
      <c r="L659" s="30">
        <f t="shared" si="32"/>
        <v>2.4930823464703815E-2</v>
      </c>
      <c r="M659" s="414">
        <v>1875.630005</v>
      </c>
      <c r="N659" s="31">
        <f t="shared" si="33"/>
        <v>-1.5171708138194189E-3</v>
      </c>
      <c r="Q659" s="34"/>
      <c r="R659" s="23"/>
      <c r="S659" s="34"/>
      <c r="T659" s="23"/>
      <c r="U659" s="2"/>
      <c r="W659" s="34"/>
      <c r="X659" s="23"/>
      <c r="Y659" s="34"/>
      <c r="Z659" s="23"/>
      <c r="AA659" s="2"/>
      <c r="AC659" s="244"/>
    </row>
    <row r="660" spans="10:29">
      <c r="J660" s="412">
        <v>41768</v>
      </c>
      <c r="K660" s="413">
        <v>17.381254999999999</v>
      </c>
      <c r="L660" s="30">
        <f t="shared" si="32"/>
        <v>-2.8525365506309668E-2</v>
      </c>
      <c r="M660" s="414">
        <v>1878.4799800000001</v>
      </c>
      <c r="N660" s="31">
        <f t="shared" si="33"/>
        <v>-9.5800721113954764E-3</v>
      </c>
      <c r="Q660" s="34"/>
      <c r="R660" s="23"/>
      <c r="S660" s="34"/>
      <c r="T660" s="23"/>
      <c r="U660" s="2"/>
      <c r="W660" s="34"/>
      <c r="X660" s="23"/>
      <c r="Y660" s="34"/>
      <c r="Z660" s="23"/>
      <c r="AA660" s="2"/>
      <c r="AC660" s="244"/>
    </row>
    <row r="661" spans="10:29">
      <c r="J661" s="412">
        <v>41771</v>
      </c>
      <c r="K661" s="413">
        <v>17.89162</v>
      </c>
      <c r="L661" s="30">
        <f t="shared" si="32"/>
        <v>1.6411370164920423E-2</v>
      </c>
      <c r="M661" s="414">
        <v>1896.650024</v>
      </c>
      <c r="N661" s="31">
        <f t="shared" si="33"/>
        <v>-4.2158002617062183E-4</v>
      </c>
      <c r="Q661" s="34"/>
      <c r="R661" s="23"/>
      <c r="S661" s="34"/>
      <c r="T661" s="23"/>
      <c r="U661" s="2"/>
      <c r="W661" s="34"/>
      <c r="X661" s="23"/>
      <c r="Y661" s="34"/>
      <c r="Z661" s="23"/>
      <c r="AA661" s="2"/>
      <c r="AC661" s="244"/>
    </row>
    <row r="662" spans="10:29">
      <c r="J662" s="412">
        <v>41772</v>
      </c>
      <c r="K662" s="413">
        <v>17.602734999999999</v>
      </c>
      <c r="L662" s="30">
        <f t="shared" si="32"/>
        <v>9.94474624605623E-3</v>
      </c>
      <c r="M662" s="414">
        <v>1897.4499510000001</v>
      </c>
      <c r="N662" s="31">
        <f t="shared" si="33"/>
        <v>4.7232089842507039E-3</v>
      </c>
      <c r="Q662" s="34"/>
      <c r="R662" s="23"/>
      <c r="S662" s="34"/>
      <c r="T662" s="23"/>
      <c r="U662" s="2"/>
      <c r="W662" s="34"/>
      <c r="X662" s="23"/>
      <c r="Y662" s="34"/>
      <c r="Z662" s="23"/>
      <c r="AA662" s="2"/>
      <c r="AC662" s="244"/>
    </row>
    <row r="663" spans="10:29">
      <c r="J663" s="412">
        <v>41773</v>
      </c>
      <c r="K663" s="413">
        <v>17.429404000000002</v>
      </c>
      <c r="L663" s="30">
        <f t="shared" si="32"/>
        <v>5.5556106844774971E-3</v>
      </c>
      <c r="M663" s="414">
        <v>1888.530029</v>
      </c>
      <c r="N663" s="31">
        <f t="shared" si="33"/>
        <v>9.4502783370161818E-3</v>
      </c>
      <c r="Q663" s="34"/>
      <c r="R663" s="23"/>
      <c r="S663" s="34"/>
      <c r="T663" s="23"/>
      <c r="U663" s="2"/>
      <c r="W663" s="34"/>
      <c r="X663" s="23"/>
      <c r="Y663" s="34"/>
      <c r="Z663" s="23"/>
      <c r="AA663" s="2"/>
      <c r="AC663" s="244"/>
    </row>
    <row r="664" spans="10:29">
      <c r="J664" s="412">
        <v>41774</v>
      </c>
      <c r="K664" s="413">
        <v>17.333107999999999</v>
      </c>
      <c r="L664" s="30">
        <f t="shared" si="32"/>
        <v>2.227170461976828E-3</v>
      </c>
      <c r="M664" s="414">
        <v>1870.849976</v>
      </c>
      <c r="N664" s="31">
        <f t="shared" si="33"/>
        <v>-3.7329774615758064E-3</v>
      </c>
      <c r="Q664" s="34"/>
      <c r="R664" s="23"/>
      <c r="S664" s="34"/>
      <c r="T664" s="23"/>
      <c r="U664" s="2"/>
      <c r="W664" s="34"/>
      <c r="X664" s="23"/>
      <c r="Y664" s="34"/>
      <c r="Z664" s="23"/>
      <c r="AA664" s="2"/>
      <c r="AC664" s="244"/>
    </row>
    <row r="665" spans="10:29">
      <c r="J665" s="412">
        <v>41775</v>
      </c>
      <c r="K665" s="413">
        <v>17.294589999999999</v>
      </c>
      <c r="L665" s="30">
        <f t="shared" si="32"/>
        <v>-3.1283805397862845E-2</v>
      </c>
      <c r="M665" s="414">
        <v>1877.8599850000001</v>
      </c>
      <c r="N665" s="31">
        <f t="shared" si="33"/>
        <v>-3.830060882574037E-3</v>
      </c>
      <c r="Q665" s="34"/>
      <c r="R665" s="23"/>
      <c r="S665" s="34"/>
      <c r="T665" s="23"/>
      <c r="U665" s="2"/>
      <c r="W665" s="34"/>
      <c r="X665" s="23"/>
      <c r="Y665" s="34"/>
      <c r="Z665" s="23"/>
      <c r="AA665" s="2"/>
      <c r="AC665" s="244"/>
    </row>
    <row r="666" spans="10:29">
      <c r="J666" s="412">
        <v>41778</v>
      </c>
      <c r="K666" s="413">
        <v>17.853103000000001</v>
      </c>
      <c r="L666" s="30">
        <f t="shared" si="32"/>
        <v>1.1787342377045641E-2</v>
      </c>
      <c r="M666" s="414">
        <v>1885.079956</v>
      </c>
      <c r="N666" s="31">
        <f t="shared" si="33"/>
        <v>6.5409034924684851E-3</v>
      </c>
      <c r="Q666" s="34"/>
      <c r="R666" s="23"/>
      <c r="S666" s="34"/>
      <c r="T666" s="23"/>
      <c r="U666" s="2"/>
      <c r="W666" s="34"/>
      <c r="X666" s="23"/>
      <c r="Y666" s="34"/>
      <c r="Z666" s="23"/>
      <c r="AA666" s="2"/>
      <c r="AC666" s="244"/>
    </row>
    <row r="667" spans="10:29">
      <c r="J667" s="412">
        <v>41779</v>
      </c>
      <c r="K667" s="413">
        <v>17.645114</v>
      </c>
      <c r="L667" s="30">
        <f t="shared" si="32"/>
        <v>0</v>
      </c>
      <c r="M667" s="414">
        <v>1872.829956</v>
      </c>
      <c r="N667" s="31">
        <f t="shared" si="33"/>
        <v>-8.0507580740390734E-3</v>
      </c>
      <c r="Q667" s="34"/>
      <c r="R667" s="23"/>
      <c r="S667" s="34"/>
      <c r="T667" s="23"/>
      <c r="U667" s="2"/>
      <c r="W667" s="34"/>
      <c r="X667" s="23"/>
      <c r="Y667" s="34"/>
      <c r="Z667" s="23"/>
      <c r="AA667" s="2"/>
      <c r="AC667" s="244"/>
    </row>
    <row r="668" spans="10:29">
      <c r="J668" s="412">
        <v>41780</v>
      </c>
      <c r="K668" s="413">
        <v>17.645114</v>
      </c>
      <c r="L668" s="30">
        <f t="shared" si="32"/>
        <v>-4.3668206046494108E-3</v>
      </c>
      <c r="M668" s="414">
        <v>1888.030029</v>
      </c>
      <c r="N668" s="31">
        <f t="shared" si="33"/>
        <v>-2.3566629274483089E-3</v>
      </c>
      <c r="Q668" s="34"/>
      <c r="R668" s="23"/>
      <c r="S668" s="34"/>
      <c r="T668" s="23"/>
      <c r="U668" s="2"/>
      <c r="W668" s="34"/>
      <c r="X668" s="23"/>
      <c r="Y668" s="34"/>
      <c r="Z668" s="23"/>
      <c r="AA668" s="2"/>
      <c r="AC668" s="244"/>
    </row>
    <row r="669" spans="10:29">
      <c r="J669" s="412">
        <v>41781</v>
      </c>
      <c r="K669" s="413">
        <v>17.722505000000002</v>
      </c>
      <c r="L669" s="30">
        <f t="shared" si="32"/>
        <v>-9.1941280128091472E-3</v>
      </c>
      <c r="M669" s="414">
        <v>1892.48999</v>
      </c>
      <c r="N669" s="31">
        <f t="shared" si="33"/>
        <v>-4.2304193447710997E-3</v>
      </c>
      <c r="Q669" s="34"/>
      <c r="R669" s="23"/>
      <c r="S669" s="34"/>
      <c r="T669" s="23"/>
      <c r="U669" s="2"/>
      <c r="W669" s="34"/>
      <c r="X669" s="23"/>
      <c r="Y669" s="34"/>
      <c r="Z669" s="23"/>
      <c r="AA669" s="2"/>
      <c r="AC669" s="244"/>
    </row>
    <row r="670" spans="10:29">
      <c r="J670" s="412">
        <v>41782</v>
      </c>
      <c r="K670" s="413">
        <v>17.886959999999998</v>
      </c>
      <c r="L670" s="30">
        <f t="shared" si="32"/>
        <v>-1.7534578059625744E-2</v>
      </c>
      <c r="M670" s="414">
        <v>1900.530029</v>
      </c>
      <c r="N670" s="31">
        <f t="shared" si="33"/>
        <v>-5.9521655295627692E-3</v>
      </c>
      <c r="Q670" s="34"/>
      <c r="R670" s="23"/>
      <c r="S670" s="34"/>
      <c r="T670" s="23"/>
      <c r="U670" s="2"/>
      <c r="W670" s="34"/>
      <c r="X670" s="23"/>
      <c r="Y670" s="34"/>
      <c r="Z670" s="23"/>
      <c r="AA670" s="2"/>
      <c r="AC670" s="244"/>
    </row>
    <row r="671" spans="10:29">
      <c r="J671" s="412">
        <v>41786</v>
      </c>
      <c r="K671" s="413">
        <v>18.206198000000001</v>
      </c>
      <c r="L671" s="30">
        <f t="shared" si="32"/>
        <v>-8.4298881884239309E-3</v>
      </c>
      <c r="M671" s="414">
        <v>1911.910034</v>
      </c>
      <c r="N671" s="31">
        <f t="shared" si="33"/>
        <v>1.1153143124631463E-3</v>
      </c>
      <c r="Q671" s="34"/>
      <c r="R671" s="23"/>
      <c r="S671" s="34"/>
      <c r="T671" s="23"/>
      <c r="U671" s="2"/>
      <c r="W671" s="34"/>
      <c r="X671" s="23"/>
      <c r="Y671" s="34"/>
      <c r="Z671" s="23"/>
      <c r="AA671" s="2"/>
      <c r="AC671" s="244"/>
    </row>
    <row r="672" spans="10:29">
      <c r="J672" s="412">
        <v>41787</v>
      </c>
      <c r="K672" s="413">
        <v>18.360979</v>
      </c>
      <c r="L672" s="30">
        <f t="shared" si="32"/>
        <v>1.5830277604264309E-3</v>
      </c>
      <c r="M672" s="414">
        <v>1909.780029</v>
      </c>
      <c r="N672" s="31">
        <f t="shared" si="33"/>
        <v>-5.3384581726247573E-3</v>
      </c>
      <c r="Q672" s="34"/>
      <c r="R672" s="23"/>
      <c r="S672" s="34"/>
      <c r="T672" s="23"/>
      <c r="U672" s="2"/>
      <c r="W672" s="34"/>
      <c r="X672" s="23"/>
      <c r="Y672" s="34"/>
      <c r="Z672" s="23"/>
      <c r="AA672" s="2"/>
      <c r="AC672" s="244"/>
    </row>
    <row r="673" spans="10:29">
      <c r="J673" s="412">
        <v>41788</v>
      </c>
      <c r="K673" s="413">
        <v>18.331959000000001</v>
      </c>
      <c r="L673" s="30">
        <f t="shared" si="32"/>
        <v>-2.6315092217891424E-3</v>
      </c>
      <c r="M673" s="414">
        <v>1920.030029</v>
      </c>
      <c r="N673" s="31">
        <f t="shared" si="33"/>
        <v>-1.8402850425903146E-3</v>
      </c>
      <c r="Q673" s="34"/>
      <c r="R673" s="23"/>
      <c r="S673" s="34"/>
      <c r="T673" s="23"/>
      <c r="U673" s="2"/>
      <c r="W673" s="34"/>
      <c r="X673" s="23"/>
      <c r="Y673" s="34"/>
      <c r="Z673" s="23"/>
      <c r="AA673" s="2"/>
      <c r="AC673" s="244"/>
    </row>
    <row r="674" spans="10:29">
      <c r="J674" s="412">
        <v>41789</v>
      </c>
      <c r="K674" s="413">
        <v>18.380327000000001</v>
      </c>
      <c r="L674" s="30">
        <f t="shared" si="32"/>
        <v>3.1678363260914436E-3</v>
      </c>
      <c r="M674" s="414">
        <v>1923.5699460000001</v>
      </c>
      <c r="N674" s="31">
        <f t="shared" si="33"/>
        <v>-7.2729705974198503E-4</v>
      </c>
      <c r="Q674" s="34"/>
      <c r="R674" s="23"/>
      <c r="S674" s="34"/>
      <c r="T674" s="23"/>
      <c r="U674" s="2"/>
      <c r="W674" s="34"/>
      <c r="X674" s="23"/>
      <c r="Y674" s="34"/>
      <c r="Z674" s="23"/>
      <c r="AA674" s="2"/>
      <c r="AC674" s="244"/>
    </row>
    <row r="675" spans="10:29">
      <c r="J675" s="412">
        <v>41792</v>
      </c>
      <c r="K675" s="413">
        <v>18.322285000000001</v>
      </c>
      <c r="L675" s="30">
        <f t="shared" si="32"/>
        <v>4.2417895110819616E-3</v>
      </c>
      <c r="M675" s="414">
        <v>1924.969971</v>
      </c>
      <c r="N675" s="31">
        <f t="shared" si="33"/>
        <v>3.7936068463058625E-4</v>
      </c>
      <c r="Q675" s="34"/>
      <c r="R675" s="23"/>
      <c r="S675" s="34"/>
      <c r="T675" s="23"/>
      <c r="U675" s="2"/>
      <c r="W675" s="34"/>
      <c r="X675" s="23"/>
      <c r="Y675" s="34"/>
      <c r="Z675" s="23"/>
      <c r="AA675" s="2"/>
      <c r="AC675" s="244"/>
    </row>
    <row r="676" spans="10:29">
      <c r="J676" s="412">
        <v>41793</v>
      </c>
      <c r="K676" s="413">
        <v>18.244893999999999</v>
      </c>
      <c r="L676" s="30">
        <f t="shared" si="32"/>
        <v>-1.0592283062422693E-3</v>
      </c>
      <c r="M676" s="414">
        <v>1924.23999</v>
      </c>
      <c r="N676" s="31">
        <f t="shared" si="33"/>
        <v>-1.8880920962712866E-3</v>
      </c>
      <c r="Q676" s="34"/>
      <c r="R676" s="23"/>
      <c r="S676" s="34"/>
      <c r="T676" s="23"/>
      <c r="U676" s="2"/>
      <c r="W676" s="34"/>
      <c r="X676" s="23"/>
      <c r="Y676" s="34"/>
      <c r="Z676" s="23"/>
      <c r="AA676" s="2"/>
      <c r="AC676" s="244"/>
    </row>
    <row r="677" spans="10:29">
      <c r="J677" s="412">
        <v>41794</v>
      </c>
      <c r="K677" s="413">
        <v>18.264240000000001</v>
      </c>
      <c r="L677" s="30">
        <f t="shared" si="32"/>
        <v>-4.2194175643375806E-3</v>
      </c>
      <c r="M677" s="414">
        <v>1927.880005</v>
      </c>
      <c r="N677" s="31">
        <f t="shared" si="33"/>
        <v>-6.4829763318162269E-3</v>
      </c>
      <c r="Q677" s="34"/>
      <c r="R677" s="23"/>
      <c r="S677" s="34"/>
      <c r="T677" s="23"/>
      <c r="U677" s="2"/>
      <c r="W677" s="34"/>
      <c r="X677" s="23"/>
      <c r="Y677" s="34"/>
      <c r="Z677" s="23"/>
      <c r="AA677" s="2"/>
      <c r="AC677" s="244"/>
    </row>
    <row r="678" spans="10:29">
      <c r="J678" s="412">
        <v>41795</v>
      </c>
      <c r="K678" s="413">
        <v>18.341631</v>
      </c>
      <c r="L678" s="30">
        <f t="shared" si="32"/>
        <v>-3.6785111913239907E-3</v>
      </c>
      <c r="M678" s="414">
        <v>1940.459961</v>
      </c>
      <c r="N678" s="31">
        <f t="shared" si="33"/>
        <v>-4.6064409634459565E-3</v>
      </c>
      <c r="Q678" s="34"/>
      <c r="R678" s="23"/>
      <c r="S678" s="34"/>
      <c r="T678" s="23"/>
      <c r="U678" s="2"/>
      <c r="W678" s="34"/>
      <c r="X678" s="23"/>
      <c r="Y678" s="34"/>
      <c r="Z678" s="23"/>
      <c r="AA678" s="2"/>
      <c r="AC678" s="244"/>
    </row>
    <row r="679" spans="10:29">
      <c r="J679" s="412">
        <v>41796</v>
      </c>
      <c r="K679" s="413">
        <v>18.40935</v>
      </c>
      <c r="L679" s="30">
        <f t="shared" si="32"/>
        <v>-1.0497758495771352E-3</v>
      </c>
      <c r="M679" s="414">
        <v>1949.4399410000001</v>
      </c>
      <c r="N679" s="31">
        <f t="shared" si="33"/>
        <v>-9.3789120995147639E-4</v>
      </c>
      <c r="Q679" s="34"/>
      <c r="R679" s="23"/>
      <c r="S679" s="34"/>
      <c r="T679" s="23"/>
      <c r="U679" s="2"/>
      <c r="W679" s="34"/>
      <c r="X679" s="23"/>
      <c r="Y679" s="34"/>
      <c r="Z679" s="23"/>
      <c r="AA679" s="2"/>
      <c r="AC679" s="244"/>
    </row>
    <row r="680" spans="10:29">
      <c r="J680" s="412">
        <v>41799</v>
      </c>
      <c r="K680" s="413">
        <v>18.428695999999999</v>
      </c>
      <c r="L680" s="30">
        <f t="shared" si="32"/>
        <v>-5.2219556517837775E-3</v>
      </c>
      <c r="M680" s="414">
        <v>1951.2700199999999</v>
      </c>
      <c r="N680" s="31">
        <f t="shared" si="33"/>
        <v>2.4604441810969921E-4</v>
      </c>
      <c r="Q680" s="34"/>
      <c r="R680" s="23"/>
      <c r="S680" s="34"/>
      <c r="T680" s="23"/>
      <c r="U680" s="2"/>
      <c r="W680" s="34"/>
      <c r="X680" s="23"/>
      <c r="Y680" s="34"/>
      <c r="Z680" s="23"/>
      <c r="AA680" s="2"/>
      <c r="AC680" s="244"/>
    </row>
    <row r="681" spans="10:29">
      <c r="J681" s="412">
        <v>41800</v>
      </c>
      <c r="K681" s="413">
        <v>18.525435000000002</v>
      </c>
      <c r="L681" s="30">
        <f t="shared" si="32"/>
        <v>-1.2886576377259918E-2</v>
      </c>
      <c r="M681" s="414">
        <v>1950.790039</v>
      </c>
      <c r="N681" s="31">
        <f t="shared" si="33"/>
        <v>3.5495958859586151E-3</v>
      </c>
      <c r="Q681" s="34"/>
      <c r="R681" s="23"/>
      <c r="S681" s="34"/>
      <c r="T681" s="23"/>
      <c r="U681" s="2"/>
      <c r="W681" s="34"/>
      <c r="X681" s="23"/>
      <c r="Y681" s="34"/>
      <c r="Z681" s="23"/>
      <c r="AA681" s="2"/>
      <c r="AC681" s="244"/>
    </row>
    <row r="682" spans="10:29">
      <c r="J682" s="412">
        <v>41801</v>
      </c>
      <c r="K682" s="413">
        <v>18.767281000000001</v>
      </c>
      <c r="L682" s="30">
        <f t="shared" si="32"/>
        <v>-6.1475791818493535E-3</v>
      </c>
      <c r="M682" s="414">
        <v>1943.8900149999999</v>
      </c>
      <c r="N682" s="31">
        <f t="shared" si="33"/>
        <v>7.1395050577907331E-3</v>
      </c>
      <c r="Q682" s="34"/>
      <c r="R682" s="23"/>
      <c r="S682" s="34"/>
      <c r="T682" s="23"/>
      <c r="U682" s="2"/>
      <c r="W682" s="34"/>
      <c r="X682" s="23"/>
      <c r="Y682" s="34"/>
      <c r="Z682" s="23"/>
      <c r="AA682" s="2"/>
      <c r="AC682" s="244"/>
    </row>
    <row r="683" spans="10:29">
      <c r="J683" s="412">
        <v>41802</v>
      </c>
      <c r="K683" s="413">
        <v>18.883368000000001</v>
      </c>
      <c r="L683" s="30">
        <f t="shared" si="32"/>
        <v>-1.0235566148272452E-3</v>
      </c>
      <c r="M683" s="414">
        <v>1930.1099850000001</v>
      </c>
      <c r="N683" s="31">
        <f t="shared" si="33"/>
        <v>-3.1247670098327961E-3</v>
      </c>
      <c r="Q683" s="34"/>
      <c r="R683" s="23"/>
      <c r="S683" s="34"/>
      <c r="T683" s="23"/>
      <c r="U683" s="2"/>
      <c r="W683" s="34"/>
      <c r="X683" s="23"/>
      <c r="Y683" s="34"/>
      <c r="Z683" s="23"/>
      <c r="AA683" s="2"/>
      <c r="AC683" s="244"/>
    </row>
    <row r="684" spans="10:29">
      <c r="J684" s="412">
        <v>41803</v>
      </c>
      <c r="K684" s="413">
        <v>18.902716000000002</v>
      </c>
      <c r="L684" s="30">
        <f t="shared" si="32"/>
        <v>3.0801279003424644E-3</v>
      </c>
      <c r="M684" s="414">
        <v>1936.160034</v>
      </c>
      <c r="N684" s="31">
        <f t="shared" si="33"/>
        <v>-8.3600562280333897E-4</v>
      </c>
      <c r="Q684" s="34"/>
      <c r="R684" s="23"/>
      <c r="S684" s="34"/>
      <c r="T684" s="23"/>
      <c r="U684" s="2"/>
      <c r="W684" s="34"/>
      <c r="X684" s="23"/>
      <c r="Y684" s="34"/>
      <c r="Z684" s="23"/>
      <c r="AA684" s="2"/>
      <c r="AC684" s="244"/>
    </row>
    <row r="685" spans="10:29">
      <c r="J685" s="412">
        <v>41806</v>
      </c>
      <c r="K685" s="413">
        <v>18.844671999999999</v>
      </c>
      <c r="L685" s="30">
        <f t="shared" si="32"/>
        <v>-6.6293162628391598E-3</v>
      </c>
      <c r="M685" s="414">
        <v>1937.780029</v>
      </c>
      <c r="N685" s="31">
        <f t="shared" si="33"/>
        <v>-2.1678592689347597E-3</v>
      </c>
      <c r="Q685" s="34"/>
      <c r="R685" s="23"/>
      <c r="S685" s="34"/>
      <c r="T685" s="23"/>
      <c r="U685" s="2"/>
      <c r="W685" s="34"/>
      <c r="X685" s="23"/>
      <c r="Y685" s="34"/>
      <c r="Z685" s="23"/>
      <c r="AA685" s="2"/>
      <c r="AC685" s="244"/>
    </row>
    <row r="686" spans="10:29">
      <c r="J686" s="412">
        <v>41807</v>
      </c>
      <c r="K686" s="413">
        <v>18.970433</v>
      </c>
      <c r="L686" s="30">
        <f t="shared" si="32"/>
        <v>1.0209441834069558E-3</v>
      </c>
      <c r="M686" s="414">
        <v>1941.98999</v>
      </c>
      <c r="N686" s="31">
        <f t="shared" si="33"/>
        <v>-7.6597564375697055E-3</v>
      </c>
      <c r="Q686" s="34"/>
      <c r="R686" s="23"/>
      <c r="S686" s="34"/>
      <c r="T686" s="23"/>
      <c r="U686" s="2"/>
      <c r="W686" s="34"/>
      <c r="X686" s="23"/>
      <c r="Y686" s="34"/>
      <c r="Z686" s="23"/>
      <c r="AA686" s="2"/>
      <c r="AC686" s="244"/>
    </row>
    <row r="687" spans="10:29">
      <c r="J687" s="412">
        <v>41808</v>
      </c>
      <c r="K687" s="413">
        <v>18.951084999999999</v>
      </c>
      <c r="L687" s="30">
        <f t="shared" si="32"/>
        <v>2.3510996928508516E-2</v>
      </c>
      <c r="M687" s="414">
        <v>1956.9799800000001</v>
      </c>
      <c r="N687" s="31">
        <f t="shared" si="33"/>
        <v>-1.275848707573935E-3</v>
      </c>
      <c r="Q687" s="34"/>
      <c r="R687" s="23"/>
      <c r="S687" s="34"/>
      <c r="T687" s="23"/>
      <c r="U687" s="2"/>
      <c r="W687" s="34"/>
      <c r="X687" s="23"/>
      <c r="Y687" s="34"/>
      <c r="Z687" s="23"/>
      <c r="AA687" s="2"/>
      <c r="AC687" s="244"/>
    </row>
    <row r="688" spans="10:29">
      <c r="J688" s="412">
        <v>41809</v>
      </c>
      <c r="K688" s="413">
        <v>18.515761000000001</v>
      </c>
      <c r="L688" s="30">
        <f t="shared" si="32"/>
        <v>1.1093448116164365E-2</v>
      </c>
      <c r="M688" s="414">
        <v>1959.4799800000001</v>
      </c>
      <c r="N688" s="31">
        <f t="shared" si="33"/>
        <v>-1.7270705694392911E-3</v>
      </c>
      <c r="Q688" s="34"/>
      <c r="R688" s="23"/>
      <c r="S688" s="34"/>
      <c r="T688" s="23"/>
      <c r="U688" s="2"/>
      <c r="W688" s="34"/>
      <c r="X688" s="23"/>
      <c r="Y688" s="34"/>
      <c r="Z688" s="23"/>
      <c r="AA688" s="2"/>
      <c r="AC688" s="244"/>
    </row>
    <row r="689" spans="10:29">
      <c r="J689" s="412">
        <v>41810</v>
      </c>
      <c r="K689" s="413">
        <v>18.312611</v>
      </c>
      <c r="L689" s="30">
        <f t="shared" si="32"/>
        <v>1.1758482214015235E-2</v>
      </c>
      <c r="M689" s="414">
        <v>1962.869995</v>
      </c>
      <c r="N689" s="31">
        <f t="shared" si="33"/>
        <v>1.3248174725859538E-4</v>
      </c>
      <c r="Q689" s="34"/>
      <c r="R689" s="23"/>
      <c r="S689" s="34"/>
      <c r="T689" s="23"/>
      <c r="U689" s="2"/>
      <c r="W689" s="34"/>
      <c r="X689" s="23"/>
      <c r="Y689" s="34"/>
      <c r="Z689" s="23"/>
      <c r="AA689" s="2"/>
      <c r="AC689" s="244"/>
    </row>
    <row r="690" spans="10:29">
      <c r="J690" s="412">
        <v>41813</v>
      </c>
      <c r="K690" s="413">
        <v>18.099785000000001</v>
      </c>
      <c r="L690" s="30">
        <f t="shared" si="32"/>
        <v>1.5743709441320825E-2</v>
      </c>
      <c r="M690" s="414">
        <v>1962.6099850000001</v>
      </c>
      <c r="N690" s="31">
        <f t="shared" si="33"/>
        <v>6.4769921381449174E-3</v>
      </c>
      <c r="Q690" s="34"/>
      <c r="R690" s="23"/>
      <c r="S690" s="34"/>
      <c r="T690" s="23"/>
      <c r="U690" s="2"/>
      <c r="W690" s="34"/>
      <c r="X690" s="23"/>
      <c r="Y690" s="34"/>
      <c r="Z690" s="23"/>
      <c r="AA690" s="2"/>
      <c r="AC690" s="244"/>
    </row>
    <row r="691" spans="10:29">
      <c r="J691" s="412">
        <v>41814</v>
      </c>
      <c r="K691" s="413">
        <v>17.819244000000001</v>
      </c>
      <c r="L691" s="30">
        <f t="shared" si="32"/>
        <v>-1.0209604506970071E-2</v>
      </c>
      <c r="M691" s="414">
        <v>1949.9799800000001</v>
      </c>
      <c r="N691" s="31">
        <f t="shared" si="33"/>
        <v>-4.8736425870817539E-3</v>
      </c>
      <c r="Q691" s="34"/>
      <c r="R691" s="23"/>
      <c r="S691" s="34"/>
      <c r="T691" s="23"/>
      <c r="U691" s="2"/>
      <c r="W691" s="34"/>
      <c r="X691" s="23"/>
      <c r="Y691" s="34"/>
      <c r="Z691" s="23"/>
      <c r="AA691" s="2"/>
      <c r="AC691" s="244"/>
    </row>
    <row r="692" spans="10:29">
      <c r="J692" s="412">
        <v>41815</v>
      </c>
      <c r="K692" s="413">
        <v>18.003048</v>
      </c>
      <c r="L692" s="30">
        <f t="shared" si="32"/>
        <v>1.3616590454665758E-2</v>
      </c>
      <c r="M692" s="414">
        <v>1959.530029</v>
      </c>
      <c r="N692" s="31">
        <f t="shared" si="33"/>
        <v>1.1802751015358541E-3</v>
      </c>
      <c r="Q692" s="34"/>
      <c r="R692" s="23"/>
      <c r="S692" s="34"/>
      <c r="T692" s="23"/>
      <c r="U692" s="2"/>
      <c r="W692" s="34"/>
      <c r="X692" s="23"/>
      <c r="Y692" s="34"/>
      <c r="Z692" s="23"/>
      <c r="AA692" s="2"/>
      <c r="AC692" s="244"/>
    </row>
    <row r="693" spans="10:29">
      <c r="J693" s="412">
        <v>41816</v>
      </c>
      <c r="K693" s="413">
        <v>17.761201</v>
      </c>
      <c r="L693" s="30">
        <f t="shared" si="32"/>
        <v>-1.0880430168992412E-3</v>
      </c>
      <c r="M693" s="414">
        <v>1957.219971</v>
      </c>
      <c r="N693" s="31">
        <f t="shared" si="33"/>
        <v>-1.9072240506597647E-3</v>
      </c>
      <c r="Q693" s="34"/>
      <c r="R693" s="23"/>
      <c r="S693" s="34"/>
      <c r="T693" s="23"/>
      <c r="U693" s="2"/>
      <c r="W693" s="34"/>
      <c r="X693" s="23"/>
      <c r="Y693" s="34"/>
      <c r="Z693" s="23"/>
      <c r="AA693" s="2"/>
      <c r="AC693" s="244"/>
    </row>
    <row r="694" spans="10:29">
      <c r="J694" s="412">
        <v>41817</v>
      </c>
      <c r="K694" s="413">
        <v>17.780546999999999</v>
      </c>
      <c r="L694" s="30">
        <f t="shared" si="32"/>
        <v>-8.6301167232432398E-3</v>
      </c>
      <c r="M694" s="414">
        <v>1960.959961</v>
      </c>
      <c r="N694" s="31">
        <f t="shared" si="33"/>
        <v>3.7239559003171275E-4</v>
      </c>
      <c r="Q694" s="34"/>
      <c r="R694" s="23"/>
      <c r="S694" s="34"/>
      <c r="T694" s="23"/>
      <c r="U694" s="2"/>
      <c r="W694" s="34"/>
      <c r="X694" s="23"/>
      <c r="Y694" s="34"/>
      <c r="Z694" s="23"/>
      <c r="AA694" s="2"/>
      <c r="AC694" s="244"/>
    </row>
    <row r="695" spans="10:29">
      <c r="J695" s="412">
        <v>41820</v>
      </c>
      <c r="K695" s="413">
        <v>17.935331000000001</v>
      </c>
      <c r="L695" s="30">
        <f t="shared" si="32"/>
        <v>-1.1199945574273684E-2</v>
      </c>
      <c r="M695" s="414">
        <v>1960.2299800000001</v>
      </c>
      <c r="N695" s="31">
        <f t="shared" si="33"/>
        <v>-6.6334737185086978E-3</v>
      </c>
      <c r="Q695" s="34"/>
      <c r="R695" s="23"/>
      <c r="S695" s="34"/>
      <c r="T695" s="23"/>
      <c r="U695" s="2"/>
      <c r="W695" s="34"/>
      <c r="X695" s="23"/>
      <c r="Y695" s="34"/>
      <c r="Z695" s="23"/>
      <c r="AA695" s="2"/>
      <c r="AC695" s="244"/>
    </row>
    <row r="696" spans="10:29">
      <c r="J696" s="412">
        <v>41821</v>
      </c>
      <c r="K696" s="413">
        <v>18.138480999999999</v>
      </c>
      <c r="L696" s="30">
        <f t="shared" si="32"/>
        <v>3.747323577464586E-3</v>
      </c>
      <c r="M696" s="414">
        <v>1973.3199460000001</v>
      </c>
      <c r="N696" s="31">
        <f t="shared" si="33"/>
        <v>-6.583793354123027E-4</v>
      </c>
      <c r="Q696" s="34"/>
      <c r="R696" s="23"/>
      <c r="S696" s="34"/>
      <c r="T696" s="23"/>
      <c r="U696" s="2"/>
      <c r="W696" s="34"/>
      <c r="X696" s="23"/>
      <c r="Y696" s="34"/>
      <c r="Z696" s="23"/>
      <c r="AA696" s="2"/>
      <c r="AC696" s="244"/>
    </row>
    <row r="697" spans="10:29">
      <c r="J697" s="412">
        <v>41822</v>
      </c>
      <c r="K697" s="413">
        <v>18.070764</v>
      </c>
      <c r="L697" s="30">
        <f t="shared" si="32"/>
        <v>-9.0185914949203385E-3</v>
      </c>
      <c r="M697" s="414">
        <v>1974.619995</v>
      </c>
      <c r="N697" s="31">
        <f t="shared" si="33"/>
        <v>-5.4496465879247027E-3</v>
      </c>
      <c r="Q697" s="34"/>
      <c r="R697" s="23"/>
      <c r="S697" s="34"/>
      <c r="T697" s="23"/>
      <c r="U697" s="2"/>
      <c r="W697" s="34"/>
      <c r="X697" s="23"/>
      <c r="Y697" s="34"/>
      <c r="Z697" s="23"/>
      <c r="AA697" s="2"/>
      <c r="AC697" s="244"/>
    </row>
    <row r="698" spans="10:29">
      <c r="J698" s="412">
        <v>41823</v>
      </c>
      <c r="K698" s="413">
        <v>18.235220000000002</v>
      </c>
      <c r="L698" s="30">
        <f t="shared" si="32"/>
        <v>8.0213986513737699E-3</v>
      </c>
      <c r="M698" s="414">
        <v>1985.4399410000001</v>
      </c>
      <c r="N698" s="31">
        <f t="shared" si="33"/>
        <v>3.9389765152906845E-3</v>
      </c>
      <c r="Q698" s="34"/>
      <c r="R698" s="23"/>
      <c r="S698" s="34"/>
      <c r="T698" s="23"/>
      <c r="U698" s="2"/>
      <c r="W698" s="34"/>
      <c r="X698" s="23"/>
      <c r="Y698" s="34"/>
      <c r="Z698" s="23"/>
      <c r="AA698" s="2"/>
      <c r="AC698" s="244"/>
    </row>
    <row r="699" spans="10:29">
      <c r="J699" s="412">
        <v>41827</v>
      </c>
      <c r="K699" s="413">
        <v>18.090112000000001</v>
      </c>
      <c r="L699" s="30">
        <f t="shared" si="32"/>
        <v>8.0863179571494907E-3</v>
      </c>
      <c r="M699" s="414">
        <v>1977.650024</v>
      </c>
      <c r="N699" s="31">
        <f t="shared" si="33"/>
        <v>7.0988400918948176E-3</v>
      </c>
      <c r="Q699" s="34"/>
      <c r="R699" s="23"/>
      <c r="S699" s="34"/>
      <c r="T699" s="23"/>
      <c r="U699" s="2"/>
      <c r="W699" s="34"/>
      <c r="X699" s="23"/>
      <c r="Y699" s="34"/>
      <c r="Z699" s="23"/>
      <c r="AA699" s="2"/>
      <c r="AC699" s="244"/>
    </row>
    <row r="700" spans="10:29">
      <c r="J700" s="412">
        <v>41828</v>
      </c>
      <c r="K700" s="413">
        <v>17.945003</v>
      </c>
      <c r="L700" s="30">
        <f t="shared" si="32"/>
        <v>-2.9304084981992565E-2</v>
      </c>
      <c r="M700" s="414">
        <v>1963.709961</v>
      </c>
      <c r="N700" s="31">
        <f t="shared" si="33"/>
        <v>-4.6227983168357859E-3</v>
      </c>
      <c r="Q700" s="34"/>
      <c r="R700" s="23"/>
      <c r="S700" s="34"/>
      <c r="T700" s="23"/>
      <c r="U700" s="2"/>
      <c r="W700" s="34"/>
      <c r="X700" s="23"/>
      <c r="Y700" s="34"/>
      <c r="Z700" s="23"/>
      <c r="AA700" s="2"/>
      <c r="AC700" s="244"/>
    </row>
    <row r="701" spans="10:29">
      <c r="J701" s="412">
        <v>41829</v>
      </c>
      <c r="K701" s="413">
        <v>18.486740000000001</v>
      </c>
      <c r="L701" s="30">
        <f t="shared" si="32"/>
        <v>5.2604129820329783E-3</v>
      </c>
      <c r="M701" s="414">
        <v>1972.829956</v>
      </c>
      <c r="N701" s="31">
        <f t="shared" si="33"/>
        <v>4.1482082456160115E-3</v>
      </c>
      <c r="Q701" s="34"/>
      <c r="R701" s="23"/>
      <c r="S701" s="34"/>
      <c r="T701" s="23"/>
      <c r="U701" s="2"/>
      <c r="W701" s="34"/>
      <c r="X701" s="23"/>
      <c r="Y701" s="34"/>
      <c r="Z701" s="23"/>
      <c r="AA701" s="2"/>
      <c r="AC701" s="244"/>
    </row>
    <row r="702" spans="10:29">
      <c r="J702" s="412">
        <v>41830</v>
      </c>
      <c r="K702" s="413">
        <v>18.390001000000002</v>
      </c>
      <c r="L702" s="30">
        <f t="shared" si="32"/>
        <v>-2.0997144887515123E-3</v>
      </c>
      <c r="M702" s="414">
        <v>1964.6800539999999</v>
      </c>
      <c r="N702" s="31">
        <f t="shared" si="33"/>
        <v>-1.4687620157419019E-3</v>
      </c>
      <c r="Q702" s="34"/>
      <c r="R702" s="23"/>
      <c r="S702" s="34"/>
      <c r="T702" s="23"/>
      <c r="U702" s="2"/>
      <c r="W702" s="34"/>
      <c r="X702" s="23"/>
      <c r="Y702" s="34"/>
      <c r="Z702" s="23"/>
      <c r="AA702" s="2"/>
      <c r="AC702" s="244"/>
    </row>
    <row r="703" spans="10:29">
      <c r="J703" s="412">
        <v>41831</v>
      </c>
      <c r="K703" s="413">
        <v>18.428695999999999</v>
      </c>
      <c r="L703" s="30">
        <f t="shared" si="32"/>
        <v>-1.2441756466874296E-2</v>
      </c>
      <c r="M703" s="414">
        <v>1967.5699460000001</v>
      </c>
      <c r="N703" s="31">
        <f t="shared" si="33"/>
        <v>-4.8202064213670789E-3</v>
      </c>
      <c r="Q703" s="34"/>
      <c r="R703" s="23"/>
      <c r="S703" s="34"/>
      <c r="T703" s="23"/>
      <c r="U703" s="2"/>
      <c r="W703" s="34"/>
      <c r="X703" s="23"/>
      <c r="Y703" s="34"/>
      <c r="Z703" s="23"/>
      <c r="AA703" s="2"/>
      <c r="AC703" s="244"/>
    </row>
    <row r="704" spans="10:29">
      <c r="J704" s="412">
        <v>41834</v>
      </c>
      <c r="K704" s="413">
        <v>18.660869999999999</v>
      </c>
      <c r="L704" s="30">
        <f t="shared" si="32"/>
        <v>-4.1301057766247465E-3</v>
      </c>
      <c r="M704" s="414">
        <v>1977.099976</v>
      </c>
      <c r="N704" s="31">
        <f t="shared" si="33"/>
        <v>1.9358362441522265E-3</v>
      </c>
      <c r="Q704" s="34"/>
      <c r="R704" s="23"/>
      <c r="S704" s="34"/>
      <c r="T704" s="23"/>
      <c r="U704" s="2"/>
      <c r="W704" s="34"/>
      <c r="X704" s="23"/>
      <c r="Y704" s="34"/>
      <c r="Z704" s="23"/>
      <c r="AA704" s="2"/>
      <c r="AC704" s="244"/>
    </row>
    <row r="705" spans="10:29">
      <c r="J705" s="412">
        <v>41835</v>
      </c>
      <c r="K705" s="413">
        <v>18.738261000000001</v>
      </c>
      <c r="L705" s="30">
        <f t="shared" si="32"/>
        <v>1.0336070262199951E-3</v>
      </c>
      <c r="M705" s="414">
        <v>1973.280029</v>
      </c>
      <c r="N705" s="31">
        <f t="shared" si="33"/>
        <v>-4.1835096544202734E-3</v>
      </c>
      <c r="Q705" s="34"/>
      <c r="R705" s="23"/>
      <c r="S705" s="34"/>
      <c r="T705" s="23"/>
      <c r="U705" s="2"/>
      <c r="W705" s="34"/>
      <c r="X705" s="23"/>
      <c r="Y705" s="34"/>
      <c r="Z705" s="23"/>
      <c r="AA705" s="2"/>
      <c r="AC705" s="244"/>
    </row>
    <row r="706" spans="10:29">
      <c r="J706" s="412">
        <v>41836</v>
      </c>
      <c r="K706" s="413">
        <v>18.718913000000001</v>
      </c>
      <c r="L706" s="30">
        <f t="shared" si="32"/>
        <v>2.5907657099616872E-3</v>
      </c>
      <c r="M706" s="414">
        <v>1981.5699460000001</v>
      </c>
      <c r="N706" s="31">
        <f t="shared" si="33"/>
        <v>1.1975747686494594E-2</v>
      </c>
      <c r="Q706" s="34"/>
      <c r="R706" s="23"/>
      <c r="S706" s="34"/>
      <c r="T706" s="23"/>
      <c r="U706" s="2"/>
      <c r="W706" s="34"/>
      <c r="X706" s="23"/>
      <c r="Y706" s="34"/>
      <c r="Z706" s="23"/>
      <c r="AA706" s="2"/>
      <c r="AC706" s="244"/>
    </row>
    <row r="707" spans="10:29">
      <c r="J707" s="412">
        <v>41837</v>
      </c>
      <c r="K707" s="413">
        <v>18.670542000000001</v>
      </c>
      <c r="L707" s="30">
        <f t="shared" si="32"/>
        <v>4.6637649428833999E-2</v>
      </c>
      <c r="M707" s="414">
        <v>1958.119995</v>
      </c>
      <c r="N707" s="31">
        <f t="shared" si="33"/>
        <v>-1.0160637489590873E-2</v>
      </c>
      <c r="Q707" s="34"/>
      <c r="R707" s="23"/>
      <c r="S707" s="34"/>
      <c r="T707" s="23"/>
      <c r="U707" s="2"/>
      <c r="W707" s="34"/>
      <c r="X707" s="23"/>
      <c r="Y707" s="34"/>
      <c r="Z707" s="23"/>
      <c r="AA707" s="2"/>
      <c r="AC707" s="244"/>
    </row>
    <row r="708" spans="10:29">
      <c r="J708" s="412">
        <v>41838</v>
      </c>
      <c r="K708" s="413">
        <v>17.838591999999998</v>
      </c>
      <c r="L708" s="30">
        <f t="shared" si="32"/>
        <v>-5.9298401900518697E-3</v>
      </c>
      <c r="M708" s="414">
        <v>1978.219971</v>
      </c>
      <c r="N708" s="31">
        <f t="shared" si="33"/>
        <v>2.3256466452028853E-3</v>
      </c>
      <c r="Q708" s="34"/>
      <c r="R708" s="23"/>
      <c r="S708" s="34"/>
      <c r="T708" s="23"/>
      <c r="U708" s="2"/>
      <c r="W708" s="34"/>
      <c r="X708" s="23"/>
      <c r="Y708" s="34"/>
      <c r="Z708" s="23"/>
      <c r="AA708" s="2"/>
      <c r="AC708" s="244"/>
    </row>
    <row r="709" spans="10:29">
      <c r="J709" s="412">
        <v>41841</v>
      </c>
      <c r="K709" s="413">
        <v>17.945003</v>
      </c>
      <c r="L709" s="30">
        <f t="shared" si="32"/>
        <v>4.3313566468758469E-3</v>
      </c>
      <c r="M709" s="414">
        <v>1973.630005</v>
      </c>
      <c r="N709" s="31">
        <f t="shared" si="33"/>
        <v>-4.9911137493548023E-3</v>
      </c>
      <c r="Q709" s="34"/>
      <c r="R709" s="23"/>
      <c r="S709" s="34"/>
      <c r="T709" s="23"/>
      <c r="U709" s="2"/>
      <c r="W709" s="34"/>
      <c r="X709" s="23"/>
      <c r="Y709" s="34"/>
      <c r="Z709" s="23"/>
      <c r="AA709" s="2"/>
      <c r="AC709" s="244"/>
    </row>
    <row r="710" spans="10:29">
      <c r="J710" s="412">
        <v>41842</v>
      </c>
      <c r="K710" s="413">
        <v>17.867612000000001</v>
      </c>
      <c r="L710" s="30">
        <f t="shared" si="32"/>
        <v>2.1570774071069807E-2</v>
      </c>
      <c r="M710" s="414">
        <v>1983.530029</v>
      </c>
      <c r="N710" s="31">
        <f t="shared" si="33"/>
        <v>-1.7513656108858518E-3</v>
      </c>
      <c r="Q710" s="34"/>
      <c r="R710" s="23"/>
      <c r="S710" s="34"/>
      <c r="T710" s="23"/>
      <c r="U710" s="2"/>
      <c r="W710" s="34"/>
      <c r="X710" s="23"/>
      <c r="Y710" s="34"/>
      <c r="Z710" s="23"/>
      <c r="AA710" s="2"/>
      <c r="AC710" s="244"/>
    </row>
    <row r="711" spans="10:29">
      <c r="J711" s="412">
        <v>41843</v>
      </c>
      <c r="K711" s="413">
        <v>17.490331999999999</v>
      </c>
      <c r="L711" s="30">
        <f t="shared" si="32"/>
        <v>-1.6566249157005061E-3</v>
      </c>
      <c r="M711" s="414">
        <v>1987.01001</v>
      </c>
      <c r="N711" s="31">
        <f t="shared" si="33"/>
        <v>-4.8791738838340967E-4</v>
      </c>
      <c r="Q711" s="34"/>
      <c r="R711" s="23"/>
      <c r="S711" s="34"/>
      <c r="T711" s="23"/>
      <c r="U711" s="2"/>
      <c r="W711" s="34"/>
      <c r="X711" s="23"/>
      <c r="Y711" s="34"/>
      <c r="Z711" s="23"/>
      <c r="AA711" s="2"/>
      <c r="AC711" s="244"/>
    </row>
    <row r="712" spans="10:29">
      <c r="J712" s="412">
        <v>41844</v>
      </c>
      <c r="K712" s="413">
        <v>17.519355000000001</v>
      </c>
      <c r="L712" s="30">
        <f t="shared" ref="L712:L775" si="34">(K712-K713)/K713</f>
        <v>1.7987608449887175E-2</v>
      </c>
      <c r="M712" s="414">
        <v>1987.9799800000001</v>
      </c>
      <c r="N712" s="31">
        <f t="shared" si="33"/>
        <v>4.8727792824663912E-3</v>
      </c>
      <c r="Q712" s="34"/>
      <c r="R712" s="23"/>
      <c r="S712" s="34"/>
      <c r="T712" s="23"/>
      <c r="U712" s="2"/>
      <c r="W712" s="34"/>
      <c r="X712" s="23"/>
      <c r="Y712" s="34"/>
      <c r="Z712" s="23"/>
      <c r="AA712" s="2"/>
      <c r="AC712" s="244"/>
    </row>
    <row r="713" spans="10:29">
      <c r="J713" s="412">
        <v>41845</v>
      </c>
      <c r="K713" s="413">
        <v>17.209792</v>
      </c>
      <c r="L713" s="30">
        <f t="shared" si="34"/>
        <v>3.950455700427848E-3</v>
      </c>
      <c r="M713" s="414">
        <v>1978.339966</v>
      </c>
      <c r="N713" s="31">
        <f t="shared" si="33"/>
        <v>-2.8807171129841875E-4</v>
      </c>
      <c r="Q713" s="34"/>
      <c r="R713" s="23"/>
      <c r="S713" s="34"/>
      <c r="T713" s="23"/>
      <c r="U713" s="2"/>
      <c r="W713" s="34"/>
      <c r="X713" s="23"/>
      <c r="Y713" s="34"/>
      <c r="Z713" s="23"/>
      <c r="AA713" s="2"/>
      <c r="AC713" s="244"/>
    </row>
    <row r="714" spans="10:29">
      <c r="J714" s="412">
        <v>41848</v>
      </c>
      <c r="K714" s="413">
        <v>17.142073</v>
      </c>
      <c r="L714" s="30">
        <f t="shared" si="34"/>
        <v>-3.3746861504089626E-3</v>
      </c>
      <c r="M714" s="414">
        <v>1978.910034</v>
      </c>
      <c r="N714" s="31">
        <f t="shared" ref="N714:N777" si="35">(M714-M715)/M715</f>
        <v>4.5483810365088513E-3</v>
      </c>
      <c r="Q714" s="34"/>
      <c r="R714" s="23"/>
      <c r="S714" s="34"/>
      <c r="T714" s="23"/>
      <c r="U714" s="2"/>
      <c r="W714" s="34"/>
      <c r="X714" s="23"/>
      <c r="Y714" s="34"/>
      <c r="Z714" s="23"/>
      <c r="AA714" s="2"/>
      <c r="AC714" s="244"/>
    </row>
    <row r="715" spans="10:29">
      <c r="J715" s="412">
        <v>41849</v>
      </c>
      <c r="K715" s="413">
        <v>17.200118</v>
      </c>
      <c r="L715" s="30">
        <f t="shared" si="34"/>
        <v>-1.6592823966977806E-2</v>
      </c>
      <c r="M715" s="414">
        <v>1969.9499510000001</v>
      </c>
      <c r="N715" s="31">
        <f t="shared" si="35"/>
        <v>-6.0909004902923976E-5</v>
      </c>
      <c r="Q715" s="34"/>
      <c r="R715" s="23"/>
      <c r="S715" s="34"/>
      <c r="T715" s="23"/>
      <c r="U715" s="2"/>
      <c r="W715" s="34"/>
      <c r="X715" s="23"/>
      <c r="Y715" s="34"/>
      <c r="Z715" s="23"/>
      <c r="AA715" s="2"/>
      <c r="AC715" s="244"/>
    </row>
    <row r="716" spans="10:29">
      <c r="J716" s="412">
        <v>41850</v>
      </c>
      <c r="K716" s="413">
        <v>17.490331999999999</v>
      </c>
      <c r="L716" s="30">
        <f t="shared" si="34"/>
        <v>3.3142816908180633E-2</v>
      </c>
      <c r="M716" s="414">
        <v>1970.0699460000001</v>
      </c>
      <c r="N716" s="31">
        <f t="shared" si="35"/>
        <v>2.0407372105059766E-2</v>
      </c>
      <c r="Q716" s="34"/>
      <c r="R716" s="23"/>
      <c r="S716" s="34"/>
      <c r="T716" s="23"/>
      <c r="U716" s="2"/>
      <c r="W716" s="34"/>
      <c r="X716" s="23"/>
      <c r="Y716" s="34"/>
      <c r="Z716" s="23"/>
      <c r="AA716" s="2"/>
      <c r="AC716" s="244"/>
    </row>
    <row r="717" spans="10:29">
      <c r="J717" s="412">
        <v>41851</v>
      </c>
      <c r="K717" s="413">
        <v>16.929248999999999</v>
      </c>
      <c r="L717" s="30">
        <f t="shared" si="34"/>
        <v>-1.0740573292211628E-2</v>
      </c>
      <c r="M717" s="414">
        <v>1930.670044</v>
      </c>
      <c r="N717" s="31">
        <f t="shared" si="35"/>
        <v>2.867319393909184E-3</v>
      </c>
      <c r="Q717" s="34"/>
      <c r="R717" s="23"/>
      <c r="S717" s="34"/>
      <c r="T717" s="23"/>
      <c r="U717" s="2"/>
      <c r="W717" s="34"/>
      <c r="X717" s="23"/>
      <c r="Y717" s="34"/>
      <c r="Z717" s="23"/>
      <c r="AA717" s="2"/>
      <c r="AC717" s="244"/>
    </row>
    <row r="718" spans="10:29">
      <c r="J718" s="412">
        <v>41852</v>
      </c>
      <c r="K718" s="413">
        <v>17.113053000000001</v>
      </c>
      <c r="L718" s="30">
        <f t="shared" si="34"/>
        <v>2.2663812327679642E-3</v>
      </c>
      <c r="M718" s="414">
        <v>1925.150024</v>
      </c>
      <c r="N718" s="31">
        <f t="shared" si="35"/>
        <v>-7.1377191586223729E-3</v>
      </c>
      <c r="Q718" s="34"/>
      <c r="R718" s="23"/>
      <c r="S718" s="34"/>
      <c r="T718" s="23"/>
      <c r="U718" s="2"/>
      <c r="W718" s="34"/>
      <c r="X718" s="23"/>
      <c r="Y718" s="34"/>
      <c r="Z718" s="23"/>
      <c r="AA718" s="2"/>
      <c r="AC718" s="244"/>
    </row>
    <row r="719" spans="10:29">
      <c r="J719" s="412">
        <v>41855</v>
      </c>
      <c r="K719" s="413">
        <v>17.074356000000002</v>
      </c>
      <c r="L719" s="30">
        <f t="shared" si="34"/>
        <v>-5.6625983447680976E-4</v>
      </c>
      <c r="M719" s="414">
        <v>1938.98999</v>
      </c>
      <c r="N719" s="31">
        <f t="shared" si="35"/>
        <v>9.7801955939338103E-3</v>
      </c>
      <c r="Q719" s="34"/>
      <c r="R719" s="23"/>
      <c r="S719" s="34"/>
      <c r="T719" s="23"/>
      <c r="U719" s="2"/>
      <c r="W719" s="34"/>
      <c r="X719" s="23"/>
      <c r="Y719" s="34"/>
      <c r="Z719" s="23"/>
      <c r="AA719" s="2"/>
      <c r="AC719" s="244"/>
    </row>
    <row r="720" spans="10:29">
      <c r="J720" s="412">
        <v>41856</v>
      </c>
      <c r="K720" s="413">
        <v>17.084029999999998</v>
      </c>
      <c r="L720" s="30">
        <f t="shared" si="34"/>
        <v>1.1338037239719588E-3</v>
      </c>
      <c r="M720" s="414">
        <v>1920.209961</v>
      </c>
      <c r="N720" s="31">
        <f t="shared" si="35"/>
        <v>-1.56381494794373E-5</v>
      </c>
      <c r="Q720" s="34"/>
      <c r="R720" s="23"/>
      <c r="S720" s="34"/>
      <c r="T720" s="23"/>
      <c r="U720" s="2"/>
      <c r="W720" s="34"/>
      <c r="X720" s="23"/>
      <c r="Y720" s="34"/>
      <c r="Z720" s="23"/>
      <c r="AA720" s="2"/>
      <c r="AC720" s="244"/>
    </row>
    <row r="721" spans="10:29">
      <c r="J721" s="412">
        <v>41857</v>
      </c>
      <c r="K721" s="413">
        <v>17.064682000000001</v>
      </c>
      <c r="L721" s="30">
        <f t="shared" si="34"/>
        <v>1.0309253936209231E-2</v>
      </c>
      <c r="M721" s="414">
        <v>1920.23999</v>
      </c>
      <c r="N721" s="31">
        <f t="shared" si="35"/>
        <v>5.5876685859822181E-3</v>
      </c>
      <c r="Q721" s="34"/>
      <c r="R721" s="23"/>
      <c r="S721" s="34"/>
      <c r="T721" s="23"/>
      <c r="U721" s="2"/>
      <c r="W721" s="34"/>
      <c r="X721" s="23"/>
      <c r="Y721" s="34"/>
      <c r="Z721" s="23"/>
      <c r="AA721" s="2"/>
      <c r="AC721" s="244"/>
    </row>
    <row r="722" spans="10:29">
      <c r="J722" s="412">
        <v>41858</v>
      </c>
      <c r="K722" s="413">
        <v>16.890553000000001</v>
      </c>
      <c r="L722" s="30">
        <f t="shared" si="34"/>
        <v>-8.1052638508553224E-2</v>
      </c>
      <c r="M722" s="414">
        <v>1909.5699460000001</v>
      </c>
      <c r="N722" s="31">
        <f t="shared" si="35"/>
        <v>-1.1399945323592519E-2</v>
      </c>
      <c r="Q722" s="34"/>
      <c r="R722" s="23"/>
      <c r="S722" s="34"/>
      <c r="T722" s="23"/>
      <c r="U722" s="2"/>
      <c r="W722" s="34"/>
      <c r="X722" s="23"/>
      <c r="Y722" s="34"/>
      <c r="Z722" s="23"/>
      <c r="AA722" s="2"/>
      <c r="AC722" s="244"/>
    </row>
    <row r="723" spans="10:29">
      <c r="J723" s="412">
        <v>41859</v>
      </c>
      <c r="K723" s="413">
        <v>18.380327000000001</v>
      </c>
      <c r="L723" s="30">
        <f t="shared" si="34"/>
        <v>5.2910293100019235E-3</v>
      </c>
      <c r="M723" s="414">
        <v>1931.589966</v>
      </c>
      <c r="N723" s="31">
        <f t="shared" si="35"/>
        <v>-2.7518317116449636E-3</v>
      </c>
      <c r="Q723" s="34"/>
      <c r="R723" s="23"/>
      <c r="S723" s="34"/>
      <c r="T723" s="23"/>
      <c r="U723" s="2"/>
      <c r="W723" s="34"/>
      <c r="X723" s="23"/>
      <c r="Y723" s="34"/>
      <c r="Z723" s="23"/>
      <c r="AA723" s="2"/>
      <c r="AC723" s="244"/>
    </row>
    <row r="724" spans="10:29">
      <c r="J724" s="412">
        <v>41862</v>
      </c>
      <c r="K724" s="413">
        <v>18.283588000000002</v>
      </c>
      <c r="L724" s="30">
        <f t="shared" si="34"/>
        <v>0</v>
      </c>
      <c r="M724" s="414">
        <v>1936.920044</v>
      </c>
      <c r="N724" s="31">
        <f t="shared" si="35"/>
        <v>1.6393246283128438E-3</v>
      </c>
      <c r="Q724" s="34"/>
      <c r="R724" s="23"/>
      <c r="S724" s="34"/>
      <c r="T724" s="23"/>
      <c r="U724" s="2"/>
      <c r="W724" s="34"/>
      <c r="X724" s="23"/>
      <c r="Y724" s="34"/>
      <c r="Z724" s="23"/>
      <c r="AA724" s="2"/>
      <c r="AC724" s="244"/>
    </row>
    <row r="725" spans="10:29">
      <c r="J725" s="412">
        <v>41863</v>
      </c>
      <c r="K725" s="413">
        <v>18.283588000000002</v>
      </c>
      <c r="L725" s="30">
        <f t="shared" si="34"/>
        <v>-5.7864597179739068E-3</v>
      </c>
      <c r="M725" s="414">
        <v>1933.75</v>
      </c>
      <c r="N725" s="31">
        <f t="shared" si="35"/>
        <v>-6.6624739013374963E-3</v>
      </c>
      <c r="Q725" s="34"/>
      <c r="R725" s="23"/>
      <c r="S725" s="34"/>
      <c r="T725" s="23"/>
      <c r="U725" s="2"/>
      <c r="W725" s="34"/>
      <c r="X725" s="23"/>
      <c r="Y725" s="34"/>
      <c r="Z725" s="23"/>
      <c r="AA725" s="2"/>
      <c r="AC725" s="244"/>
    </row>
    <row r="726" spans="10:29">
      <c r="J726" s="412">
        <v>41864</v>
      </c>
      <c r="K726" s="413">
        <v>18.390001000000002</v>
      </c>
      <c r="L726" s="30">
        <f t="shared" si="34"/>
        <v>1.1170269242352147E-2</v>
      </c>
      <c r="M726" s="414">
        <v>1946.719971</v>
      </c>
      <c r="N726" s="31">
        <f t="shared" si="35"/>
        <v>-4.327009669872553E-3</v>
      </c>
      <c r="Q726" s="34"/>
      <c r="R726" s="23"/>
      <c r="S726" s="34"/>
      <c r="T726" s="23"/>
      <c r="U726" s="2"/>
      <c r="W726" s="34"/>
      <c r="X726" s="23"/>
      <c r="Y726" s="34"/>
      <c r="Z726" s="23"/>
      <c r="AA726" s="2"/>
      <c r="AC726" s="244"/>
    </row>
    <row r="727" spans="10:29">
      <c r="J727" s="412">
        <v>41865</v>
      </c>
      <c r="K727" s="413">
        <v>18.186848999999999</v>
      </c>
      <c r="L727" s="30">
        <f t="shared" si="34"/>
        <v>-1.2605173868061715E-2</v>
      </c>
      <c r="M727" s="414">
        <v>1955.1800539999999</v>
      </c>
      <c r="N727" s="31">
        <f t="shared" si="35"/>
        <v>6.1376631089990043E-5</v>
      </c>
      <c r="Q727" s="34"/>
      <c r="R727" s="23"/>
      <c r="S727" s="34"/>
      <c r="T727" s="23"/>
      <c r="U727" s="2"/>
      <c r="W727" s="34"/>
      <c r="X727" s="23"/>
      <c r="Y727" s="34"/>
      <c r="Z727" s="23"/>
      <c r="AA727" s="2"/>
      <c r="AC727" s="244"/>
    </row>
    <row r="728" spans="10:29">
      <c r="J728" s="412">
        <v>41866</v>
      </c>
      <c r="K728" s="413">
        <v>18.419024</v>
      </c>
      <c r="L728" s="30">
        <f t="shared" si="34"/>
        <v>-1.3471381816339386E-2</v>
      </c>
      <c r="M728" s="414">
        <v>1955.0600589999999</v>
      </c>
      <c r="N728" s="31">
        <f t="shared" si="35"/>
        <v>-8.4594982526068879E-3</v>
      </c>
      <c r="Q728" s="34"/>
      <c r="R728" s="23"/>
      <c r="S728" s="34"/>
      <c r="T728" s="23"/>
      <c r="U728" s="2"/>
      <c r="W728" s="34"/>
      <c r="X728" s="23"/>
      <c r="Y728" s="34"/>
      <c r="Z728" s="23"/>
      <c r="AA728" s="2"/>
      <c r="AC728" s="244"/>
    </row>
    <row r="729" spans="10:29">
      <c r="J729" s="412">
        <v>41869</v>
      </c>
      <c r="K729" s="413">
        <v>18.670542000000001</v>
      </c>
      <c r="L729" s="30">
        <f t="shared" si="34"/>
        <v>-8.0021669236824793E-3</v>
      </c>
      <c r="M729" s="414">
        <v>1971.73999</v>
      </c>
      <c r="N729" s="31">
        <f t="shared" si="35"/>
        <v>-4.9757701450436108E-3</v>
      </c>
      <c r="Q729" s="34"/>
      <c r="R729" s="23"/>
      <c r="S729" s="34"/>
      <c r="T729" s="23"/>
      <c r="U729" s="2"/>
      <c r="W729" s="34"/>
      <c r="X729" s="23"/>
      <c r="Y729" s="34"/>
      <c r="Z729" s="23"/>
      <c r="AA729" s="2"/>
      <c r="AC729" s="244"/>
    </row>
    <row r="730" spans="10:29">
      <c r="J730" s="412">
        <v>41870</v>
      </c>
      <c r="K730" s="413">
        <v>18.821152000000001</v>
      </c>
      <c r="L730" s="30">
        <f t="shared" si="34"/>
        <v>6.2337766763941645E-3</v>
      </c>
      <c r="M730" s="414">
        <v>1981.599976</v>
      </c>
      <c r="N730" s="31">
        <f t="shared" si="35"/>
        <v>-2.4716885267545147E-3</v>
      </c>
      <c r="Q730" s="34"/>
      <c r="R730" s="23"/>
      <c r="S730" s="34"/>
      <c r="T730" s="23"/>
      <c r="U730" s="2"/>
      <c r="W730" s="34"/>
      <c r="X730" s="23"/>
      <c r="Y730" s="34"/>
      <c r="Z730" s="23"/>
      <c r="AA730" s="2"/>
      <c r="AC730" s="244"/>
    </row>
    <row r="731" spans="10:29">
      <c r="J731" s="412">
        <v>41871</v>
      </c>
      <c r="K731" s="413">
        <v>18.704552</v>
      </c>
      <c r="L731" s="30">
        <f t="shared" si="34"/>
        <v>9.4389252426327792E-3</v>
      </c>
      <c r="M731" s="414">
        <v>1986.51001</v>
      </c>
      <c r="N731" s="31">
        <f t="shared" si="35"/>
        <v>-2.9412132358478181E-3</v>
      </c>
      <c r="Q731" s="34"/>
      <c r="R731" s="23"/>
      <c r="S731" s="34"/>
      <c r="T731" s="23"/>
      <c r="U731" s="2"/>
      <c r="W731" s="34"/>
      <c r="X731" s="23"/>
      <c r="Y731" s="34"/>
      <c r="Z731" s="23"/>
      <c r="AA731" s="2"/>
      <c r="AC731" s="244"/>
    </row>
    <row r="732" spans="10:29">
      <c r="J732" s="412">
        <v>41872</v>
      </c>
      <c r="K732" s="413">
        <v>18.529651999999999</v>
      </c>
      <c r="L732" s="30">
        <f t="shared" si="34"/>
        <v>-5.2412787080304479E-4</v>
      </c>
      <c r="M732" s="414">
        <v>1992.369995</v>
      </c>
      <c r="N732" s="31">
        <f t="shared" si="35"/>
        <v>1.9965655562675585E-3</v>
      </c>
      <c r="Q732" s="34"/>
      <c r="R732" s="23"/>
      <c r="S732" s="34"/>
      <c r="T732" s="23"/>
      <c r="U732" s="2"/>
      <c r="W732" s="34"/>
      <c r="X732" s="23"/>
      <c r="Y732" s="34"/>
      <c r="Z732" s="23"/>
      <c r="AA732" s="2"/>
      <c r="AC732" s="244"/>
    </row>
    <row r="733" spans="10:29">
      <c r="J733" s="412">
        <v>41873</v>
      </c>
      <c r="K733" s="413">
        <v>18.539369000000001</v>
      </c>
      <c r="L733" s="30">
        <f t="shared" si="34"/>
        <v>-1.5698613335828125E-3</v>
      </c>
      <c r="M733" s="414">
        <v>1988.400024</v>
      </c>
      <c r="N733" s="31">
        <f t="shared" si="35"/>
        <v>-4.7649654592483437E-3</v>
      </c>
      <c r="Q733" s="34"/>
      <c r="R733" s="23"/>
      <c r="S733" s="34"/>
      <c r="T733" s="23"/>
      <c r="U733" s="2"/>
      <c r="W733" s="34"/>
      <c r="X733" s="23"/>
      <c r="Y733" s="34"/>
      <c r="Z733" s="23"/>
      <c r="AA733" s="2"/>
      <c r="AC733" s="244"/>
    </row>
    <row r="734" spans="10:29">
      <c r="J734" s="412">
        <v>41876</v>
      </c>
      <c r="K734" s="413">
        <v>18.568518999999998</v>
      </c>
      <c r="L734" s="30">
        <f t="shared" si="34"/>
        <v>-1.7480713809306818E-2</v>
      </c>
      <c r="M734" s="414">
        <v>1997.920044</v>
      </c>
      <c r="N734" s="31">
        <f t="shared" si="35"/>
        <v>-1.0499774897253127E-3</v>
      </c>
      <c r="Q734" s="34"/>
      <c r="R734" s="23"/>
      <c r="S734" s="34"/>
      <c r="T734" s="23"/>
      <c r="U734" s="2"/>
      <c r="W734" s="34"/>
      <c r="X734" s="23"/>
      <c r="Y734" s="34"/>
      <c r="Z734" s="23"/>
      <c r="AA734" s="2"/>
      <c r="AC734" s="244"/>
    </row>
    <row r="735" spans="10:29">
      <c r="J735" s="412">
        <v>41877</v>
      </c>
      <c r="K735" s="413">
        <v>18.898885</v>
      </c>
      <c r="L735" s="30">
        <f t="shared" si="34"/>
        <v>1.1440495050660141E-2</v>
      </c>
      <c r="M735" s="414">
        <v>2000.0200199999999</v>
      </c>
      <c r="N735" s="31">
        <f t="shared" si="35"/>
        <v>-4.9984501054940886E-5</v>
      </c>
      <c r="Q735" s="34"/>
      <c r="R735" s="23"/>
      <c r="S735" s="34"/>
      <c r="T735" s="23"/>
      <c r="U735" s="2"/>
      <c r="W735" s="34"/>
      <c r="X735" s="23"/>
      <c r="Y735" s="34"/>
      <c r="Z735" s="23"/>
      <c r="AA735" s="2"/>
      <c r="AC735" s="244"/>
    </row>
    <row r="736" spans="10:29">
      <c r="J736" s="412">
        <v>41878</v>
      </c>
      <c r="K736" s="413">
        <v>18.685117999999999</v>
      </c>
      <c r="L736" s="30">
        <f t="shared" si="34"/>
        <v>-8.251655044238573E-3</v>
      </c>
      <c r="M736" s="414">
        <v>2000.119995</v>
      </c>
      <c r="N736" s="31">
        <f t="shared" si="35"/>
        <v>1.6927617100511833E-3</v>
      </c>
      <c r="Q736" s="34"/>
      <c r="R736" s="23"/>
      <c r="S736" s="34"/>
      <c r="T736" s="23"/>
      <c r="U736" s="2"/>
      <c r="W736" s="34"/>
      <c r="X736" s="23"/>
      <c r="Y736" s="34"/>
      <c r="Z736" s="23"/>
      <c r="AA736" s="2"/>
      <c r="AC736" s="244"/>
    </row>
    <row r="737" spans="10:29">
      <c r="J737" s="412">
        <v>41879</v>
      </c>
      <c r="K737" s="413">
        <v>18.840584</v>
      </c>
      <c r="L737" s="30">
        <f t="shared" si="34"/>
        <v>-3.0848909869550588E-3</v>
      </c>
      <c r="M737" s="414">
        <v>1996.73999</v>
      </c>
      <c r="N737" s="31">
        <f t="shared" si="35"/>
        <v>-3.3094261252525061E-3</v>
      </c>
      <c r="Q737" s="34"/>
      <c r="R737" s="23"/>
      <c r="S737" s="34"/>
      <c r="T737" s="23"/>
      <c r="U737" s="2"/>
      <c r="W737" s="34"/>
      <c r="X737" s="23"/>
      <c r="Y737" s="34"/>
      <c r="Z737" s="23"/>
      <c r="AA737" s="2"/>
      <c r="AC737" s="244"/>
    </row>
    <row r="738" spans="10:29">
      <c r="J738" s="412">
        <v>41880</v>
      </c>
      <c r="K738" s="413">
        <v>18.898885</v>
      </c>
      <c r="L738" s="30">
        <f t="shared" si="34"/>
        <v>-2.5640893020640386E-3</v>
      </c>
      <c r="M738" s="414">
        <v>2003.369995</v>
      </c>
      <c r="N738" s="31">
        <f t="shared" si="35"/>
        <v>5.4436241894914486E-4</v>
      </c>
      <c r="Q738" s="34"/>
      <c r="R738" s="23"/>
      <c r="S738" s="34"/>
      <c r="T738" s="23"/>
      <c r="U738" s="2"/>
      <c r="W738" s="34"/>
      <c r="X738" s="23"/>
      <c r="Y738" s="34"/>
      <c r="Z738" s="23"/>
      <c r="AA738" s="2"/>
      <c r="AC738" s="244"/>
    </row>
    <row r="739" spans="10:29">
      <c r="J739" s="412">
        <v>41884</v>
      </c>
      <c r="K739" s="413">
        <v>18.947468000000001</v>
      </c>
      <c r="L739" s="30">
        <f t="shared" si="34"/>
        <v>-9.1463567692035286E-3</v>
      </c>
      <c r="M739" s="414">
        <v>2002.280029</v>
      </c>
      <c r="N739" s="31">
        <f t="shared" si="35"/>
        <v>7.7974830191767318E-4</v>
      </c>
      <c r="Q739" s="34"/>
      <c r="R739" s="23"/>
      <c r="S739" s="34"/>
      <c r="T739" s="23"/>
      <c r="U739" s="2"/>
      <c r="W739" s="34"/>
      <c r="X739" s="23"/>
      <c r="Y739" s="34"/>
      <c r="Z739" s="23"/>
      <c r="AA739" s="2"/>
      <c r="AC739" s="244"/>
    </row>
    <row r="740" spans="10:29">
      <c r="J740" s="412">
        <v>41885</v>
      </c>
      <c r="K740" s="413">
        <v>19.122368000000002</v>
      </c>
      <c r="L740" s="30">
        <f t="shared" si="34"/>
        <v>-1.7473801218561829E-2</v>
      </c>
      <c r="M740" s="414">
        <v>2000.719971</v>
      </c>
      <c r="N740" s="31">
        <f t="shared" si="35"/>
        <v>1.5367791971152382E-3</v>
      </c>
      <c r="Q740" s="34"/>
      <c r="R740" s="23"/>
      <c r="S740" s="34"/>
      <c r="T740" s="23"/>
      <c r="U740" s="2"/>
      <c r="W740" s="34"/>
      <c r="X740" s="23"/>
      <c r="Y740" s="34"/>
      <c r="Z740" s="23"/>
      <c r="AA740" s="2"/>
      <c r="AC740" s="244"/>
    </row>
    <row r="741" spans="10:29">
      <c r="J741" s="412">
        <v>41886</v>
      </c>
      <c r="K741" s="413">
        <v>19.462451000000001</v>
      </c>
      <c r="L741" s="30">
        <f t="shared" si="34"/>
        <v>3.0045634567863141E-3</v>
      </c>
      <c r="M741" s="414">
        <v>1997.650024</v>
      </c>
      <c r="N741" s="31">
        <f t="shared" si="35"/>
        <v>-5.010652532196104E-3</v>
      </c>
      <c r="Q741" s="34"/>
      <c r="R741" s="23"/>
      <c r="S741" s="34"/>
      <c r="T741" s="23"/>
      <c r="U741" s="2"/>
      <c r="W741" s="34"/>
      <c r="X741" s="23"/>
      <c r="Y741" s="34"/>
      <c r="Z741" s="23"/>
      <c r="AA741" s="2"/>
      <c r="AC741" s="244"/>
    </row>
    <row r="742" spans="10:29">
      <c r="J742" s="412">
        <v>41887</v>
      </c>
      <c r="K742" s="413">
        <v>19.404150000000001</v>
      </c>
      <c r="L742" s="30">
        <f t="shared" si="34"/>
        <v>9.095413591750862E-3</v>
      </c>
      <c r="M742" s="414">
        <v>2007.709961</v>
      </c>
      <c r="N742" s="31">
        <f t="shared" si="35"/>
        <v>3.0825873476318915E-3</v>
      </c>
      <c r="Q742" s="34"/>
      <c r="R742" s="23"/>
      <c r="S742" s="34"/>
      <c r="T742" s="23"/>
      <c r="U742" s="2"/>
      <c r="W742" s="34"/>
      <c r="X742" s="23"/>
      <c r="Y742" s="34"/>
      <c r="Z742" s="23"/>
      <c r="AA742" s="2"/>
      <c r="AC742" s="244"/>
    </row>
    <row r="743" spans="10:29">
      <c r="J743" s="412">
        <v>41890</v>
      </c>
      <c r="K743" s="413">
        <v>19.229251999999999</v>
      </c>
      <c r="L743" s="30">
        <f t="shared" si="34"/>
        <v>1.2794307063474782E-2</v>
      </c>
      <c r="M743" s="414">
        <v>2001.540039</v>
      </c>
      <c r="N743" s="31">
        <f t="shared" si="35"/>
        <v>6.588128577527848E-3</v>
      </c>
      <c r="Q743" s="34"/>
      <c r="R743" s="23"/>
      <c r="S743" s="34"/>
      <c r="T743" s="23"/>
      <c r="U743" s="2"/>
      <c r="W743" s="34"/>
      <c r="X743" s="23"/>
      <c r="Y743" s="34"/>
      <c r="Z743" s="23"/>
      <c r="AA743" s="2"/>
      <c r="AC743" s="244"/>
    </row>
    <row r="744" spans="10:29">
      <c r="J744" s="412">
        <v>41891</v>
      </c>
      <c r="K744" s="413">
        <v>18.986335</v>
      </c>
      <c r="L744" s="30">
        <f t="shared" si="34"/>
        <v>-3.5696307069377695E-3</v>
      </c>
      <c r="M744" s="414">
        <v>1988.4399410000001</v>
      </c>
      <c r="N744" s="31">
        <f t="shared" si="35"/>
        <v>-3.6328288533474147E-3</v>
      </c>
      <c r="Q744" s="34"/>
      <c r="R744" s="23"/>
      <c r="S744" s="34"/>
      <c r="T744" s="23"/>
      <c r="U744" s="2"/>
      <c r="W744" s="34"/>
      <c r="X744" s="23"/>
      <c r="Y744" s="34"/>
      <c r="Z744" s="23"/>
      <c r="AA744" s="2"/>
      <c r="AC744" s="244"/>
    </row>
    <row r="745" spans="10:29">
      <c r="J745" s="412">
        <v>41892</v>
      </c>
      <c r="K745" s="413">
        <v>19.054352000000002</v>
      </c>
      <c r="L745" s="30">
        <f t="shared" si="34"/>
        <v>1.0304019858305615E-2</v>
      </c>
      <c r="M745" s="414">
        <v>1995.6899410000001</v>
      </c>
      <c r="N745" s="31">
        <f t="shared" si="35"/>
        <v>-8.811284603746077E-4</v>
      </c>
      <c r="Q745" s="34"/>
      <c r="R745" s="23"/>
      <c r="S745" s="34"/>
      <c r="T745" s="23"/>
      <c r="U745" s="2"/>
      <c r="W745" s="34"/>
      <c r="X745" s="23"/>
      <c r="Y745" s="34"/>
      <c r="Z745" s="23"/>
      <c r="AA745" s="2"/>
      <c r="AC745" s="244"/>
    </row>
    <row r="746" spans="10:29">
      <c r="J746" s="412">
        <v>41893</v>
      </c>
      <c r="K746" s="413">
        <v>18.860018</v>
      </c>
      <c r="L746" s="30">
        <f t="shared" si="34"/>
        <v>1.5167317284590406E-2</v>
      </c>
      <c r="M746" s="414">
        <v>1997.4499510000001</v>
      </c>
      <c r="N746" s="31">
        <f t="shared" si="35"/>
        <v>5.9983237638453271E-3</v>
      </c>
      <c r="Q746" s="34"/>
      <c r="R746" s="23"/>
      <c r="S746" s="34"/>
      <c r="T746" s="23"/>
      <c r="U746" s="2"/>
      <c r="W746" s="34"/>
      <c r="X746" s="23"/>
      <c r="Y746" s="34"/>
      <c r="Z746" s="23"/>
      <c r="AA746" s="2"/>
      <c r="AC746" s="244"/>
    </row>
    <row r="747" spans="10:29">
      <c r="J747" s="412">
        <v>41894</v>
      </c>
      <c r="K747" s="413">
        <v>18.578236</v>
      </c>
      <c r="L747" s="30">
        <f t="shared" si="34"/>
        <v>1.3785794661163369E-2</v>
      </c>
      <c r="M747" s="414">
        <v>1985.540039</v>
      </c>
      <c r="N747" s="31">
        <f t="shared" si="35"/>
        <v>7.1065605401194264E-4</v>
      </c>
      <c r="Q747" s="34"/>
      <c r="R747" s="23"/>
      <c r="S747" s="34"/>
      <c r="T747" s="23"/>
      <c r="U747" s="2"/>
      <c r="W747" s="34"/>
      <c r="X747" s="23"/>
      <c r="Y747" s="34"/>
      <c r="Z747" s="23"/>
      <c r="AA747" s="2"/>
      <c r="AC747" s="244"/>
    </row>
    <row r="748" spans="10:29">
      <c r="J748" s="412">
        <v>41897</v>
      </c>
      <c r="K748" s="413">
        <v>18.325603000000001</v>
      </c>
      <c r="L748" s="30">
        <f t="shared" si="34"/>
        <v>-1.4628984666249435E-2</v>
      </c>
      <c r="M748" s="414">
        <v>1984.130005</v>
      </c>
      <c r="N748" s="31">
        <f t="shared" si="35"/>
        <v>-7.4287762501753949E-3</v>
      </c>
      <c r="Q748" s="34"/>
      <c r="R748" s="23"/>
      <c r="S748" s="34"/>
      <c r="T748" s="23"/>
      <c r="U748" s="2"/>
      <c r="W748" s="34"/>
      <c r="X748" s="23"/>
      <c r="Y748" s="34"/>
      <c r="Z748" s="23"/>
      <c r="AA748" s="2"/>
      <c r="AC748" s="244"/>
    </row>
    <row r="749" spans="10:29">
      <c r="J749" s="412">
        <v>41898</v>
      </c>
      <c r="K749" s="413">
        <v>18.597667999999999</v>
      </c>
      <c r="L749" s="30">
        <f t="shared" si="34"/>
        <v>-5.2221201420844321E-4</v>
      </c>
      <c r="M749" s="414">
        <v>1998.9799800000001</v>
      </c>
      <c r="N749" s="31">
        <f t="shared" si="35"/>
        <v>-1.2939672706296739E-3</v>
      </c>
      <c r="Q749" s="34"/>
      <c r="R749" s="23"/>
      <c r="S749" s="34"/>
      <c r="T749" s="23"/>
      <c r="U749" s="2"/>
      <c r="W749" s="34"/>
      <c r="X749" s="23"/>
      <c r="Y749" s="34"/>
      <c r="Z749" s="23"/>
      <c r="AA749" s="2"/>
      <c r="AC749" s="244"/>
    </row>
    <row r="750" spans="10:29">
      <c r="J750" s="412">
        <v>41899</v>
      </c>
      <c r="K750" s="413">
        <v>18.607385000000001</v>
      </c>
      <c r="L750" s="30">
        <f t="shared" si="34"/>
        <v>-1.4917755249052951E-2</v>
      </c>
      <c r="M750" s="414">
        <v>2001.5699460000001</v>
      </c>
      <c r="N750" s="31">
        <f t="shared" si="35"/>
        <v>-4.8673728586680516E-3</v>
      </c>
      <c r="Q750" s="34"/>
      <c r="R750" s="23"/>
      <c r="S750" s="34"/>
      <c r="T750" s="23"/>
      <c r="U750" s="2"/>
      <c r="W750" s="34"/>
      <c r="X750" s="23"/>
      <c r="Y750" s="34"/>
      <c r="Z750" s="23"/>
      <c r="AA750" s="2"/>
      <c r="AC750" s="244"/>
    </row>
    <row r="751" spans="10:29">
      <c r="J751" s="412">
        <v>41900</v>
      </c>
      <c r="K751" s="413">
        <v>18.889168999999999</v>
      </c>
      <c r="L751" s="30">
        <f t="shared" si="34"/>
        <v>1.8867956077685186E-2</v>
      </c>
      <c r="M751" s="414">
        <v>2011.3599850000001</v>
      </c>
      <c r="N751" s="31">
        <f t="shared" si="35"/>
        <v>4.7749750723243185E-4</v>
      </c>
      <c r="Q751" s="34"/>
      <c r="R751" s="23"/>
      <c r="S751" s="34"/>
      <c r="T751" s="23"/>
      <c r="U751" s="2"/>
      <c r="W751" s="34"/>
      <c r="X751" s="23"/>
      <c r="Y751" s="34"/>
      <c r="Z751" s="23"/>
      <c r="AA751" s="2"/>
      <c r="AC751" s="244"/>
    </row>
    <row r="752" spans="10:29">
      <c r="J752" s="412">
        <v>41901</v>
      </c>
      <c r="K752" s="413">
        <v>18.539369000000001</v>
      </c>
      <c r="L752" s="30">
        <f t="shared" si="34"/>
        <v>1.0058267199687543E-2</v>
      </c>
      <c r="M752" s="414">
        <v>2010.400024</v>
      </c>
      <c r="N752" s="31">
        <f t="shared" si="35"/>
        <v>8.0780551900455303E-3</v>
      </c>
      <c r="Q752" s="34"/>
      <c r="R752" s="23"/>
      <c r="S752" s="34"/>
      <c r="T752" s="23"/>
      <c r="U752" s="2"/>
      <c r="W752" s="34"/>
      <c r="X752" s="23"/>
      <c r="Y752" s="34"/>
      <c r="Z752" s="23"/>
      <c r="AA752" s="2"/>
      <c r="AC752" s="244"/>
    </row>
    <row r="753" spans="10:29">
      <c r="J753" s="412">
        <v>41904</v>
      </c>
      <c r="K753" s="413">
        <v>18.354752000000001</v>
      </c>
      <c r="L753" s="30">
        <f t="shared" si="34"/>
        <v>4.2530458604875367E-3</v>
      </c>
      <c r="M753" s="414">
        <v>1994.290039</v>
      </c>
      <c r="N753" s="31">
        <f t="shared" si="35"/>
        <v>5.8100631358144342E-3</v>
      </c>
      <c r="Q753" s="34"/>
      <c r="R753" s="23"/>
      <c r="S753" s="34"/>
      <c r="T753" s="23"/>
      <c r="U753" s="2"/>
      <c r="W753" s="34"/>
      <c r="X753" s="23"/>
      <c r="Y753" s="34"/>
      <c r="Z753" s="23"/>
      <c r="AA753" s="2"/>
      <c r="AC753" s="244"/>
    </row>
    <row r="754" spans="10:29">
      <c r="J754" s="412">
        <v>41905</v>
      </c>
      <c r="K754" s="413">
        <v>18.277018999999999</v>
      </c>
      <c r="L754" s="30">
        <f t="shared" si="34"/>
        <v>-5.8139452658091759E-3</v>
      </c>
      <c r="M754" s="414">
        <v>1982.7700199999999</v>
      </c>
      <c r="N754" s="31">
        <f t="shared" si="35"/>
        <v>-7.7716201867540531E-3</v>
      </c>
      <c r="Q754" s="34"/>
      <c r="R754" s="23"/>
      <c r="S754" s="34"/>
      <c r="T754" s="23"/>
      <c r="U754" s="2"/>
      <c r="W754" s="34"/>
      <c r="X754" s="23"/>
      <c r="Y754" s="34"/>
      <c r="Z754" s="23"/>
      <c r="AA754" s="2"/>
      <c r="AC754" s="244"/>
    </row>
    <row r="755" spans="10:29">
      <c r="J755" s="412">
        <v>41906</v>
      </c>
      <c r="K755" s="413">
        <v>18.383901999999999</v>
      </c>
      <c r="L755" s="30">
        <f t="shared" si="34"/>
        <v>2.2150151899972756E-2</v>
      </c>
      <c r="M755" s="414">
        <v>1998.3000489999999</v>
      </c>
      <c r="N755" s="31">
        <f t="shared" si="35"/>
        <v>1.6434498224479725E-2</v>
      </c>
      <c r="Q755" s="34"/>
      <c r="R755" s="23"/>
      <c r="S755" s="34"/>
      <c r="T755" s="23"/>
      <c r="U755" s="2"/>
      <c r="W755" s="34"/>
      <c r="X755" s="23"/>
      <c r="Y755" s="34"/>
      <c r="Z755" s="23"/>
      <c r="AA755" s="2"/>
      <c r="AC755" s="244"/>
    </row>
    <row r="756" spans="10:29">
      <c r="J756" s="412">
        <v>41907</v>
      </c>
      <c r="K756" s="413">
        <v>17.985520000000001</v>
      </c>
      <c r="L756" s="30">
        <f t="shared" si="34"/>
        <v>-2.1562455528994586E-3</v>
      </c>
      <c r="M756" s="414">
        <v>1965.98999</v>
      </c>
      <c r="N756" s="31">
        <f t="shared" si="35"/>
        <v>-8.5029055168417515E-3</v>
      </c>
      <c r="Q756" s="34"/>
      <c r="R756" s="23"/>
      <c r="S756" s="34"/>
      <c r="T756" s="23"/>
      <c r="U756" s="2"/>
      <c r="W756" s="34"/>
      <c r="X756" s="23"/>
      <c r="Y756" s="34"/>
      <c r="Z756" s="23"/>
      <c r="AA756" s="2"/>
      <c r="AC756" s="244"/>
    </row>
    <row r="757" spans="10:29">
      <c r="J757" s="412">
        <v>41908</v>
      </c>
      <c r="K757" s="413">
        <v>18.024384999999999</v>
      </c>
      <c r="L757" s="30">
        <f t="shared" si="34"/>
        <v>1.6197619403400625E-3</v>
      </c>
      <c r="M757" s="414">
        <v>1982.849976</v>
      </c>
      <c r="N757" s="31">
        <f t="shared" si="35"/>
        <v>2.5533051243240338E-3</v>
      </c>
      <c r="Q757" s="34"/>
      <c r="R757" s="23"/>
      <c r="S757" s="34"/>
      <c r="T757" s="23"/>
      <c r="U757" s="2"/>
      <c r="W757" s="34"/>
      <c r="X757" s="23"/>
      <c r="Y757" s="34"/>
      <c r="Z757" s="23"/>
      <c r="AA757" s="2"/>
      <c r="AC757" s="244"/>
    </row>
    <row r="758" spans="10:29">
      <c r="J758" s="412">
        <v>41911</v>
      </c>
      <c r="K758" s="413">
        <v>17.995236999999999</v>
      </c>
      <c r="L758" s="30">
        <f t="shared" si="34"/>
        <v>3.794062883146473E-3</v>
      </c>
      <c r="M758" s="414">
        <v>1977.8000489999999</v>
      </c>
      <c r="N758" s="31">
        <f t="shared" si="35"/>
        <v>2.7937118228278826E-3</v>
      </c>
      <c r="Q758" s="34"/>
      <c r="R758" s="23"/>
      <c r="S758" s="34"/>
      <c r="T758" s="23"/>
      <c r="U758" s="2"/>
      <c r="W758" s="34"/>
      <c r="X758" s="23"/>
      <c r="Y758" s="34"/>
      <c r="Z758" s="23"/>
      <c r="AA758" s="2"/>
      <c r="AC758" s="244"/>
    </row>
    <row r="759" spans="10:29">
      <c r="J759" s="412">
        <v>41912</v>
      </c>
      <c r="K759" s="413">
        <v>17.927219999999998</v>
      </c>
      <c r="L759" s="30">
        <f t="shared" si="34"/>
        <v>9.852233398226112E-3</v>
      </c>
      <c r="M759" s="414">
        <v>1972.290039</v>
      </c>
      <c r="N759" s="31">
        <f t="shared" si="35"/>
        <v>1.3426442092891105E-2</v>
      </c>
      <c r="Q759" s="34"/>
      <c r="R759" s="23"/>
      <c r="S759" s="34"/>
      <c r="T759" s="23"/>
      <c r="U759" s="2"/>
      <c r="W759" s="34"/>
      <c r="X759" s="23"/>
      <c r="Y759" s="34"/>
      <c r="Z759" s="23"/>
      <c r="AA759" s="2"/>
      <c r="AC759" s="244"/>
    </row>
    <row r="760" spans="10:29">
      <c r="J760" s="412">
        <v>41913</v>
      </c>
      <c r="K760" s="413">
        <v>17.752320000000001</v>
      </c>
      <c r="L760" s="30">
        <f t="shared" si="34"/>
        <v>4.3980094131762203E-3</v>
      </c>
      <c r="M760" s="414">
        <v>1946.160034</v>
      </c>
      <c r="N760" s="31">
        <f t="shared" si="35"/>
        <v>-5.1434354520183222E-6</v>
      </c>
      <c r="Q760" s="34"/>
      <c r="R760" s="23"/>
      <c r="S760" s="34"/>
      <c r="T760" s="23"/>
      <c r="U760" s="2"/>
      <c r="W760" s="34"/>
      <c r="X760" s="23"/>
      <c r="Y760" s="34"/>
      <c r="Z760" s="23"/>
      <c r="AA760" s="2"/>
      <c r="AC760" s="244"/>
    </row>
    <row r="761" spans="10:29">
      <c r="J761" s="412">
        <v>41914</v>
      </c>
      <c r="K761" s="413">
        <v>17.674586999999999</v>
      </c>
      <c r="L761" s="30">
        <f t="shared" si="34"/>
        <v>-2.1941515299135797E-3</v>
      </c>
      <c r="M761" s="414">
        <v>1946.170044</v>
      </c>
      <c r="N761" s="31">
        <f t="shared" si="35"/>
        <v>-1.1042217457689338E-2</v>
      </c>
      <c r="Q761" s="34"/>
      <c r="R761" s="23"/>
      <c r="S761" s="34"/>
      <c r="T761" s="23"/>
      <c r="U761" s="2"/>
      <c r="W761" s="34"/>
      <c r="X761" s="23"/>
      <c r="Y761" s="34"/>
      <c r="Z761" s="23"/>
      <c r="AA761" s="2"/>
      <c r="AC761" s="244"/>
    </row>
    <row r="762" spans="10:29">
      <c r="J762" s="412">
        <v>41915</v>
      </c>
      <c r="K762" s="413">
        <v>17.713453000000001</v>
      </c>
      <c r="L762" s="30">
        <f t="shared" si="34"/>
        <v>6.0705744463247484E-3</v>
      </c>
      <c r="M762" s="414">
        <v>1967.900024</v>
      </c>
      <c r="N762" s="31">
        <f t="shared" si="35"/>
        <v>1.5676133613517162E-3</v>
      </c>
      <c r="Q762" s="34"/>
      <c r="R762" s="23"/>
      <c r="S762" s="34"/>
      <c r="T762" s="23"/>
      <c r="U762" s="2"/>
      <c r="W762" s="34"/>
      <c r="X762" s="23"/>
      <c r="Y762" s="34"/>
      <c r="Z762" s="23"/>
      <c r="AA762" s="2"/>
      <c r="AC762" s="244"/>
    </row>
    <row r="763" spans="10:29">
      <c r="J763" s="412">
        <v>41918</v>
      </c>
      <c r="K763" s="413">
        <v>17.606570999999999</v>
      </c>
      <c r="L763" s="30">
        <f t="shared" si="34"/>
        <v>1.0596802172706882E-2</v>
      </c>
      <c r="M763" s="414">
        <v>1964.8199460000001</v>
      </c>
      <c r="N763" s="31">
        <f t="shared" si="35"/>
        <v>1.5358364099323467E-2</v>
      </c>
      <c r="Q763" s="34"/>
      <c r="R763" s="23"/>
      <c r="S763" s="34"/>
      <c r="T763" s="23"/>
      <c r="U763" s="2"/>
      <c r="W763" s="34"/>
      <c r="X763" s="23"/>
      <c r="Y763" s="34"/>
      <c r="Z763" s="23"/>
      <c r="AA763" s="2"/>
      <c r="AC763" s="244"/>
    </row>
    <row r="764" spans="10:29">
      <c r="J764" s="412">
        <v>41919</v>
      </c>
      <c r="K764" s="413">
        <v>17.421953999999999</v>
      </c>
      <c r="L764" s="30">
        <f t="shared" si="34"/>
        <v>-1.807231903501879E-2</v>
      </c>
      <c r="M764" s="414">
        <v>1935.099976</v>
      </c>
      <c r="N764" s="31">
        <f t="shared" si="35"/>
        <v>-1.7161973874909402E-2</v>
      </c>
      <c r="Q764" s="34"/>
      <c r="R764" s="23"/>
      <c r="S764" s="34"/>
      <c r="T764" s="23"/>
      <c r="U764" s="2"/>
      <c r="W764" s="34"/>
      <c r="X764" s="23"/>
      <c r="Y764" s="34"/>
      <c r="Z764" s="23"/>
      <c r="AA764" s="2"/>
      <c r="AC764" s="244"/>
    </row>
    <row r="765" spans="10:29">
      <c r="J765" s="412">
        <v>41920</v>
      </c>
      <c r="K765" s="413">
        <v>17.742604</v>
      </c>
      <c r="L765" s="30">
        <f t="shared" si="34"/>
        <v>1.9542227217667383E-2</v>
      </c>
      <c r="M765" s="414">
        <v>1968.8900149999999</v>
      </c>
      <c r="N765" s="31">
        <f t="shared" si="35"/>
        <v>2.1097315553178977E-2</v>
      </c>
      <c r="Q765" s="34"/>
      <c r="R765" s="23"/>
      <c r="S765" s="34"/>
      <c r="T765" s="23"/>
      <c r="U765" s="2"/>
      <c r="W765" s="34"/>
      <c r="X765" s="23"/>
      <c r="Y765" s="34"/>
      <c r="Z765" s="23"/>
      <c r="AA765" s="2"/>
      <c r="AC765" s="244"/>
    </row>
    <row r="766" spans="10:29">
      <c r="J766" s="412">
        <v>41921</v>
      </c>
      <c r="K766" s="413">
        <v>17.402519999999999</v>
      </c>
      <c r="L766" s="30">
        <f t="shared" si="34"/>
        <v>6.2907954017686646E-2</v>
      </c>
      <c r="M766" s="414">
        <v>1928.209961</v>
      </c>
      <c r="N766" s="31">
        <f t="shared" si="35"/>
        <v>1.1583656908018736E-2</v>
      </c>
      <c r="Q766" s="34"/>
      <c r="R766" s="23"/>
      <c r="S766" s="34"/>
      <c r="T766" s="23"/>
      <c r="U766" s="2"/>
      <c r="W766" s="34"/>
      <c r="X766" s="23"/>
      <c r="Y766" s="34"/>
      <c r="Z766" s="23"/>
      <c r="AA766" s="2"/>
      <c r="AC766" s="244"/>
    </row>
    <row r="767" spans="10:29">
      <c r="J767" s="412">
        <v>41922</v>
      </c>
      <c r="K767" s="413">
        <v>16.372555999999999</v>
      </c>
      <c r="L767" s="30">
        <f t="shared" si="34"/>
        <v>3.5735001600132998E-3</v>
      </c>
      <c r="M767" s="414">
        <v>1906.130005</v>
      </c>
      <c r="N767" s="31">
        <f t="shared" si="35"/>
        <v>1.6743663210598045E-2</v>
      </c>
      <c r="Q767" s="34"/>
      <c r="R767" s="23"/>
      <c r="S767" s="34"/>
      <c r="T767" s="23"/>
      <c r="U767" s="2"/>
      <c r="W767" s="34"/>
      <c r="X767" s="23"/>
      <c r="Y767" s="34"/>
      <c r="Z767" s="23"/>
      <c r="AA767" s="2"/>
      <c r="AC767" s="244"/>
    </row>
    <row r="768" spans="10:29">
      <c r="J768" s="412">
        <v>41925</v>
      </c>
      <c r="K768" s="413">
        <v>16.314257000000001</v>
      </c>
      <c r="L768" s="30">
        <f t="shared" si="34"/>
        <v>-2.2700733621853781E-2</v>
      </c>
      <c r="M768" s="414">
        <v>1874.73999</v>
      </c>
      <c r="N768" s="31">
        <f t="shared" si="35"/>
        <v>-1.5763759265284346E-3</v>
      </c>
      <c r="Q768" s="34"/>
      <c r="R768" s="23"/>
      <c r="S768" s="34"/>
      <c r="T768" s="23"/>
      <c r="U768" s="2"/>
      <c r="W768" s="34"/>
      <c r="X768" s="23"/>
      <c r="Y768" s="34"/>
      <c r="Z768" s="23"/>
      <c r="AA768" s="2"/>
      <c r="AC768" s="244"/>
    </row>
    <row r="769" spans="10:29">
      <c r="J769" s="412">
        <v>41926</v>
      </c>
      <c r="K769" s="413">
        <v>16.693204999999999</v>
      </c>
      <c r="L769" s="30">
        <f t="shared" si="34"/>
        <v>-1.4908320561761532E-2</v>
      </c>
      <c r="M769" s="414">
        <v>1877.6999510000001</v>
      </c>
      <c r="N769" s="31">
        <f t="shared" si="35"/>
        <v>8.1664659040664271E-3</v>
      </c>
      <c r="Q769" s="34"/>
      <c r="R769" s="23"/>
      <c r="S769" s="34"/>
      <c r="T769" s="23"/>
      <c r="U769" s="2"/>
      <c r="W769" s="34"/>
      <c r="X769" s="23"/>
      <c r="Y769" s="34"/>
      <c r="Z769" s="23"/>
      <c r="AA769" s="2"/>
      <c r="AC769" s="244"/>
    </row>
    <row r="770" spans="10:29">
      <c r="J770" s="412">
        <v>41927</v>
      </c>
      <c r="K770" s="413">
        <v>16.945838999999999</v>
      </c>
      <c r="L770" s="30">
        <f t="shared" si="34"/>
        <v>-5.7302754171131203E-4</v>
      </c>
      <c r="M770" s="414">
        <v>1862.48999</v>
      </c>
      <c r="N770" s="31">
        <f t="shared" si="35"/>
        <v>-1.4495694482937247E-4</v>
      </c>
      <c r="Q770" s="34"/>
      <c r="R770" s="23"/>
      <c r="S770" s="34"/>
      <c r="T770" s="23"/>
      <c r="U770" s="2"/>
      <c r="W770" s="34"/>
      <c r="X770" s="23"/>
      <c r="Y770" s="34"/>
      <c r="Z770" s="23"/>
      <c r="AA770" s="2"/>
      <c r="AC770" s="244"/>
    </row>
    <row r="771" spans="10:29">
      <c r="J771" s="412">
        <v>41928</v>
      </c>
      <c r="K771" s="413">
        <v>16.955555</v>
      </c>
      <c r="L771" s="30">
        <f t="shared" si="34"/>
        <v>1.7221613213202298E-3</v>
      </c>
      <c r="M771" s="414">
        <v>1862.76001</v>
      </c>
      <c r="N771" s="31">
        <f t="shared" si="35"/>
        <v>-1.2720218720344831E-2</v>
      </c>
      <c r="Q771" s="34"/>
      <c r="R771" s="23"/>
      <c r="S771" s="34"/>
      <c r="T771" s="23"/>
      <c r="U771" s="2"/>
      <c r="W771" s="34"/>
      <c r="X771" s="23"/>
      <c r="Y771" s="34"/>
      <c r="Z771" s="23"/>
      <c r="AA771" s="2"/>
      <c r="AC771" s="244"/>
    </row>
    <row r="772" spans="10:29">
      <c r="J772" s="412">
        <v>41929</v>
      </c>
      <c r="K772" s="413">
        <v>16.926404999999999</v>
      </c>
      <c r="L772" s="30">
        <f t="shared" si="34"/>
        <v>-8.5372355474301678E-3</v>
      </c>
      <c r="M772" s="414">
        <v>1886.76001</v>
      </c>
      <c r="N772" s="31">
        <f t="shared" si="35"/>
        <v>-9.0598263188752873E-3</v>
      </c>
      <c r="Q772" s="34"/>
      <c r="R772" s="23"/>
      <c r="S772" s="34"/>
      <c r="T772" s="23"/>
      <c r="U772" s="2"/>
      <c r="W772" s="34"/>
      <c r="X772" s="23"/>
      <c r="Y772" s="34"/>
      <c r="Z772" s="23"/>
      <c r="AA772" s="2"/>
      <c r="AC772" s="244"/>
    </row>
    <row r="773" spans="10:29">
      <c r="J773" s="412">
        <v>41932</v>
      </c>
      <c r="K773" s="413">
        <v>17.072154000000001</v>
      </c>
      <c r="L773" s="30">
        <f t="shared" si="34"/>
        <v>-4.0938878213088427E-2</v>
      </c>
      <c r="M773" s="414">
        <v>1904.01001</v>
      </c>
      <c r="N773" s="31">
        <f t="shared" si="35"/>
        <v>-1.9198682541023578E-2</v>
      </c>
      <c r="Q773" s="34"/>
      <c r="R773" s="23"/>
      <c r="S773" s="34"/>
      <c r="T773" s="23"/>
      <c r="U773" s="2"/>
      <c r="W773" s="34"/>
      <c r="X773" s="23"/>
      <c r="Y773" s="34"/>
      <c r="Z773" s="23"/>
      <c r="AA773" s="2"/>
      <c r="AC773" s="244"/>
    </row>
    <row r="774" spans="10:29">
      <c r="J774" s="412">
        <v>41933</v>
      </c>
      <c r="K774" s="413">
        <v>17.800903000000002</v>
      </c>
      <c r="L774" s="30">
        <f t="shared" si="34"/>
        <v>2.4035776844469683E-2</v>
      </c>
      <c r="M774" s="414">
        <v>1941.280029</v>
      </c>
      <c r="N774" s="31">
        <f t="shared" si="35"/>
        <v>7.3530022210953165E-3</v>
      </c>
      <c r="Q774" s="34"/>
      <c r="R774" s="23"/>
      <c r="S774" s="34"/>
      <c r="T774" s="23"/>
      <c r="U774" s="2"/>
      <c r="W774" s="34"/>
      <c r="X774" s="23"/>
      <c r="Y774" s="34"/>
      <c r="Z774" s="23"/>
      <c r="AA774" s="2"/>
      <c r="AC774" s="244"/>
    </row>
    <row r="775" spans="10:29">
      <c r="J775" s="412">
        <v>41934</v>
      </c>
      <c r="K775" s="413">
        <v>17.383087</v>
      </c>
      <c r="L775" s="30">
        <f t="shared" si="34"/>
        <v>-2.1869929102102226E-2</v>
      </c>
      <c r="M775" s="414">
        <v>1927.1099850000001</v>
      </c>
      <c r="N775" s="31">
        <f t="shared" si="35"/>
        <v>-1.2153843848385595E-2</v>
      </c>
      <c r="Q775" s="34"/>
      <c r="R775" s="23"/>
      <c r="S775" s="34"/>
      <c r="T775" s="23"/>
      <c r="U775" s="2"/>
      <c r="W775" s="34"/>
      <c r="X775" s="23"/>
      <c r="Y775" s="34"/>
      <c r="Z775" s="23"/>
      <c r="AA775" s="2"/>
      <c r="AC775" s="244"/>
    </row>
    <row r="776" spans="10:29">
      <c r="J776" s="412">
        <v>41935</v>
      </c>
      <c r="K776" s="413">
        <v>17.771754000000001</v>
      </c>
      <c r="L776" s="30">
        <f t="shared" ref="L776:L839" si="36">(K776-K777)/K777</f>
        <v>-1.0281310213662758E-2</v>
      </c>
      <c r="M776" s="414">
        <v>1950.8199460000001</v>
      </c>
      <c r="N776" s="31">
        <f t="shared" si="35"/>
        <v>-7.0040468233301904E-3</v>
      </c>
      <c r="Q776" s="34"/>
      <c r="R776" s="23"/>
      <c r="S776" s="34"/>
      <c r="T776" s="23"/>
      <c r="U776" s="2"/>
      <c r="W776" s="34"/>
      <c r="X776" s="23"/>
      <c r="Y776" s="34"/>
      <c r="Z776" s="23"/>
      <c r="AA776" s="2"/>
      <c r="AC776" s="244"/>
    </row>
    <row r="777" spans="10:29">
      <c r="J777" s="412">
        <v>41936</v>
      </c>
      <c r="K777" s="413">
        <v>17.956368999999999</v>
      </c>
      <c r="L777" s="30">
        <f t="shared" si="36"/>
        <v>-5.4085235927301995E-4</v>
      </c>
      <c r="M777" s="414">
        <v>1964.579956</v>
      </c>
      <c r="N777" s="31">
        <f t="shared" si="35"/>
        <v>1.5038264058364337E-3</v>
      </c>
      <c r="Q777" s="34"/>
      <c r="R777" s="23"/>
      <c r="S777" s="34"/>
      <c r="T777" s="23"/>
      <c r="U777" s="2"/>
      <c r="W777" s="34"/>
      <c r="X777" s="23"/>
      <c r="Y777" s="34"/>
      <c r="Z777" s="23"/>
      <c r="AA777" s="2"/>
      <c r="AC777" s="244"/>
    </row>
    <row r="778" spans="10:29">
      <c r="J778" s="412">
        <v>41939</v>
      </c>
      <c r="K778" s="413">
        <v>17.966086000000001</v>
      </c>
      <c r="L778" s="30">
        <f t="shared" si="36"/>
        <v>-2.3243549841931617E-2</v>
      </c>
      <c r="M778" s="414">
        <v>1961.630005</v>
      </c>
      <c r="N778" s="31">
        <f t="shared" ref="N778:N841" si="37">(M778-M779)/M779</f>
        <v>-1.1798213355778195E-2</v>
      </c>
      <c r="Q778" s="34"/>
      <c r="R778" s="23"/>
      <c r="S778" s="34"/>
      <c r="T778" s="23"/>
      <c r="U778" s="2"/>
      <c r="W778" s="34"/>
      <c r="X778" s="23"/>
      <c r="Y778" s="34"/>
      <c r="Z778" s="23"/>
      <c r="AA778" s="2"/>
      <c r="AC778" s="244"/>
    </row>
    <row r="779" spans="10:29">
      <c r="J779" s="412">
        <v>41940</v>
      </c>
      <c r="K779" s="413">
        <v>18.393619000000001</v>
      </c>
      <c r="L779" s="30">
        <f t="shared" si="36"/>
        <v>6.3795961474900154E-3</v>
      </c>
      <c r="M779" s="414">
        <v>1985.0500489999999</v>
      </c>
      <c r="N779" s="31">
        <f t="shared" si="37"/>
        <v>1.387277370742778E-3</v>
      </c>
      <c r="Q779" s="34"/>
      <c r="R779" s="23"/>
      <c r="S779" s="34"/>
      <c r="T779" s="23"/>
      <c r="U779" s="2"/>
      <c r="W779" s="34"/>
      <c r="X779" s="23"/>
      <c r="Y779" s="34"/>
      <c r="Z779" s="23"/>
      <c r="AA779" s="2"/>
      <c r="AC779" s="244"/>
    </row>
    <row r="780" spans="10:29">
      <c r="J780" s="412">
        <v>41941</v>
      </c>
      <c r="K780" s="413">
        <v>18.277018999999999</v>
      </c>
      <c r="L780" s="30">
        <f t="shared" si="36"/>
        <v>6.4205012879658512E-3</v>
      </c>
      <c r="M780" s="414">
        <v>1982.3000489999999</v>
      </c>
      <c r="N780" s="31">
        <f t="shared" si="37"/>
        <v>-6.1915498214738874E-3</v>
      </c>
      <c r="Q780" s="34"/>
      <c r="R780" s="23"/>
      <c r="S780" s="34"/>
      <c r="T780" s="23"/>
      <c r="U780" s="2"/>
      <c r="W780" s="34"/>
      <c r="X780" s="23"/>
      <c r="Y780" s="34"/>
      <c r="Z780" s="23"/>
      <c r="AA780" s="2"/>
      <c r="AC780" s="244"/>
    </row>
    <row r="781" spans="10:29">
      <c r="J781" s="412">
        <v>41942</v>
      </c>
      <c r="K781" s="413">
        <v>18.160419999999998</v>
      </c>
      <c r="L781" s="30">
        <f t="shared" si="36"/>
        <v>-4.3500496541328378E-2</v>
      </c>
      <c r="M781" s="414">
        <v>1994.650024</v>
      </c>
      <c r="N781" s="31">
        <f t="shared" si="37"/>
        <v>-1.1595364055314326E-2</v>
      </c>
      <c r="Q781" s="34"/>
      <c r="R781" s="23"/>
      <c r="S781" s="34"/>
      <c r="T781" s="23"/>
      <c r="U781" s="2"/>
      <c r="W781" s="34"/>
      <c r="X781" s="23"/>
      <c r="Y781" s="34"/>
      <c r="Z781" s="23"/>
      <c r="AA781" s="2"/>
      <c r="AC781" s="244"/>
    </row>
    <row r="782" spans="10:29">
      <c r="J782" s="412">
        <v>41943</v>
      </c>
      <c r="K782" s="413">
        <v>18.986335</v>
      </c>
      <c r="L782" s="30">
        <f t="shared" si="36"/>
        <v>-1.6607978925761869E-2</v>
      </c>
      <c r="M782" s="414">
        <v>2018.0500489999999</v>
      </c>
      <c r="N782" s="31">
        <f t="shared" si="37"/>
        <v>1.189358725463834E-4</v>
      </c>
      <c r="Q782" s="34"/>
      <c r="R782" s="23"/>
      <c r="S782" s="34"/>
      <c r="T782" s="23"/>
      <c r="U782" s="2"/>
      <c r="W782" s="34"/>
      <c r="X782" s="23"/>
      <c r="Y782" s="34"/>
      <c r="Z782" s="23"/>
      <c r="AA782" s="2"/>
      <c r="AC782" s="244"/>
    </row>
    <row r="783" spans="10:29">
      <c r="J783" s="412">
        <v>41946</v>
      </c>
      <c r="K783" s="413">
        <v>19.306985000000001</v>
      </c>
      <c r="L783" s="30">
        <f t="shared" si="36"/>
        <v>-1.2915948861163604E-2</v>
      </c>
      <c r="M783" s="414">
        <v>2017.8100589999999</v>
      </c>
      <c r="N783" s="31">
        <f t="shared" si="37"/>
        <v>2.8378724059981504E-3</v>
      </c>
      <c r="Q783" s="34"/>
      <c r="R783" s="23"/>
      <c r="S783" s="34"/>
      <c r="T783" s="23"/>
      <c r="U783" s="2"/>
      <c r="W783" s="34"/>
      <c r="X783" s="23"/>
      <c r="Y783" s="34"/>
      <c r="Z783" s="23"/>
      <c r="AA783" s="2"/>
      <c r="AC783" s="244"/>
    </row>
    <row r="784" spans="10:29">
      <c r="J784" s="412">
        <v>41947</v>
      </c>
      <c r="K784" s="413">
        <v>19.559615999999998</v>
      </c>
      <c r="L784" s="30">
        <f t="shared" si="36"/>
        <v>0</v>
      </c>
      <c r="M784" s="414">
        <v>2012.099976</v>
      </c>
      <c r="N784" s="31">
        <f t="shared" si="37"/>
        <v>-5.6681855859111001E-3</v>
      </c>
      <c r="Q784" s="34"/>
      <c r="R784" s="23"/>
      <c r="S784" s="34"/>
      <c r="T784" s="23"/>
      <c r="U784" s="2"/>
      <c r="W784" s="34"/>
      <c r="X784" s="23"/>
      <c r="Y784" s="34"/>
      <c r="Z784" s="23"/>
      <c r="AA784" s="2"/>
      <c r="AC784" s="244"/>
    </row>
    <row r="785" spans="10:29">
      <c r="J785" s="412">
        <v>41948</v>
      </c>
      <c r="K785" s="413">
        <v>19.559615999999998</v>
      </c>
      <c r="L785" s="30">
        <f t="shared" si="36"/>
        <v>-4.4510462783603653E-3</v>
      </c>
      <c r="M785" s="414">
        <v>2023.5699460000001</v>
      </c>
      <c r="N785" s="31">
        <f t="shared" si="37"/>
        <v>-3.7613122949823642E-3</v>
      </c>
      <c r="Q785" s="34"/>
      <c r="R785" s="23"/>
      <c r="S785" s="34"/>
      <c r="T785" s="23"/>
      <c r="U785" s="2"/>
      <c r="W785" s="34"/>
      <c r="X785" s="23"/>
      <c r="Y785" s="34"/>
      <c r="Z785" s="23"/>
      <c r="AA785" s="2"/>
      <c r="AC785" s="244"/>
    </row>
    <row r="786" spans="10:29">
      <c r="J786" s="412">
        <v>41949</v>
      </c>
      <c r="K786" s="413">
        <v>19.647065999999999</v>
      </c>
      <c r="L786" s="30">
        <f t="shared" si="36"/>
        <v>2.1728042255621798E-2</v>
      </c>
      <c r="M786" s="414">
        <v>2031.209961</v>
      </c>
      <c r="N786" s="31">
        <f t="shared" si="37"/>
        <v>-3.4946404613543961E-4</v>
      </c>
      <c r="Q786" s="34"/>
      <c r="R786" s="23"/>
      <c r="S786" s="34"/>
      <c r="T786" s="23"/>
      <c r="U786" s="2"/>
      <c r="W786" s="34"/>
      <c r="X786" s="23"/>
      <c r="Y786" s="34"/>
      <c r="Z786" s="23"/>
      <c r="AA786" s="2"/>
      <c r="AC786" s="244"/>
    </row>
    <row r="787" spans="10:29">
      <c r="J787" s="412">
        <v>41950</v>
      </c>
      <c r="K787" s="413">
        <v>19.229251999999999</v>
      </c>
      <c r="L787" s="30">
        <f t="shared" si="36"/>
        <v>-1.1488462238778396E-2</v>
      </c>
      <c r="M787" s="414">
        <v>2031.920044</v>
      </c>
      <c r="N787" s="31">
        <f t="shared" si="37"/>
        <v>-3.1104795113946252E-3</v>
      </c>
      <c r="Q787" s="34"/>
      <c r="R787" s="23"/>
      <c r="S787" s="34"/>
      <c r="T787" s="23"/>
      <c r="U787" s="2"/>
      <c r="W787" s="34"/>
      <c r="X787" s="23"/>
      <c r="Y787" s="34"/>
      <c r="Z787" s="23"/>
      <c r="AA787" s="2"/>
      <c r="AC787" s="244"/>
    </row>
    <row r="788" spans="10:29">
      <c r="J788" s="412">
        <v>41953</v>
      </c>
      <c r="K788" s="413">
        <v>19.452734</v>
      </c>
      <c r="L788" s="30">
        <f t="shared" si="36"/>
        <v>1.2133436110707102E-2</v>
      </c>
      <c r="M788" s="414">
        <v>2038.26001</v>
      </c>
      <c r="N788" s="31">
        <f t="shared" si="37"/>
        <v>-6.9620919085575453E-4</v>
      </c>
      <c r="Q788" s="34"/>
      <c r="R788" s="23"/>
      <c r="S788" s="34"/>
      <c r="T788" s="23"/>
      <c r="U788" s="2"/>
      <c r="W788" s="34"/>
      <c r="X788" s="23"/>
      <c r="Y788" s="34"/>
      <c r="Z788" s="23"/>
      <c r="AA788" s="2"/>
      <c r="AC788" s="244"/>
    </row>
    <row r="789" spans="10:29">
      <c r="J789" s="412">
        <v>41954</v>
      </c>
      <c r="K789" s="413">
        <v>19.219535</v>
      </c>
      <c r="L789" s="30">
        <f t="shared" si="36"/>
        <v>6.6158573487119154E-3</v>
      </c>
      <c r="M789" s="414">
        <v>2039.6800539999999</v>
      </c>
      <c r="N789" s="31">
        <f t="shared" si="37"/>
        <v>7.0160873298168885E-4</v>
      </c>
      <c r="Q789" s="34"/>
      <c r="R789" s="23"/>
      <c r="S789" s="34"/>
      <c r="T789" s="23"/>
      <c r="U789" s="2"/>
      <c r="W789" s="34"/>
      <c r="X789" s="23"/>
      <c r="Y789" s="34"/>
      <c r="Z789" s="23"/>
      <c r="AA789" s="2"/>
      <c r="AC789" s="244"/>
    </row>
    <row r="790" spans="10:29">
      <c r="J790" s="412">
        <v>41955</v>
      </c>
      <c r="K790" s="413">
        <v>19.093216999999999</v>
      </c>
      <c r="L790" s="30">
        <f t="shared" si="36"/>
        <v>5.1151160372813762E-3</v>
      </c>
      <c r="M790" s="414">
        <v>2038.25</v>
      </c>
      <c r="N790" s="31">
        <f t="shared" si="37"/>
        <v>-5.295641329754675E-4</v>
      </c>
      <c r="Q790" s="34"/>
      <c r="R790" s="23"/>
      <c r="S790" s="34"/>
      <c r="T790" s="23"/>
      <c r="U790" s="2"/>
      <c r="W790" s="34"/>
      <c r="X790" s="23"/>
      <c r="Y790" s="34"/>
      <c r="Z790" s="23"/>
      <c r="AA790" s="2"/>
      <c r="AC790" s="244"/>
    </row>
    <row r="791" spans="10:29">
      <c r="J791" s="412">
        <v>41956</v>
      </c>
      <c r="K791" s="413">
        <v>18.99605</v>
      </c>
      <c r="L791" s="30">
        <f t="shared" si="36"/>
        <v>-1.2127460808147847E-2</v>
      </c>
      <c r="M791" s="414">
        <v>2039.329956</v>
      </c>
      <c r="N791" s="31">
        <f t="shared" si="37"/>
        <v>-2.4021237803899498E-4</v>
      </c>
      <c r="Q791" s="34"/>
      <c r="R791" s="23"/>
      <c r="S791" s="34"/>
      <c r="T791" s="23"/>
      <c r="U791" s="2"/>
      <c r="W791" s="34"/>
      <c r="X791" s="23"/>
      <c r="Y791" s="34"/>
      <c r="Z791" s="23"/>
      <c r="AA791" s="2"/>
      <c r="AC791" s="244"/>
    </row>
    <row r="792" spans="10:29">
      <c r="J792" s="412">
        <v>41957</v>
      </c>
      <c r="K792" s="413">
        <v>19.229251999999999</v>
      </c>
      <c r="L792" s="30">
        <f t="shared" si="36"/>
        <v>4.5685353970331783E-3</v>
      </c>
      <c r="M792" s="414">
        <v>2039.8199460000001</v>
      </c>
      <c r="N792" s="31">
        <f t="shared" si="37"/>
        <v>-7.3481866619648463E-4</v>
      </c>
      <c r="Q792" s="34"/>
      <c r="R792" s="23"/>
      <c r="S792" s="34"/>
      <c r="T792" s="23"/>
      <c r="U792" s="2"/>
      <c r="W792" s="34"/>
      <c r="X792" s="23"/>
      <c r="Y792" s="34"/>
      <c r="Z792" s="23"/>
      <c r="AA792" s="2"/>
      <c r="AC792" s="244"/>
    </row>
    <row r="793" spans="10:29">
      <c r="J793" s="412">
        <v>41960</v>
      </c>
      <c r="K793" s="413">
        <v>19.141801999999998</v>
      </c>
      <c r="L793" s="30">
        <f t="shared" si="36"/>
        <v>-2.3301904371787162E-2</v>
      </c>
      <c r="M793" s="414">
        <v>2041.3199460000001</v>
      </c>
      <c r="N793" s="31">
        <f t="shared" si="37"/>
        <v>-5.1077603809921114E-3</v>
      </c>
      <c r="Q793" s="34"/>
      <c r="R793" s="23"/>
      <c r="S793" s="34"/>
      <c r="T793" s="23"/>
      <c r="U793" s="2"/>
      <c r="W793" s="34"/>
      <c r="X793" s="23"/>
      <c r="Y793" s="34"/>
      <c r="Z793" s="23"/>
      <c r="AA793" s="2"/>
      <c r="AC793" s="244"/>
    </row>
    <row r="794" spans="10:29">
      <c r="J794" s="412">
        <v>41961</v>
      </c>
      <c r="K794" s="413">
        <v>19.598483999999999</v>
      </c>
      <c r="L794" s="30">
        <f t="shared" si="36"/>
        <v>3.7481626402666125E-3</v>
      </c>
      <c r="M794" s="414">
        <v>2051.8000489999999</v>
      </c>
      <c r="N794" s="31">
        <f t="shared" si="37"/>
        <v>1.5034158126044635E-3</v>
      </c>
      <c r="Q794" s="34"/>
      <c r="R794" s="23"/>
      <c r="S794" s="34"/>
      <c r="T794" s="23"/>
      <c r="U794" s="2"/>
      <c r="W794" s="34"/>
      <c r="X794" s="23"/>
      <c r="Y794" s="34"/>
      <c r="Z794" s="23"/>
      <c r="AA794" s="2"/>
      <c r="AC794" s="244"/>
    </row>
    <row r="795" spans="10:29">
      <c r="J795" s="412">
        <v>41962</v>
      </c>
      <c r="K795" s="413">
        <v>19.525300000000001</v>
      </c>
      <c r="L795" s="30">
        <f t="shared" si="36"/>
        <v>-1.6224166645085143E-2</v>
      </c>
      <c r="M795" s="414">
        <v>2048.719971</v>
      </c>
      <c r="N795" s="31">
        <f t="shared" si="37"/>
        <v>-1.9632341980270434E-3</v>
      </c>
      <c r="Q795" s="34"/>
      <c r="R795" s="23"/>
      <c r="S795" s="34"/>
      <c r="T795" s="23"/>
      <c r="U795" s="2"/>
      <c r="W795" s="34"/>
      <c r="X795" s="23"/>
      <c r="Y795" s="34"/>
      <c r="Z795" s="23"/>
      <c r="AA795" s="2"/>
      <c r="AC795" s="244"/>
    </row>
    <row r="796" spans="10:29">
      <c r="J796" s="412">
        <v>41963</v>
      </c>
      <c r="K796" s="413">
        <v>19.847306</v>
      </c>
      <c r="L796" s="30">
        <f t="shared" si="36"/>
        <v>-5.3789990319044615E-3</v>
      </c>
      <c r="M796" s="414">
        <v>2052.75</v>
      </c>
      <c r="N796" s="31">
        <f t="shared" si="37"/>
        <v>-5.2095953477102009E-3</v>
      </c>
      <c r="Q796" s="34"/>
      <c r="R796" s="23"/>
      <c r="S796" s="34"/>
      <c r="T796" s="23"/>
      <c r="U796" s="2"/>
      <c r="W796" s="34"/>
      <c r="X796" s="23"/>
      <c r="Y796" s="34"/>
      <c r="Z796" s="23"/>
      <c r="AA796" s="2"/>
      <c r="AC796" s="244"/>
    </row>
    <row r="797" spans="10:29">
      <c r="J797" s="412">
        <v>41964</v>
      </c>
      <c r="K797" s="413">
        <v>19.954642</v>
      </c>
      <c r="L797" s="30">
        <f t="shared" si="36"/>
        <v>-6.3167617226847989E-3</v>
      </c>
      <c r="M797" s="414">
        <v>2063.5</v>
      </c>
      <c r="N797" s="31">
        <f t="shared" si="37"/>
        <v>-2.8558440576368885E-3</v>
      </c>
      <c r="Q797" s="34"/>
      <c r="R797" s="23"/>
      <c r="S797" s="34"/>
      <c r="T797" s="23"/>
      <c r="U797" s="2"/>
      <c r="W797" s="34"/>
      <c r="X797" s="23"/>
      <c r="Y797" s="34"/>
      <c r="Z797" s="23"/>
      <c r="AA797" s="2"/>
      <c r="AC797" s="244"/>
    </row>
    <row r="798" spans="10:29">
      <c r="J798" s="412">
        <v>41967</v>
      </c>
      <c r="K798" s="413">
        <v>20.081492000000001</v>
      </c>
      <c r="L798" s="30">
        <f t="shared" si="36"/>
        <v>4.8615630318743204E-4</v>
      </c>
      <c r="M798" s="414">
        <v>2069.4099120000001</v>
      </c>
      <c r="N798" s="31">
        <f t="shared" si="37"/>
        <v>1.1513538587300627E-3</v>
      </c>
      <c r="Q798" s="34"/>
      <c r="R798" s="23"/>
      <c r="S798" s="34"/>
      <c r="T798" s="23"/>
      <c r="U798" s="2"/>
      <c r="W798" s="34"/>
      <c r="X798" s="23"/>
      <c r="Y798" s="34"/>
      <c r="Z798" s="23"/>
      <c r="AA798" s="2"/>
      <c r="AC798" s="244"/>
    </row>
    <row r="799" spans="10:29">
      <c r="J799" s="412">
        <v>41968</v>
      </c>
      <c r="K799" s="413">
        <v>20.071733999999999</v>
      </c>
      <c r="L799" s="30">
        <f t="shared" si="36"/>
        <v>-1.6730451196494623E-2</v>
      </c>
      <c r="M799" s="414">
        <v>2067.030029</v>
      </c>
      <c r="N799" s="31">
        <f t="shared" si="37"/>
        <v>-2.7981304698145859E-3</v>
      </c>
      <c r="Q799" s="34"/>
      <c r="R799" s="23"/>
      <c r="S799" s="34"/>
      <c r="T799" s="23"/>
      <c r="U799" s="2"/>
      <c r="W799" s="34"/>
      <c r="X799" s="23"/>
      <c r="Y799" s="34"/>
      <c r="Z799" s="23"/>
      <c r="AA799" s="2"/>
      <c r="AC799" s="244"/>
    </row>
    <row r="800" spans="10:29">
      <c r="J800" s="412">
        <v>41969</v>
      </c>
      <c r="K800" s="413">
        <v>20.413257000000002</v>
      </c>
      <c r="L800" s="30">
        <f t="shared" si="36"/>
        <v>-2.3843169145605085E-3</v>
      </c>
      <c r="M800" s="414">
        <v>2072.830078</v>
      </c>
      <c r="N800" s="31">
        <f t="shared" si="37"/>
        <v>2.5489073350299461E-3</v>
      </c>
      <c r="Q800" s="34"/>
      <c r="R800" s="23"/>
      <c r="S800" s="34"/>
      <c r="T800" s="23"/>
      <c r="U800" s="2"/>
      <c r="W800" s="34"/>
      <c r="X800" s="23"/>
      <c r="Y800" s="34"/>
      <c r="Z800" s="23"/>
      <c r="AA800" s="2"/>
      <c r="AC800" s="244"/>
    </row>
    <row r="801" spans="10:29">
      <c r="J801" s="412">
        <v>41971</v>
      </c>
      <c r="K801" s="413">
        <v>20.462045</v>
      </c>
      <c r="L801" s="30">
        <f t="shared" si="36"/>
        <v>1.8950434559344444E-2</v>
      </c>
      <c r="M801" s="414">
        <v>2067.5600589999999</v>
      </c>
      <c r="N801" s="31">
        <f t="shared" si="37"/>
        <v>6.8763238301108994E-3</v>
      </c>
      <c r="Q801" s="34"/>
      <c r="R801" s="23"/>
      <c r="S801" s="34"/>
      <c r="T801" s="23"/>
      <c r="U801" s="2"/>
      <c r="W801" s="34"/>
      <c r="X801" s="23"/>
      <c r="Y801" s="34"/>
      <c r="Z801" s="23"/>
      <c r="AA801" s="2"/>
      <c r="AC801" s="244"/>
    </row>
    <row r="802" spans="10:29">
      <c r="J802" s="412">
        <v>41974</v>
      </c>
      <c r="K802" s="413">
        <v>20.081492000000001</v>
      </c>
      <c r="L802" s="30">
        <f t="shared" si="36"/>
        <v>-1.4556382387424182E-3</v>
      </c>
      <c r="M802" s="414">
        <v>2053.4399410000001</v>
      </c>
      <c r="N802" s="31">
        <f t="shared" si="37"/>
        <v>-6.3439586214443797E-3</v>
      </c>
      <c r="Q802" s="34"/>
      <c r="R802" s="23"/>
      <c r="S802" s="34"/>
      <c r="T802" s="23"/>
      <c r="U802" s="2"/>
      <c r="W802" s="34"/>
      <c r="X802" s="23"/>
      <c r="Y802" s="34"/>
      <c r="Z802" s="23"/>
      <c r="AA802" s="2"/>
      <c r="AC802" s="244"/>
    </row>
    <row r="803" spans="10:29">
      <c r="J803" s="412">
        <v>41975</v>
      </c>
      <c r="K803" s="413">
        <v>20.110766000000002</v>
      </c>
      <c r="L803" s="30">
        <f t="shared" si="36"/>
        <v>-2.5070914784602348E-2</v>
      </c>
      <c r="M803" s="414">
        <v>2066.5500489999999</v>
      </c>
      <c r="N803" s="31">
        <f t="shared" si="37"/>
        <v>-3.750622469641504E-3</v>
      </c>
      <c r="Q803" s="34"/>
      <c r="R803" s="23"/>
      <c r="S803" s="34"/>
      <c r="T803" s="23"/>
      <c r="U803" s="2"/>
      <c r="W803" s="34"/>
      <c r="X803" s="23"/>
      <c r="Y803" s="34"/>
      <c r="Z803" s="23"/>
      <c r="AA803" s="2"/>
      <c r="AC803" s="244"/>
    </row>
    <row r="804" spans="10:29">
      <c r="J804" s="412">
        <v>41976</v>
      </c>
      <c r="K804" s="413">
        <v>20.627927</v>
      </c>
      <c r="L804" s="30">
        <f t="shared" si="36"/>
        <v>9.0691314103914424E-3</v>
      </c>
      <c r="M804" s="414">
        <v>2074.330078</v>
      </c>
      <c r="N804" s="31">
        <f t="shared" si="37"/>
        <v>1.1632476595299205E-3</v>
      </c>
      <c r="Q804" s="34"/>
      <c r="R804" s="23"/>
      <c r="S804" s="34"/>
      <c r="T804" s="23"/>
      <c r="U804" s="2"/>
      <c r="W804" s="34"/>
      <c r="X804" s="23"/>
      <c r="Y804" s="34"/>
      <c r="Z804" s="23"/>
      <c r="AA804" s="2"/>
      <c r="AC804" s="244"/>
    </row>
    <row r="805" spans="10:29">
      <c r="J805" s="412">
        <v>41977</v>
      </c>
      <c r="K805" s="413">
        <v>20.442530999999999</v>
      </c>
      <c r="L805" s="30">
        <f t="shared" si="36"/>
        <v>-5.6952406179821263E-3</v>
      </c>
      <c r="M805" s="414">
        <v>2071.919922</v>
      </c>
      <c r="N805" s="31">
        <f t="shared" si="37"/>
        <v>-1.6624480480557553E-3</v>
      </c>
      <c r="Q805" s="34"/>
      <c r="R805" s="23"/>
      <c r="S805" s="34"/>
      <c r="T805" s="23"/>
      <c r="U805" s="2"/>
      <c r="W805" s="34"/>
      <c r="X805" s="23"/>
      <c r="Y805" s="34"/>
      <c r="Z805" s="23"/>
      <c r="AA805" s="2"/>
      <c r="AC805" s="244"/>
    </row>
    <row r="806" spans="10:29">
      <c r="J806" s="412">
        <v>41978</v>
      </c>
      <c r="K806" s="413">
        <v>20.559622999999998</v>
      </c>
      <c r="L806" s="30">
        <f t="shared" si="36"/>
        <v>1.298077868215773E-2</v>
      </c>
      <c r="M806" s="414">
        <v>2075.3701169999999</v>
      </c>
      <c r="N806" s="31">
        <f t="shared" si="37"/>
        <v>7.3096075681490557E-3</v>
      </c>
      <c r="Q806" s="34"/>
      <c r="R806" s="23"/>
      <c r="S806" s="34"/>
      <c r="T806" s="23"/>
      <c r="U806" s="2"/>
      <c r="W806" s="34"/>
      <c r="X806" s="23"/>
      <c r="Y806" s="34"/>
      <c r="Z806" s="23"/>
      <c r="AA806" s="2"/>
      <c r="AC806" s="244"/>
    </row>
    <row r="807" spans="10:29">
      <c r="J807" s="412">
        <v>41981</v>
      </c>
      <c r="K807" s="413">
        <v>20.296163</v>
      </c>
      <c r="L807" s="30">
        <f t="shared" si="36"/>
        <v>3.37672909426555E-3</v>
      </c>
      <c r="M807" s="414">
        <v>2060.3100589999999</v>
      </c>
      <c r="N807" s="31">
        <f t="shared" si="37"/>
        <v>2.3788048655904158E-4</v>
      </c>
      <c r="Q807" s="34"/>
      <c r="R807" s="23"/>
      <c r="S807" s="34"/>
      <c r="T807" s="23"/>
      <c r="U807" s="2"/>
      <c r="W807" s="34"/>
      <c r="X807" s="23"/>
      <c r="Y807" s="34"/>
      <c r="Z807" s="23"/>
      <c r="AA807" s="2"/>
      <c r="AC807" s="244"/>
    </row>
    <row r="808" spans="10:29">
      <c r="J808" s="412">
        <v>41982</v>
      </c>
      <c r="K808" s="413">
        <v>20.227858999999999</v>
      </c>
      <c r="L808" s="30">
        <f t="shared" si="36"/>
        <v>2.2693612144839274E-2</v>
      </c>
      <c r="M808" s="414">
        <v>2059.820068</v>
      </c>
      <c r="N808" s="31">
        <f t="shared" si="37"/>
        <v>1.6622766813082286E-2</v>
      </c>
      <c r="Q808" s="34"/>
      <c r="R808" s="23"/>
      <c r="S808" s="34"/>
      <c r="T808" s="23"/>
      <c r="U808" s="2"/>
      <c r="W808" s="34"/>
      <c r="X808" s="23"/>
      <c r="Y808" s="34"/>
      <c r="Z808" s="23"/>
      <c r="AA808" s="2"/>
      <c r="AC808" s="244"/>
    </row>
    <row r="809" spans="10:29">
      <c r="J809" s="412">
        <v>41983</v>
      </c>
      <c r="K809" s="413">
        <v>19.779001999999998</v>
      </c>
      <c r="L809" s="30">
        <f t="shared" si="36"/>
        <v>4.9359500039545948E-4</v>
      </c>
      <c r="M809" s="414">
        <v>2026.1400149999999</v>
      </c>
      <c r="N809" s="31">
        <f t="shared" si="37"/>
        <v>-4.5152094248447697E-3</v>
      </c>
      <c r="Q809" s="34"/>
      <c r="R809" s="23"/>
      <c r="S809" s="34"/>
      <c r="T809" s="23"/>
      <c r="U809" s="2"/>
      <c r="W809" s="34"/>
      <c r="X809" s="23"/>
      <c r="Y809" s="34"/>
      <c r="Z809" s="23"/>
      <c r="AA809" s="2"/>
      <c r="AC809" s="244"/>
    </row>
    <row r="810" spans="10:29">
      <c r="J810" s="412">
        <v>41984</v>
      </c>
      <c r="K810" s="413">
        <v>19.769244</v>
      </c>
      <c r="L810" s="30">
        <f t="shared" si="36"/>
        <v>3.2093811047981889E-2</v>
      </c>
      <c r="M810" s="414">
        <v>2035.329956</v>
      </c>
      <c r="N810" s="31">
        <f t="shared" si="37"/>
        <v>1.6480800230309293E-2</v>
      </c>
      <c r="Q810" s="34"/>
      <c r="R810" s="23"/>
      <c r="S810" s="34"/>
      <c r="T810" s="23"/>
      <c r="U810" s="2"/>
      <c r="W810" s="34"/>
      <c r="X810" s="23"/>
      <c r="Y810" s="34"/>
      <c r="Z810" s="23"/>
      <c r="AA810" s="2"/>
      <c r="AC810" s="244"/>
    </row>
    <row r="811" spans="10:29">
      <c r="J811" s="412">
        <v>41985</v>
      </c>
      <c r="K811" s="413">
        <v>19.154502999999998</v>
      </c>
      <c r="L811" s="30">
        <f t="shared" si="36"/>
        <v>3.0658845744153994E-3</v>
      </c>
      <c r="M811" s="414">
        <v>2002.329956</v>
      </c>
      <c r="N811" s="31">
        <f t="shared" si="37"/>
        <v>6.3830717108631745E-3</v>
      </c>
      <c r="Q811" s="34"/>
      <c r="R811" s="23"/>
      <c r="S811" s="34"/>
      <c r="T811" s="23"/>
      <c r="U811" s="2"/>
      <c r="W811" s="34"/>
      <c r="X811" s="23"/>
      <c r="Y811" s="34"/>
      <c r="Z811" s="23"/>
      <c r="AA811" s="2"/>
      <c r="AC811" s="244"/>
    </row>
    <row r="812" spans="10:29">
      <c r="J812" s="412">
        <v>41988</v>
      </c>
      <c r="K812" s="413">
        <v>19.095956999999999</v>
      </c>
      <c r="L812" s="30">
        <f t="shared" si="36"/>
        <v>1.1369458024762726E-2</v>
      </c>
      <c r="M812" s="414">
        <v>1989.630005</v>
      </c>
      <c r="N812" s="31">
        <f t="shared" si="37"/>
        <v>8.5617035623635068E-3</v>
      </c>
      <c r="Q812" s="34"/>
      <c r="R812" s="23"/>
      <c r="S812" s="34"/>
      <c r="T812" s="23"/>
      <c r="U812" s="2"/>
      <c r="W812" s="34"/>
      <c r="X812" s="23"/>
      <c r="Y812" s="34"/>
      <c r="Z812" s="23"/>
      <c r="AA812" s="2"/>
      <c r="AC812" s="244"/>
    </row>
    <row r="813" spans="10:29">
      <c r="J813" s="412">
        <v>41989</v>
      </c>
      <c r="K813" s="413">
        <v>18.881287</v>
      </c>
      <c r="L813" s="30">
        <f t="shared" si="36"/>
        <v>-3.922537737601222E-2</v>
      </c>
      <c r="M813" s="414">
        <v>1972.73999</v>
      </c>
      <c r="N813" s="31">
        <f t="shared" si="37"/>
        <v>-1.994645743225067E-2</v>
      </c>
      <c r="Q813" s="34"/>
      <c r="R813" s="23"/>
      <c r="S813" s="34"/>
      <c r="T813" s="23"/>
      <c r="U813" s="2"/>
      <c r="W813" s="34"/>
      <c r="X813" s="23"/>
      <c r="Y813" s="34"/>
      <c r="Z813" s="23"/>
      <c r="AA813" s="2"/>
      <c r="AC813" s="244"/>
    </row>
    <row r="814" spans="10:29">
      <c r="J814" s="412">
        <v>41990</v>
      </c>
      <c r="K814" s="413">
        <v>19.652149999999999</v>
      </c>
      <c r="L814" s="30">
        <f t="shared" si="36"/>
        <v>-3.9564704119754383E-3</v>
      </c>
      <c r="M814" s="414">
        <v>2012.8900149999999</v>
      </c>
      <c r="N814" s="31">
        <f t="shared" si="37"/>
        <v>-2.3451999761812177E-2</v>
      </c>
      <c r="Q814" s="34"/>
      <c r="R814" s="23"/>
      <c r="S814" s="34"/>
      <c r="T814" s="23"/>
      <c r="U814" s="2"/>
      <c r="W814" s="34"/>
      <c r="X814" s="23"/>
      <c r="Y814" s="34"/>
      <c r="Z814" s="23"/>
      <c r="AA814" s="2"/>
      <c r="AC814" s="244"/>
    </row>
    <row r="815" spans="10:29">
      <c r="J815" s="412">
        <v>41991</v>
      </c>
      <c r="K815" s="413">
        <v>19.730212000000002</v>
      </c>
      <c r="L815" s="30">
        <f t="shared" si="36"/>
        <v>-9.7943485912027946E-3</v>
      </c>
      <c r="M815" s="414">
        <v>2061.2299800000001</v>
      </c>
      <c r="N815" s="31">
        <f t="shared" si="37"/>
        <v>-4.5492586607236325E-3</v>
      </c>
      <c r="Q815" s="34"/>
      <c r="R815" s="23"/>
      <c r="S815" s="34"/>
      <c r="T815" s="23"/>
      <c r="U815" s="2"/>
      <c r="W815" s="34"/>
      <c r="X815" s="23"/>
      <c r="Y815" s="34"/>
      <c r="Z815" s="23"/>
      <c r="AA815" s="2"/>
      <c r="AC815" s="244"/>
    </row>
    <row r="816" spans="10:29">
      <c r="J816" s="412">
        <v>41992</v>
      </c>
      <c r="K816" s="413">
        <v>19.925367999999999</v>
      </c>
      <c r="L816" s="30">
        <f t="shared" si="36"/>
        <v>-1.7324410951730741E-2</v>
      </c>
      <c r="M816" s="414">
        <v>2070.6499020000001</v>
      </c>
      <c r="N816" s="31">
        <f t="shared" si="37"/>
        <v>-3.795999524645129E-3</v>
      </c>
      <c r="Q816" s="34"/>
      <c r="R816" s="23"/>
      <c r="S816" s="34"/>
      <c r="T816" s="23"/>
      <c r="U816" s="2"/>
      <c r="W816" s="34"/>
      <c r="X816" s="23"/>
      <c r="Y816" s="34"/>
      <c r="Z816" s="23"/>
      <c r="AA816" s="2"/>
      <c r="AC816" s="244"/>
    </row>
    <row r="817" spans="10:29">
      <c r="J817" s="412">
        <v>41995</v>
      </c>
      <c r="K817" s="413">
        <v>20.276648999999999</v>
      </c>
      <c r="L817" s="30">
        <f t="shared" si="36"/>
        <v>6.2954480385087512E-3</v>
      </c>
      <c r="M817" s="414">
        <v>2078.540039</v>
      </c>
      <c r="N817" s="31">
        <f t="shared" si="37"/>
        <v>-1.7433173736913022E-3</v>
      </c>
      <c r="Q817" s="34"/>
      <c r="R817" s="23"/>
      <c r="S817" s="34"/>
      <c r="T817" s="23"/>
      <c r="U817" s="2"/>
      <c r="W817" s="34"/>
      <c r="X817" s="23"/>
      <c r="Y817" s="34"/>
      <c r="Z817" s="23"/>
      <c r="AA817" s="2"/>
      <c r="AC817" s="244"/>
    </row>
    <row r="818" spans="10:29">
      <c r="J818" s="412">
        <v>41996</v>
      </c>
      <c r="K818" s="413">
        <v>20.149797</v>
      </c>
      <c r="L818" s="30">
        <f t="shared" si="36"/>
        <v>3.889200604192952E-3</v>
      </c>
      <c r="M818" s="414">
        <v>2082.169922</v>
      </c>
      <c r="N818" s="31">
        <f t="shared" si="37"/>
        <v>1.3931591460600076E-4</v>
      </c>
      <c r="Q818" s="34"/>
      <c r="R818" s="23"/>
      <c r="S818" s="34"/>
      <c r="T818" s="23"/>
      <c r="U818" s="2"/>
      <c r="W818" s="34"/>
      <c r="X818" s="23"/>
      <c r="Y818" s="34"/>
      <c r="Z818" s="23"/>
      <c r="AA818" s="2"/>
      <c r="AC818" s="244"/>
    </row>
    <row r="819" spans="10:29">
      <c r="J819" s="412">
        <v>41997</v>
      </c>
      <c r="K819" s="413">
        <v>20.071733999999999</v>
      </c>
      <c r="L819" s="30">
        <f t="shared" si="36"/>
        <v>-9.7136813289364391E-4</v>
      </c>
      <c r="M819" s="414">
        <v>2081.8798830000001</v>
      </c>
      <c r="N819" s="31">
        <f t="shared" si="37"/>
        <v>-3.2986575515862046E-3</v>
      </c>
      <c r="Q819" s="34"/>
      <c r="R819" s="23"/>
      <c r="S819" s="34"/>
      <c r="T819" s="23"/>
      <c r="U819" s="2"/>
      <c r="W819" s="34"/>
      <c r="X819" s="23"/>
      <c r="Y819" s="34"/>
      <c r="Z819" s="23"/>
      <c r="AA819" s="2"/>
      <c r="AC819" s="244"/>
    </row>
    <row r="820" spans="10:29">
      <c r="J820" s="412">
        <v>41999</v>
      </c>
      <c r="K820" s="413">
        <v>20.091249999999999</v>
      </c>
      <c r="L820" s="30">
        <f t="shared" si="36"/>
        <v>1.4591782982891295E-3</v>
      </c>
      <c r="M820" s="414">
        <v>2088.7700199999999</v>
      </c>
      <c r="N820" s="31">
        <f t="shared" si="37"/>
        <v>-8.6103213068678677E-4</v>
      </c>
      <c r="Q820" s="34"/>
      <c r="R820" s="23"/>
      <c r="S820" s="34"/>
      <c r="T820" s="23"/>
      <c r="U820" s="2"/>
      <c r="W820" s="34"/>
      <c r="X820" s="23"/>
      <c r="Y820" s="34"/>
      <c r="Z820" s="23"/>
      <c r="AA820" s="2"/>
      <c r="AC820" s="244"/>
    </row>
    <row r="821" spans="10:29">
      <c r="J821" s="412">
        <v>42002</v>
      </c>
      <c r="K821" s="413">
        <v>20.061976000000001</v>
      </c>
      <c r="L821" s="30">
        <f t="shared" si="36"/>
        <v>9.3273591332110849E-3</v>
      </c>
      <c r="M821" s="414">
        <v>2090.570068</v>
      </c>
      <c r="N821" s="31">
        <f t="shared" si="37"/>
        <v>4.9126202410956429E-3</v>
      </c>
      <c r="Q821" s="34"/>
      <c r="R821" s="23"/>
      <c r="S821" s="34"/>
      <c r="T821" s="23"/>
      <c r="U821" s="2"/>
      <c r="W821" s="34"/>
      <c r="X821" s="23"/>
      <c r="Y821" s="34"/>
      <c r="Z821" s="23"/>
      <c r="AA821" s="2"/>
      <c r="AC821" s="244"/>
    </row>
    <row r="822" spans="10:29">
      <c r="J822" s="412">
        <v>42003</v>
      </c>
      <c r="K822" s="413">
        <v>19.876580000000001</v>
      </c>
      <c r="L822" s="30">
        <f t="shared" si="36"/>
        <v>1.5960168326745603E-2</v>
      </c>
      <c r="M822" s="414">
        <v>2080.3500979999999</v>
      </c>
      <c r="N822" s="31">
        <f t="shared" si="37"/>
        <v>1.0418280159789807E-2</v>
      </c>
      <c r="Q822" s="34"/>
      <c r="R822" s="23"/>
      <c r="S822" s="34"/>
      <c r="T822" s="23"/>
      <c r="U822" s="2"/>
      <c r="W822" s="34"/>
      <c r="X822" s="23"/>
      <c r="Y822" s="34"/>
      <c r="Z822" s="23"/>
      <c r="AA822" s="2"/>
      <c r="AC822" s="244"/>
    </row>
    <row r="823" spans="10:29">
      <c r="J823" s="412">
        <v>42004</v>
      </c>
      <c r="K823" s="413">
        <v>19.564330000000002</v>
      </c>
      <c r="L823" s="30">
        <f t="shared" si="36"/>
        <v>-3.9741595626438565E-3</v>
      </c>
      <c r="M823" s="414">
        <v>2058.8999020000001</v>
      </c>
      <c r="N823" s="31">
        <f t="shared" si="37"/>
        <v>3.4007920350983211E-4</v>
      </c>
      <c r="Q823" s="34"/>
      <c r="R823" s="23"/>
      <c r="S823" s="34"/>
      <c r="T823" s="23"/>
      <c r="U823" s="2"/>
      <c r="W823" s="34"/>
      <c r="X823" s="23"/>
      <c r="Y823" s="34"/>
      <c r="Z823" s="23"/>
      <c r="AA823" s="2"/>
      <c r="AC823" s="244"/>
    </row>
    <row r="824" spans="10:29">
      <c r="J824" s="412">
        <v>42006</v>
      </c>
      <c r="K824" s="413">
        <v>19.642392000000001</v>
      </c>
      <c r="L824" s="30">
        <f t="shared" si="36"/>
        <v>1.7180331101591888E-2</v>
      </c>
      <c r="M824" s="414">
        <v>2058.1999510000001</v>
      </c>
      <c r="N824" s="31">
        <f t="shared" si="37"/>
        <v>1.8618414425170125E-2</v>
      </c>
      <c r="Q824" s="34"/>
      <c r="R824" s="23"/>
      <c r="S824" s="34"/>
      <c r="T824" s="23"/>
      <c r="U824" s="2"/>
      <c r="W824" s="34"/>
      <c r="X824" s="23"/>
      <c r="Y824" s="34"/>
      <c r="Z824" s="23"/>
      <c r="AA824" s="2"/>
      <c r="AC824" s="244"/>
    </row>
    <row r="825" spans="10:29">
      <c r="J825" s="412">
        <v>42009</v>
      </c>
      <c r="K825" s="413">
        <v>19.310628999999999</v>
      </c>
      <c r="L825" s="30">
        <f t="shared" si="36"/>
        <v>3.1266269885073916E-2</v>
      </c>
      <c r="M825" s="414">
        <v>2020.579956</v>
      </c>
      <c r="N825" s="31">
        <f t="shared" si="37"/>
        <v>8.9732754428466441E-3</v>
      </c>
      <c r="Q825" s="34"/>
      <c r="R825" s="23"/>
      <c r="S825" s="34"/>
      <c r="T825" s="23"/>
      <c r="U825" s="2"/>
      <c r="W825" s="34"/>
      <c r="X825" s="23"/>
      <c r="Y825" s="34"/>
      <c r="Z825" s="23"/>
      <c r="AA825" s="2"/>
      <c r="AC825" s="244"/>
    </row>
    <row r="826" spans="10:29">
      <c r="J826" s="412">
        <v>42010</v>
      </c>
      <c r="K826" s="413">
        <v>18.725162999999998</v>
      </c>
      <c r="L826" s="30">
        <f t="shared" si="36"/>
        <v>2.6123916030161088E-3</v>
      </c>
      <c r="M826" s="414">
        <v>2002.6099850000001</v>
      </c>
      <c r="N826" s="31">
        <f t="shared" si="37"/>
        <v>-1.149614429344613E-2</v>
      </c>
      <c r="Q826" s="34"/>
      <c r="R826" s="23"/>
      <c r="S826" s="34"/>
      <c r="T826" s="23"/>
      <c r="U826" s="2"/>
      <c r="W826" s="34"/>
      <c r="X826" s="23"/>
      <c r="Y826" s="34"/>
      <c r="Z826" s="23"/>
      <c r="AA826" s="2"/>
      <c r="AC826" s="244"/>
    </row>
    <row r="827" spans="10:29">
      <c r="J827" s="412">
        <v>42011</v>
      </c>
      <c r="K827" s="413">
        <v>18.676373000000002</v>
      </c>
      <c r="L827" s="30">
        <f t="shared" si="36"/>
        <v>-3.625385173405303E-2</v>
      </c>
      <c r="M827" s="414">
        <v>2025.900024</v>
      </c>
      <c r="N827" s="31">
        <f t="shared" si="37"/>
        <v>-1.7573913934266727E-2</v>
      </c>
      <c r="Q827" s="34"/>
      <c r="R827" s="23"/>
      <c r="S827" s="34"/>
      <c r="T827" s="23"/>
      <c r="U827" s="2"/>
      <c r="W827" s="34"/>
      <c r="X827" s="23"/>
      <c r="Y827" s="34"/>
      <c r="Z827" s="23"/>
      <c r="AA827" s="2"/>
      <c r="AC827" s="244"/>
    </row>
    <row r="828" spans="10:29">
      <c r="J828" s="412">
        <v>42012</v>
      </c>
      <c r="K828" s="413">
        <v>19.378934000000001</v>
      </c>
      <c r="L828" s="30">
        <f t="shared" si="36"/>
        <v>-4.0120273448172161E-3</v>
      </c>
      <c r="M828" s="414">
        <v>2062.139893</v>
      </c>
      <c r="N828" s="31">
        <f t="shared" si="37"/>
        <v>8.4750336216925463E-3</v>
      </c>
      <c r="Q828" s="34"/>
      <c r="R828" s="23"/>
      <c r="S828" s="34"/>
      <c r="T828" s="23"/>
      <c r="U828" s="2"/>
      <c r="W828" s="34"/>
      <c r="X828" s="23"/>
      <c r="Y828" s="34"/>
      <c r="Z828" s="23"/>
      <c r="AA828" s="2"/>
      <c r="AC828" s="244"/>
    </row>
    <row r="829" spans="10:29">
      <c r="J829" s="412">
        <v>42013</v>
      </c>
      <c r="K829" s="413">
        <v>19.456996</v>
      </c>
      <c r="L829" s="30">
        <f t="shared" si="36"/>
        <v>1.2696838206487876E-2</v>
      </c>
      <c r="M829" s="414">
        <v>2044.8100589999999</v>
      </c>
      <c r="N829" s="31">
        <f t="shared" si="37"/>
        <v>8.1597275094922091E-3</v>
      </c>
      <c r="Q829" s="34"/>
      <c r="R829" s="23"/>
      <c r="S829" s="34"/>
      <c r="T829" s="23"/>
      <c r="U829" s="2"/>
      <c r="W829" s="34"/>
      <c r="X829" s="23"/>
      <c r="Y829" s="34"/>
      <c r="Z829" s="23"/>
      <c r="AA829" s="2"/>
      <c r="AC829" s="244"/>
    </row>
    <row r="830" spans="10:29">
      <c r="J830" s="412">
        <v>42016</v>
      </c>
      <c r="K830" s="413">
        <v>19.213051</v>
      </c>
      <c r="L830" s="30">
        <f t="shared" si="36"/>
        <v>1.5259768709780619E-3</v>
      </c>
      <c r="M830" s="414">
        <v>2028.26001</v>
      </c>
      <c r="N830" s="31">
        <f t="shared" si="37"/>
        <v>2.5852216353828292E-3</v>
      </c>
      <c r="Q830" s="34"/>
      <c r="R830" s="23"/>
      <c r="S830" s="34"/>
      <c r="T830" s="23"/>
      <c r="U830" s="2"/>
      <c r="W830" s="34"/>
      <c r="X830" s="23"/>
      <c r="Y830" s="34"/>
      <c r="Z830" s="23"/>
      <c r="AA830" s="2"/>
      <c r="AC830" s="244"/>
    </row>
    <row r="831" spans="10:29">
      <c r="J831" s="412">
        <v>42017</v>
      </c>
      <c r="K831" s="413">
        <v>19.183776999999999</v>
      </c>
      <c r="L831" s="30">
        <f t="shared" si="36"/>
        <v>-4.0527280882823357E-3</v>
      </c>
      <c r="M831" s="414">
        <v>2023.030029</v>
      </c>
      <c r="N831" s="31">
        <f t="shared" si="37"/>
        <v>5.8470562793950867E-3</v>
      </c>
      <c r="Q831" s="34"/>
      <c r="R831" s="23"/>
      <c r="S831" s="34"/>
      <c r="T831" s="23"/>
      <c r="U831" s="2"/>
      <c r="W831" s="34"/>
      <c r="X831" s="23"/>
      <c r="Y831" s="34"/>
      <c r="Z831" s="23"/>
      <c r="AA831" s="2"/>
      <c r="AC831" s="244"/>
    </row>
    <row r="832" spans="10:29">
      <c r="J832" s="412">
        <v>42018</v>
      </c>
      <c r="K832" s="413">
        <v>19.261839999999999</v>
      </c>
      <c r="L832" s="30">
        <f t="shared" si="36"/>
        <v>7.1428679737253883E-3</v>
      </c>
      <c r="M832" s="414">
        <v>2011.2700199999999</v>
      </c>
      <c r="N832" s="31">
        <f t="shared" si="37"/>
        <v>9.3341976289577668E-3</v>
      </c>
      <c r="Q832" s="34"/>
      <c r="R832" s="23"/>
      <c r="S832" s="34"/>
      <c r="T832" s="23"/>
      <c r="U832" s="2"/>
      <c r="W832" s="34"/>
      <c r="X832" s="23"/>
      <c r="Y832" s="34"/>
      <c r="Z832" s="23"/>
      <c r="AA832" s="2"/>
      <c r="AC832" s="244"/>
    </row>
    <row r="833" spans="10:29">
      <c r="J833" s="412">
        <v>42019</v>
      </c>
      <c r="K833" s="413">
        <v>19.125230999999999</v>
      </c>
      <c r="L833" s="30">
        <f t="shared" si="36"/>
        <v>-1.8036034176554302E-2</v>
      </c>
      <c r="M833" s="414">
        <v>1992.670044</v>
      </c>
      <c r="N833" s="31">
        <f t="shared" si="37"/>
        <v>-1.3246377384179317E-2</v>
      </c>
      <c r="Q833" s="34"/>
      <c r="R833" s="23"/>
      <c r="S833" s="34"/>
      <c r="T833" s="23"/>
      <c r="U833" s="2"/>
      <c r="W833" s="34"/>
      <c r="X833" s="23"/>
      <c r="Y833" s="34"/>
      <c r="Z833" s="23"/>
      <c r="AA833" s="2"/>
      <c r="AC833" s="244"/>
    </row>
    <row r="834" spans="10:29">
      <c r="J834" s="412">
        <v>42020</v>
      </c>
      <c r="K834" s="413">
        <v>19.476510000000001</v>
      </c>
      <c r="L834" s="30">
        <f t="shared" si="36"/>
        <v>-2.9970732618248828E-3</v>
      </c>
      <c r="M834" s="414">
        <v>2019.420044</v>
      </c>
      <c r="N834" s="31">
        <f t="shared" si="37"/>
        <v>-1.5475537930680809E-3</v>
      </c>
      <c r="Q834" s="34"/>
      <c r="R834" s="23"/>
      <c r="S834" s="34"/>
      <c r="T834" s="23"/>
      <c r="U834" s="2"/>
      <c r="W834" s="34"/>
      <c r="X834" s="23"/>
      <c r="Y834" s="34"/>
      <c r="Z834" s="23"/>
      <c r="AA834" s="2"/>
      <c r="AC834" s="244"/>
    </row>
    <row r="835" spans="10:29">
      <c r="J835" s="412">
        <v>42024</v>
      </c>
      <c r="K835" s="413">
        <v>19.535057999999999</v>
      </c>
      <c r="L835" s="30">
        <f t="shared" si="36"/>
        <v>-1.3793024066609814E-2</v>
      </c>
      <c r="M835" s="414">
        <v>2022.5500489999999</v>
      </c>
      <c r="N835" s="31">
        <f t="shared" si="37"/>
        <v>-4.7093409953874663E-3</v>
      </c>
      <c r="Q835" s="34"/>
      <c r="R835" s="23"/>
      <c r="S835" s="34"/>
      <c r="T835" s="23"/>
      <c r="U835" s="2"/>
      <c r="W835" s="34"/>
      <c r="X835" s="23"/>
      <c r="Y835" s="34"/>
      <c r="Z835" s="23"/>
      <c r="AA835" s="2"/>
      <c r="AC835" s="244"/>
    </row>
    <row r="836" spans="10:29">
      <c r="J836" s="412">
        <v>42025</v>
      </c>
      <c r="K836" s="413">
        <v>19.808274000000001</v>
      </c>
      <c r="L836" s="30">
        <f t="shared" si="36"/>
        <v>-1.6949203011821842E-2</v>
      </c>
      <c r="M836" s="414">
        <v>2032.119995</v>
      </c>
      <c r="N836" s="31">
        <f t="shared" si="37"/>
        <v>-1.5040064209546754E-2</v>
      </c>
      <c r="Q836" s="34"/>
      <c r="R836" s="23"/>
      <c r="S836" s="34"/>
      <c r="T836" s="23"/>
      <c r="U836" s="2"/>
      <c r="W836" s="34"/>
      <c r="X836" s="23"/>
      <c r="Y836" s="34"/>
      <c r="Z836" s="23"/>
      <c r="AA836" s="2"/>
      <c r="AC836" s="244"/>
    </row>
    <row r="837" spans="10:29">
      <c r="J837" s="412">
        <v>42026</v>
      </c>
      <c r="K837" s="413">
        <v>20.149797</v>
      </c>
      <c r="L837" s="30">
        <f t="shared" si="36"/>
        <v>-2.8971202636455529E-3</v>
      </c>
      <c r="M837" s="414">
        <v>2063.1499020000001</v>
      </c>
      <c r="N837" s="31">
        <f t="shared" si="37"/>
        <v>5.5218457878929948E-3</v>
      </c>
      <c r="Q837" s="34"/>
      <c r="R837" s="23"/>
      <c r="S837" s="34"/>
      <c r="T837" s="23"/>
      <c r="U837" s="2"/>
      <c r="W837" s="34"/>
      <c r="X837" s="23"/>
      <c r="Y837" s="34"/>
      <c r="Z837" s="23"/>
      <c r="AA837" s="2"/>
      <c r="AC837" s="244"/>
    </row>
    <row r="838" spans="10:29">
      <c r="J838" s="412">
        <v>42027</v>
      </c>
      <c r="K838" s="413">
        <v>20.208342999999999</v>
      </c>
      <c r="L838" s="30">
        <f t="shared" si="36"/>
        <v>4.3646477596706555E-3</v>
      </c>
      <c r="M838" s="414">
        <v>2051.820068</v>
      </c>
      <c r="N838" s="31">
        <f t="shared" si="37"/>
        <v>-2.5618809942950498E-3</v>
      </c>
      <c r="Q838" s="34"/>
      <c r="R838" s="23"/>
      <c r="S838" s="34"/>
      <c r="T838" s="23"/>
      <c r="U838" s="2"/>
      <c r="W838" s="34"/>
      <c r="X838" s="23"/>
      <c r="Y838" s="34"/>
      <c r="Z838" s="23"/>
      <c r="AA838" s="2"/>
      <c r="AC838" s="244"/>
    </row>
    <row r="839" spans="10:29">
      <c r="J839" s="412">
        <v>42030</v>
      </c>
      <c r="K839" s="413">
        <v>20.120524</v>
      </c>
      <c r="L839" s="30">
        <f t="shared" si="36"/>
        <v>5.0433101814231433E-2</v>
      </c>
      <c r="M839" s="414">
        <v>2057.0900879999999</v>
      </c>
      <c r="N839" s="31">
        <f t="shared" si="37"/>
        <v>1.3569529371088684E-2</v>
      </c>
      <c r="Q839" s="34"/>
      <c r="R839" s="23"/>
      <c r="S839" s="34"/>
      <c r="T839" s="23"/>
      <c r="U839" s="2"/>
      <c r="W839" s="34"/>
      <c r="X839" s="23"/>
      <c r="Y839" s="34"/>
      <c r="Z839" s="23"/>
      <c r="AA839" s="2"/>
      <c r="AC839" s="244"/>
    </row>
    <row r="840" spans="10:29">
      <c r="J840" s="412">
        <v>42031</v>
      </c>
      <c r="K840" s="413">
        <v>19.154502999999998</v>
      </c>
      <c r="L840" s="30">
        <f t="shared" ref="L840:L903" si="38">(K840-K841)/K841</f>
        <v>1.6571689535036901E-2</v>
      </c>
      <c r="M840" s="414">
        <v>2029.5500489999999</v>
      </c>
      <c r="N840" s="31">
        <f t="shared" si="37"/>
        <v>1.3680232616210512E-2</v>
      </c>
      <c r="Q840" s="34"/>
      <c r="R840" s="23"/>
      <c r="S840" s="34"/>
      <c r="T840" s="23"/>
      <c r="U840" s="2"/>
      <c r="W840" s="34"/>
      <c r="X840" s="23"/>
      <c r="Y840" s="34"/>
      <c r="Z840" s="23"/>
      <c r="AA840" s="2"/>
      <c r="AC840" s="244"/>
    </row>
    <row r="841" spans="10:29">
      <c r="J841" s="412">
        <v>42032</v>
      </c>
      <c r="K841" s="413">
        <v>18.842255000000002</v>
      </c>
      <c r="L841" s="30">
        <f t="shared" si="38"/>
        <v>-2.3761465285091616E-2</v>
      </c>
      <c r="M841" s="414">
        <v>2002.160034</v>
      </c>
      <c r="N841" s="31">
        <f t="shared" si="37"/>
        <v>-9.4446337662337683E-3</v>
      </c>
      <c r="Q841" s="34"/>
      <c r="R841" s="23"/>
      <c r="S841" s="34"/>
      <c r="T841" s="23"/>
      <c r="U841" s="2"/>
      <c r="W841" s="34"/>
      <c r="X841" s="23"/>
      <c r="Y841" s="34"/>
      <c r="Z841" s="23"/>
      <c r="AA841" s="2"/>
      <c r="AC841" s="244"/>
    </row>
    <row r="842" spans="10:29">
      <c r="J842" s="412">
        <v>42033</v>
      </c>
      <c r="K842" s="413">
        <v>19.300871999999998</v>
      </c>
      <c r="L842" s="30">
        <f t="shared" si="38"/>
        <v>3.0208347289001021E-2</v>
      </c>
      <c r="M842" s="414">
        <v>2021.25</v>
      </c>
      <c r="N842" s="31">
        <f t="shared" ref="N842:N905" si="39">(M842-M843)/M843</f>
        <v>1.3162978326522815E-2</v>
      </c>
      <c r="Q842" s="34"/>
      <c r="R842" s="23"/>
      <c r="S842" s="34"/>
      <c r="T842" s="23"/>
      <c r="U842" s="2"/>
      <c r="W842" s="34"/>
      <c r="X842" s="23"/>
      <c r="Y842" s="34"/>
      <c r="Z842" s="23"/>
      <c r="AA842" s="2"/>
      <c r="AC842" s="244"/>
    </row>
    <row r="843" spans="10:29">
      <c r="J843" s="412">
        <v>42034</v>
      </c>
      <c r="K843" s="413">
        <v>18.734921</v>
      </c>
      <c r="L843" s="30">
        <f t="shared" si="38"/>
        <v>-2.1406707542282952E-2</v>
      </c>
      <c r="M843" s="414">
        <v>1994.98999</v>
      </c>
      <c r="N843" s="31">
        <f t="shared" si="39"/>
        <v>-1.2796588716192723E-2</v>
      </c>
      <c r="Q843" s="34"/>
      <c r="R843" s="23"/>
      <c r="S843" s="34"/>
      <c r="T843" s="23"/>
      <c r="U843" s="2"/>
      <c r="W843" s="34"/>
      <c r="X843" s="23"/>
      <c r="Y843" s="34"/>
      <c r="Z843" s="23"/>
      <c r="AA843" s="2"/>
      <c r="AC843" s="244"/>
    </row>
    <row r="844" spans="10:29">
      <c r="J844" s="412">
        <v>42037</v>
      </c>
      <c r="K844" s="413">
        <v>19.144746999999999</v>
      </c>
      <c r="L844" s="30">
        <f t="shared" si="38"/>
        <v>-2.4365997689024067E-2</v>
      </c>
      <c r="M844" s="414">
        <v>2020.849976</v>
      </c>
      <c r="N844" s="31">
        <f t="shared" si="39"/>
        <v>-1.4233963691855776E-2</v>
      </c>
      <c r="Q844" s="34"/>
      <c r="R844" s="23"/>
      <c r="S844" s="34"/>
      <c r="T844" s="23"/>
      <c r="U844" s="2"/>
      <c r="W844" s="34"/>
      <c r="X844" s="23"/>
      <c r="Y844" s="34"/>
      <c r="Z844" s="23"/>
      <c r="AA844" s="2"/>
      <c r="AC844" s="244"/>
    </row>
    <row r="845" spans="10:29">
      <c r="J845" s="412">
        <v>42038</v>
      </c>
      <c r="K845" s="413">
        <v>19.622878</v>
      </c>
      <c r="L845" s="30">
        <f t="shared" si="38"/>
        <v>-2.4801153089930605E-3</v>
      </c>
      <c r="M845" s="414">
        <v>2050.030029</v>
      </c>
      <c r="N845" s="31">
        <f t="shared" si="39"/>
        <v>4.1733907540331128E-3</v>
      </c>
      <c r="Q845" s="34"/>
      <c r="R845" s="23"/>
      <c r="S845" s="34"/>
      <c r="T845" s="23"/>
      <c r="U845" s="2"/>
      <c r="W845" s="34"/>
      <c r="X845" s="23"/>
      <c r="Y845" s="34"/>
      <c r="Z845" s="23"/>
      <c r="AA845" s="2"/>
      <c r="AC845" s="244"/>
    </row>
    <row r="846" spans="10:29">
      <c r="J846" s="412">
        <v>42039</v>
      </c>
      <c r="K846" s="413">
        <v>19.671665999999998</v>
      </c>
      <c r="L846" s="30">
        <f t="shared" si="38"/>
        <v>-1.6105395747214507E-2</v>
      </c>
      <c r="M846" s="414">
        <v>2041.51001</v>
      </c>
      <c r="N846" s="31">
        <f t="shared" si="39"/>
        <v>-1.0186572637486431E-2</v>
      </c>
      <c r="Q846" s="34"/>
      <c r="R846" s="23"/>
      <c r="S846" s="34"/>
      <c r="T846" s="23"/>
      <c r="U846" s="2"/>
      <c r="W846" s="34"/>
      <c r="X846" s="23"/>
      <c r="Y846" s="34"/>
      <c r="Z846" s="23"/>
      <c r="AA846" s="2"/>
      <c r="AC846" s="244"/>
    </row>
    <row r="847" spans="10:29">
      <c r="J847" s="412">
        <v>42040</v>
      </c>
      <c r="K847" s="413">
        <v>19.993672</v>
      </c>
      <c r="L847" s="30">
        <f t="shared" si="38"/>
        <v>4.4117679564783605E-3</v>
      </c>
      <c r="M847" s="414">
        <v>2062.5200199999999</v>
      </c>
      <c r="N847" s="31">
        <f t="shared" si="39"/>
        <v>3.4298963738059614E-3</v>
      </c>
      <c r="Q847" s="34"/>
      <c r="R847" s="23"/>
      <c r="S847" s="34"/>
      <c r="T847" s="23"/>
      <c r="U847" s="2"/>
      <c r="W847" s="34"/>
      <c r="X847" s="23"/>
      <c r="Y847" s="34"/>
      <c r="Z847" s="23"/>
      <c r="AA847" s="2"/>
      <c r="AC847" s="244"/>
    </row>
    <row r="848" spans="10:29">
      <c r="J848" s="412">
        <v>42041</v>
      </c>
      <c r="K848" s="413">
        <v>19.905851999999999</v>
      </c>
      <c r="L848" s="30">
        <f t="shared" si="38"/>
        <v>9.8137736383411308E-4</v>
      </c>
      <c r="M848" s="414">
        <v>2055.469971</v>
      </c>
      <c r="N848" s="31">
        <f t="shared" si="39"/>
        <v>4.2653102214512129E-3</v>
      </c>
      <c r="Q848" s="34"/>
      <c r="R848" s="23"/>
      <c r="S848" s="34"/>
      <c r="T848" s="23"/>
      <c r="U848" s="2"/>
      <c r="W848" s="34"/>
      <c r="X848" s="23"/>
      <c r="Y848" s="34"/>
      <c r="Z848" s="23"/>
      <c r="AA848" s="2"/>
      <c r="AC848" s="244"/>
    </row>
    <row r="849" spans="10:29">
      <c r="J849" s="412">
        <v>42044</v>
      </c>
      <c r="K849" s="413">
        <v>19.886336</v>
      </c>
      <c r="L849" s="30">
        <f t="shared" si="38"/>
        <v>-2.7207736654526728E-2</v>
      </c>
      <c r="M849" s="414">
        <v>2046.73999</v>
      </c>
      <c r="N849" s="31">
        <f t="shared" si="39"/>
        <v>-1.0562797398456784E-2</v>
      </c>
      <c r="Q849" s="34"/>
      <c r="R849" s="23"/>
      <c r="S849" s="34"/>
      <c r="T849" s="23"/>
      <c r="U849" s="2"/>
      <c r="W849" s="34"/>
      <c r="X849" s="23"/>
      <c r="Y849" s="34"/>
      <c r="Z849" s="23"/>
      <c r="AA849" s="2"/>
      <c r="AC849" s="244"/>
    </row>
    <row r="850" spans="10:29">
      <c r="J850" s="412">
        <v>42045</v>
      </c>
      <c r="K850" s="413">
        <v>20.442530999999999</v>
      </c>
      <c r="L850" s="30">
        <f t="shared" si="38"/>
        <v>6.7275943799839193E-3</v>
      </c>
      <c r="M850" s="414">
        <v>2068.5900879999999</v>
      </c>
      <c r="N850" s="31">
        <f t="shared" si="39"/>
        <v>2.9034628048858824E-5</v>
      </c>
      <c r="Q850" s="34"/>
      <c r="R850" s="23"/>
      <c r="S850" s="34"/>
      <c r="T850" s="23"/>
      <c r="U850" s="2"/>
      <c r="W850" s="34"/>
      <c r="X850" s="23"/>
      <c r="Y850" s="34"/>
      <c r="Z850" s="23"/>
      <c r="AA850" s="2"/>
      <c r="AC850" s="244"/>
    </row>
    <row r="851" spans="10:29">
      <c r="J851" s="412">
        <v>42046</v>
      </c>
      <c r="K851" s="413">
        <v>20.305921000000001</v>
      </c>
      <c r="L851" s="30">
        <f t="shared" si="38"/>
        <v>-6.6816107186141241E-2</v>
      </c>
      <c r="M851" s="414">
        <v>2068.530029</v>
      </c>
      <c r="N851" s="31">
        <f t="shared" si="39"/>
        <v>-9.552378376162388E-3</v>
      </c>
      <c r="Q851" s="34"/>
      <c r="R851" s="23"/>
      <c r="S851" s="34"/>
      <c r="T851" s="23"/>
      <c r="U851" s="2"/>
      <c r="W851" s="34"/>
      <c r="X851" s="23"/>
      <c r="Y851" s="34"/>
      <c r="Z851" s="23"/>
      <c r="AA851" s="2"/>
      <c r="AC851" s="244"/>
    </row>
    <row r="852" spans="10:29">
      <c r="J852" s="412">
        <v>42047</v>
      </c>
      <c r="K852" s="413">
        <v>21.759827999999999</v>
      </c>
      <c r="L852" s="30">
        <f t="shared" si="38"/>
        <v>-4.4824003543298839E-4</v>
      </c>
      <c r="M852" s="414">
        <v>2088.4799800000001</v>
      </c>
      <c r="N852" s="31">
        <f t="shared" si="39"/>
        <v>-4.0582024905135407E-3</v>
      </c>
      <c r="Q852" s="34"/>
      <c r="R852" s="23"/>
      <c r="S852" s="34"/>
      <c r="T852" s="23"/>
      <c r="U852" s="2"/>
      <c r="W852" s="34"/>
      <c r="X852" s="23"/>
      <c r="Y852" s="34"/>
      <c r="Z852" s="23"/>
      <c r="AA852" s="2"/>
      <c r="AC852" s="244"/>
    </row>
    <row r="853" spans="10:29">
      <c r="J853" s="412">
        <v>42048</v>
      </c>
      <c r="K853" s="413">
        <v>21.769586</v>
      </c>
      <c r="L853" s="30">
        <f t="shared" si="38"/>
        <v>-3.1277747071718582E-3</v>
      </c>
      <c r="M853" s="414">
        <v>2096.98999</v>
      </c>
      <c r="N853" s="31">
        <f t="shared" si="39"/>
        <v>-1.5950264526874511E-3</v>
      </c>
      <c r="Q853" s="34"/>
      <c r="R853" s="23"/>
      <c r="S853" s="34"/>
      <c r="T853" s="23"/>
      <c r="U853" s="2"/>
      <c r="W853" s="34"/>
      <c r="X853" s="23"/>
      <c r="Y853" s="34"/>
      <c r="Z853" s="23"/>
      <c r="AA853" s="2"/>
      <c r="AC853" s="244"/>
    </row>
    <row r="854" spans="10:29">
      <c r="J854" s="412">
        <v>42052</v>
      </c>
      <c r="K854" s="413">
        <v>21.837890000000002</v>
      </c>
      <c r="L854" s="30">
        <f t="shared" si="38"/>
        <v>1.175397362606621E-2</v>
      </c>
      <c r="M854" s="414">
        <v>2100.3400879999999</v>
      </c>
      <c r="N854" s="31">
        <f t="shared" si="39"/>
        <v>3.1440791995906704E-4</v>
      </c>
      <c r="Q854" s="34"/>
      <c r="R854" s="23"/>
      <c r="S854" s="34"/>
      <c r="T854" s="23"/>
      <c r="U854" s="2"/>
      <c r="W854" s="34"/>
      <c r="X854" s="23"/>
      <c r="Y854" s="34"/>
      <c r="Z854" s="23"/>
      <c r="AA854" s="2"/>
      <c r="AC854" s="244"/>
    </row>
    <row r="855" spans="10:29">
      <c r="J855" s="412">
        <v>42053</v>
      </c>
      <c r="K855" s="413">
        <v>21.58419</v>
      </c>
      <c r="L855" s="30">
        <f t="shared" si="38"/>
        <v>-2.7051108510495053E-3</v>
      </c>
      <c r="M855" s="414">
        <v>2099.679932</v>
      </c>
      <c r="N855" s="31">
        <f t="shared" si="39"/>
        <v>1.0631867515774407E-3</v>
      </c>
      <c r="Q855" s="34"/>
      <c r="R855" s="23"/>
      <c r="S855" s="34"/>
      <c r="T855" s="23"/>
      <c r="U855" s="2"/>
      <c r="W855" s="34"/>
      <c r="X855" s="23"/>
      <c r="Y855" s="34"/>
      <c r="Z855" s="23"/>
      <c r="AA855" s="2"/>
      <c r="AC855" s="244"/>
    </row>
    <row r="856" spans="10:29">
      <c r="J856" s="412">
        <v>42054</v>
      </c>
      <c r="K856" s="413">
        <v>21.642735999999999</v>
      </c>
      <c r="L856" s="30">
        <f t="shared" si="38"/>
        <v>-7.162025904107E-3</v>
      </c>
      <c r="M856" s="414">
        <v>2097.4499510000001</v>
      </c>
      <c r="N856" s="31">
        <f t="shared" si="39"/>
        <v>-6.0892279304495664E-3</v>
      </c>
      <c r="Q856" s="34"/>
      <c r="R856" s="23"/>
      <c r="S856" s="34"/>
      <c r="T856" s="23"/>
      <c r="U856" s="2"/>
      <c r="W856" s="34"/>
      <c r="X856" s="23"/>
      <c r="Y856" s="34"/>
      <c r="Z856" s="23"/>
      <c r="AA856" s="2"/>
      <c r="AC856" s="244"/>
    </row>
    <row r="857" spans="10:29">
      <c r="J857" s="412">
        <v>42055</v>
      </c>
      <c r="K857" s="413">
        <v>21.798860000000001</v>
      </c>
      <c r="L857" s="30">
        <f t="shared" si="38"/>
        <v>8.1227495257413726E-3</v>
      </c>
      <c r="M857" s="414">
        <v>2110.3000489999999</v>
      </c>
      <c r="N857" s="31">
        <f t="shared" si="39"/>
        <v>3.0343137126448265E-4</v>
      </c>
      <c r="Q857" s="34"/>
      <c r="R857" s="23"/>
      <c r="S857" s="34"/>
      <c r="T857" s="23"/>
      <c r="U857" s="2"/>
      <c r="W857" s="34"/>
      <c r="X857" s="23"/>
      <c r="Y857" s="34"/>
      <c r="Z857" s="23"/>
      <c r="AA857" s="2"/>
      <c r="AC857" s="244"/>
    </row>
    <row r="858" spans="10:29">
      <c r="J858" s="412">
        <v>42058</v>
      </c>
      <c r="K858" s="413">
        <v>21.62322</v>
      </c>
      <c r="L858" s="30">
        <f t="shared" si="38"/>
        <v>-1.0533367561401188E-2</v>
      </c>
      <c r="M858" s="414">
        <v>2109.6599120000001</v>
      </c>
      <c r="N858" s="31">
        <f t="shared" si="39"/>
        <v>-2.7511808454930365E-3</v>
      </c>
      <c r="Q858" s="34"/>
      <c r="R858" s="23"/>
      <c r="S858" s="34"/>
      <c r="T858" s="23"/>
      <c r="U858" s="2"/>
      <c r="W858" s="34"/>
      <c r="X858" s="23"/>
      <c r="Y858" s="34"/>
      <c r="Z858" s="23"/>
      <c r="AA858" s="2"/>
      <c r="AC858" s="244"/>
    </row>
    <row r="859" spans="10:29">
      <c r="J859" s="412">
        <v>42059</v>
      </c>
      <c r="K859" s="413">
        <v>21.85341</v>
      </c>
      <c r="L859" s="30">
        <f t="shared" si="38"/>
        <v>7.6784180524924282E-3</v>
      </c>
      <c r="M859" s="414">
        <v>2115.4799800000001</v>
      </c>
      <c r="N859" s="31">
        <f t="shared" si="39"/>
        <v>7.6631040750328033E-4</v>
      </c>
      <c r="Q859" s="34"/>
      <c r="R859" s="23"/>
      <c r="S859" s="34"/>
      <c r="T859" s="23"/>
      <c r="U859" s="2"/>
      <c r="W859" s="34"/>
      <c r="X859" s="23"/>
      <c r="Y859" s="34"/>
      <c r="Z859" s="23"/>
      <c r="AA859" s="2"/>
      <c r="AC859" s="244"/>
    </row>
    <row r="860" spans="10:29">
      <c r="J860" s="412">
        <v>42060</v>
      </c>
      <c r="K860" s="413">
        <v>21.686889000000001</v>
      </c>
      <c r="L860" s="30">
        <f t="shared" si="38"/>
        <v>-2.7027918164647204E-3</v>
      </c>
      <c r="M860" s="414">
        <v>2113.860107</v>
      </c>
      <c r="N860" s="31">
        <f t="shared" si="39"/>
        <v>1.4782100186579289E-3</v>
      </c>
      <c r="Q860" s="34"/>
      <c r="R860" s="23"/>
      <c r="S860" s="34"/>
      <c r="T860" s="23"/>
      <c r="U860" s="2"/>
      <c r="W860" s="34"/>
      <c r="X860" s="23"/>
      <c r="Y860" s="34"/>
      <c r="Z860" s="23"/>
      <c r="AA860" s="2"/>
      <c r="AC860" s="244"/>
    </row>
    <row r="861" spans="10:29">
      <c r="J861" s="412">
        <v>42061</v>
      </c>
      <c r="K861" s="413">
        <v>21.745663</v>
      </c>
      <c r="L861" s="30">
        <f t="shared" si="38"/>
        <v>6.3463835364623283E-3</v>
      </c>
      <c r="M861" s="414">
        <v>2110.73999</v>
      </c>
      <c r="N861" s="31">
        <f t="shared" si="39"/>
        <v>2.9650700879068825E-3</v>
      </c>
      <c r="Q861" s="34"/>
      <c r="R861" s="23"/>
      <c r="S861" s="34"/>
      <c r="T861" s="23"/>
      <c r="U861" s="2"/>
      <c r="W861" s="34"/>
      <c r="X861" s="23"/>
      <c r="Y861" s="34"/>
      <c r="Z861" s="23"/>
      <c r="AA861" s="2"/>
      <c r="AC861" s="244"/>
    </row>
    <row r="862" spans="10:29">
      <c r="J862" s="412">
        <v>42062</v>
      </c>
      <c r="K862" s="413">
        <v>21.608526999999999</v>
      </c>
      <c r="L862" s="30">
        <f t="shared" si="38"/>
        <v>-2.389382601702203E-2</v>
      </c>
      <c r="M862" s="414">
        <v>2104.5</v>
      </c>
      <c r="N862" s="31">
        <f t="shared" si="39"/>
        <v>-6.0876331952907968E-3</v>
      </c>
      <c r="Q862" s="34"/>
      <c r="R862" s="23"/>
      <c r="S862" s="34"/>
      <c r="T862" s="23"/>
      <c r="U862" s="2"/>
      <c r="W862" s="34"/>
      <c r="X862" s="23"/>
      <c r="Y862" s="34"/>
      <c r="Z862" s="23"/>
      <c r="AA862" s="2"/>
      <c r="AC862" s="244"/>
    </row>
    <row r="863" spans="10:29">
      <c r="J863" s="412">
        <v>42065</v>
      </c>
      <c r="K863" s="413">
        <v>22.137475999999999</v>
      </c>
      <c r="L863" s="30">
        <f t="shared" si="38"/>
        <v>1.8935958603101426E-2</v>
      </c>
      <c r="M863" s="414">
        <v>2117.389893</v>
      </c>
      <c r="N863" s="31">
        <f t="shared" si="39"/>
        <v>4.5592347720265908E-3</v>
      </c>
      <c r="Q863" s="34"/>
      <c r="R863" s="23"/>
      <c r="S863" s="34"/>
      <c r="T863" s="23"/>
      <c r="U863" s="2"/>
      <c r="W863" s="34"/>
      <c r="X863" s="23"/>
      <c r="Y863" s="34"/>
      <c r="Z863" s="23"/>
      <c r="AA863" s="2"/>
      <c r="AC863" s="244"/>
    </row>
    <row r="864" spans="10:29">
      <c r="J864" s="412">
        <v>42066</v>
      </c>
      <c r="K864" s="413">
        <v>21.726071999999998</v>
      </c>
      <c r="L864" s="30">
        <f t="shared" si="38"/>
        <v>-1.1145760391389519E-2</v>
      </c>
      <c r="M864" s="414">
        <v>2107.780029</v>
      </c>
      <c r="N864" s="31">
        <f t="shared" si="39"/>
        <v>4.4078473370275512E-3</v>
      </c>
      <c r="Q864" s="34"/>
      <c r="R864" s="23"/>
      <c r="S864" s="34"/>
      <c r="T864" s="23"/>
      <c r="U864" s="2"/>
      <c r="W864" s="34"/>
      <c r="X864" s="23"/>
      <c r="Y864" s="34"/>
      <c r="Z864" s="23"/>
      <c r="AA864" s="2"/>
      <c r="AC864" s="244"/>
    </row>
    <row r="865" spans="10:29">
      <c r="J865" s="412">
        <v>42067</v>
      </c>
      <c r="K865" s="413">
        <v>21.970955</v>
      </c>
      <c r="L865" s="30">
        <f t="shared" si="38"/>
        <v>-1.8810159182981671E-2</v>
      </c>
      <c r="M865" s="414">
        <v>2098.530029</v>
      </c>
      <c r="N865" s="31">
        <f t="shared" si="39"/>
        <v>-1.1946511981726045E-3</v>
      </c>
      <c r="Q865" s="34"/>
      <c r="R865" s="23"/>
      <c r="S865" s="34"/>
      <c r="T865" s="23"/>
      <c r="U865" s="2"/>
      <c r="W865" s="34"/>
      <c r="X865" s="23"/>
      <c r="Y865" s="34"/>
      <c r="Z865" s="23"/>
      <c r="AA865" s="2"/>
      <c r="AC865" s="244"/>
    </row>
    <row r="866" spans="10:29">
      <c r="J866" s="412">
        <v>42068</v>
      </c>
      <c r="K866" s="413">
        <v>22.392154999999999</v>
      </c>
      <c r="L866" s="30">
        <f t="shared" si="38"/>
        <v>1.374729055818995E-2</v>
      </c>
      <c r="M866" s="414">
        <v>2101.040039</v>
      </c>
      <c r="N866" s="31">
        <f t="shared" si="39"/>
        <v>1.4377735704944168E-2</v>
      </c>
      <c r="Q866" s="34"/>
      <c r="R866" s="23"/>
      <c r="S866" s="34"/>
      <c r="T866" s="23"/>
      <c r="U866" s="2"/>
      <c r="W866" s="34"/>
      <c r="X866" s="23"/>
      <c r="Y866" s="34"/>
      <c r="Z866" s="23"/>
      <c r="AA866" s="2"/>
      <c r="AC866" s="244"/>
    </row>
    <row r="867" spans="10:29">
      <c r="J867" s="412">
        <v>42069</v>
      </c>
      <c r="K867" s="413">
        <v>22.088498000000001</v>
      </c>
      <c r="L867" s="30">
        <f t="shared" si="38"/>
        <v>-2.6537805649381853E-3</v>
      </c>
      <c r="M867" s="414">
        <v>2071.26001</v>
      </c>
      <c r="N867" s="31">
        <f t="shared" si="39"/>
        <v>-3.9289239200967904E-3</v>
      </c>
      <c r="Q867" s="34"/>
      <c r="R867" s="23"/>
      <c r="S867" s="34"/>
      <c r="T867" s="23"/>
      <c r="U867" s="2"/>
      <c r="W867" s="34"/>
      <c r="X867" s="23"/>
      <c r="Y867" s="34"/>
      <c r="Z867" s="23"/>
      <c r="AA867" s="2"/>
      <c r="AC867" s="244"/>
    </row>
    <row r="868" spans="10:29">
      <c r="J868" s="412">
        <v>42072</v>
      </c>
      <c r="K868" s="413">
        <v>22.147272000000001</v>
      </c>
      <c r="L868" s="30">
        <f t="shared" si="38"/>
        <v>-1.6956504177450715E-2</v>
      </c>
      <c r="M868" s="414">
        <v>2079.429932</v>
      </c>
      <c r="N868" s="31">
        <f t="shared" si="39"/>
        <v>1.7253980810388946E-2</v>
      </c>
      <c r="Q868" s="34"/>
      <c r="R868" s="23"/>
      <c r="S868" s="34"/>
      <c r="T868" s="23"/>
      <c r="U868" s="2"/>
      <c r="W868" s="34"/>
      <c r="X868" s="23"/>
      <c r="Y868" s="34"/>
      <c r="Z868" s="23"/>
      <c r="AA868" s="2"/>
      <c r="AC868" s="244"/>
    </row>
    <row r="869" spans="10:29">
      <c r="J869" s="412">
        <v>42073</v>
      </c>
      <c r="K869" s="413">
        <v>22.52929</v>
      </c>
      <c r="L869" s="30">
        <f t="shared" si="38"/>
        <v>5.2447946378115489E-3</v>
      </c>
      <c r="M869" s="414">
        <v>2044.160034</v>
      </c>
      <c r="N869" s="31">
        <f t="shared" si="39"/>
        <v>1.9213641626541992E-3</v>
      </c>
      <c r="Q869" s="34"/>
      <c r="R869" s="23"/>
      <c r="S869" s="34"/>
      <c r="T869" s="23"/>
      <c r="U869" s="2"/>
      <c r="W869" s="34"/>
      <c r="X869" s="23"/>
      <c r="Y869" s="34"/>
      <c r="Z869" s="23"/>
      <c r="AA869" s="2"/>
      <c r="AC869" s="244"/>
    </row>
    <row r="870" spans="10:29">
      <c r="J870" s="412">
        <v>42074</v>
      </c>
      <c r="K870" s="413">
        <v>22.411745</v>
      </c>
      <c r="L870" s="30">
        <f t="shared" si="38"/>
        <v>9.2633343094939841E-3</v>
      </c>
      <c r="M870" s="414">
        <v>2040.23999</v>
      </c>
      <c r="N870" s="31">
        <f t="shared" si="39"/>
        <v>-1.2444619477618711E-2</v>
      </c>
      <c r="Q870" s="34"/>
      <c r="R870" s="23"/>
      <c r="S870" s="34"/>
      <c r="T870" s="23"/>
      <c r="U870" s="2"/>
      <c r="W870" s="34"/>
      <c r="X870" s="23"/>
      <c r="Y870" s="34"/>
      <c r="Z870" s="23"/>
      <c r="AA870" s="2"/>
      <c r="AC870" s="244"/>
    </row>
    <row r="871" spans="10:29">
      <c r="J871" s="412">
        <v>42075</v>
      </c>
      <c r="K871" s="413">
        <v>22.206043000000001</v>
      </c>
      <c r="L871" s="30">
        <f t="shared" si="38"/>
        <v>-1.3216294895129002E-3</v>
      </c>
      <c r="M871" s="414">
        <v>2065.9499510000001</v>
      </c>
      <c r="N871" s="31">
        <f t="shared" si="39"/>
        <v>6.1118387060290916E-3</v>
      </c>
      <c r="Q871" s="34"/>
      <c r="R871" s="23"/>
      <c r="S871" s="34"/>
      <c r="T871" s="23"/>
      <c r="U871" s="2"/>
      <c r="W871" s="34"/>
      <c r="X871" s="23"/>
      <c r="Y871" s="34"/>
      <c r="Z871" s="23"/>
      <c r="AA871" s="2"/>
      <c r="AC871" s="244"/>
    </row>
    <row r="872" spans="10:29">
      <c r="J872" s="412">
        <v>42076</v>
      </c>
      <c r="K872" s="413">
        <v>22.235430000000001</v>
      </c>
      <c r="L872" s="30">
        <f t="shared" si="38"/>
        <v>-1.1754406230106807E-2</v>
      </c>
      <c r="M872" s="414">
        <v>2053.3999020000001</v>
      </c>
      <c r="N872" s="31">
        <f t="shared" si="39"/>
        <v>-1.33529566199263E-2</v>
      </c>
      <c r="Q872" s="34"/>
      <c r="R872" s="23"/>
      <c r="S872" s="34"/>
      <c r="T872" s="23"/>
      <c r="U872" s="2"/>
      <c r="W872" s="34"/>
      <c r="X872" s="23"/>
      <c r="Y872" s="34"/>
      <c r="Z872" s="23"/>
      <c r="AA872" s="2"/>
      <c r="AC872" s="244"/>
    </row>
    <row r="873" spans="10:29">
      <c r="J873" s="412">
        <v>42079</v>
      </c>
      <c r="K873" s="413">
        <v>22.499903</v>
      </c>
      <c r="L873" s="30">
        <f t="shared" si="38"/>
        <v>-1.2043027863185255E-2</v>
      </c>
      <c r="M873" s="414">
        <v>2081.1899410000001</v>
      </c>
      <c r="N873" s="31">
        <f t="shared" si="39"/>
        <v>3.3312339237683885E-3</v>
      </c>
      <c r="Q873" s="34"/>
      <c r="R873" s="23"/>
      <c r="S873" s="34"/>
      <c r="T873" s="23"/>
      <c r="U873" s="2"/>
      <c r="W873" s="34"/>
      <c r="X873" s="23"/>
      <c r="Y873" s="34"/>
      <c r="Z873" s="23"/>
      <c r="AA873" s="2"/>
      <c r="AC873" s="244"/>
    </row>
    <row r="874" spans="10:29">
      <c r="J874" s="412">
        <v>42080</v>
      </c>
      <c r="K874" s="413">
        <v>22.774173000000001</v>
      </c>
      <c r="L874" s="30">
        <f t="shared" si="38"/>
        <v>1.6615606381783474E-2</v>
      </c>
      <c r="M874" s="414">
        <v>2074.280029</v>
      </c>
      <c r="N874" s="31">
        <f t="shared" si="39"/>
        <v>-1.2012370088116212E-2</v>
      </c>
      <c r="Q874" s="34"/>
      <c r="R874" s="23"/>
      <c r="S874" s="34"/>
      <c r="T874" s="23"/>
      <c r="U874" s="2"/>
      <c r="W874" s="34"/>
      <c r="X874" s="23"/>
      <c r="Y874" s="34"/>
      <c r="Z874" s="23"/>
      <c r="AA874" s="2"/>
      <c r="AC874" s="244"/>
    </row>
    <row r="875" spans="10:29">
      <c r="J875" s="412">
        <v>42081</v>
      </c>
      <c r="K875" s="413">
        <v>22.401951</v>
      </c>
      <c r="L875" s="30">
        <f t="shared" si="38"/>
        <v>-1.5073124891128933E-2</v>
      </c>
      <c r="M875" s="414">
        <v>2099.5</v>
      </c>
      <c r="N875" s="31">
        <f t="shared" si="39"/>
        <v>4.8964374647945553E-3</v>
      </c>
      <c r="Q875" s="34"/>
      <c r="R875" s="23"/>
      <c r="S875" s="34"/>
      <c r="T875" s="23"/>
      <c r="U875" s="2"/>
      <c r="W875" s="34"/>
      <c r="X875" s="23"/>
      <c r="Y875" s="34"/>
      <c r="Z875" s="23"/>
      <c r="AA875" s="2"/>
      <c r="AC875" s="244"/>
    </row>
    <row r="876" spans="10:29">
      <c r="J876" s="412">
        <v>42082</v>
      </c>
      <c r="K876" s="413">
        <v>22.744786000000001</v>
      </c>
      <c r="L876" s="30">
        <f t="shared" si="38"/>
        <v>-1.0651914533788392E-2</v>
      </c>
      <c r="M876" s="414">
        <v>2089.2700199999999</v>
      </c>
      <c r="N876" s="31">
        <f t="shared" si="39"/>
        <v>-8.9322504267536733E-3</v>
      </c>
      <c r="Q876" s="34"/>
      <c r="R876" s="23"/>
      <c r="S876" s="34"/>
      <c r="T876" s="23"/>
      <c r="U876" s="2"/>
      <c r="W876" s="34"/>
      <c r="X876" s="23"/>
      <c r="Y876" s="34"/>
      <c r="Z876" s="23"/>
      <c r="AA876" s="2"/>
      <c r="AC876" s="244"/>
    </row>
    <row r="877" spans="10:29">
      <c r="J877" s="412">
        <v>42083</v>
      </c>
      <c r="K877" s="413">
        <v>22.98967</v>
      </c>
      <c r="L877" s="30">
        <f t="shared" si="38"/>
        <v>3.346543060209238E-2</v>
      </c>
      <c r="M877" s="414">
        <v>2108.1000979999999</v>
      </c>
      <c r="N877" s="31">
        <f t="shared" si="39"/>
        <v>1.7487840528055249E-3</v>
      </c>
      <c r="Q877" s="34"/>
      <c r="R877" s="23"/>
      <c r="S877" s="34"/>
      <c r="T877" s="23"/>
      <c r="U877" s="2"/>
      <c r="W877" s="34"/>
      <c r="X877" s="23"/>
      <c r="Y877" s="34"/>
      <c r="Z877" s="23"/>
      <c r="AA877" s="2"/>
      <c r="AC877" s="244"/>
    </row>
    <row r="878" spans="10:29">
      <c r="J878" s="412">
        <v>42086</v>
      </c>
      <c r="K878" s="413">
        <v>22.245224</v>
      </c>
      <c r="L878" s="30">
        <f t="shared" si="38"/>
        <v>1.3839256436036963E-2</v>
      </c>
      <c r="M878" s="414">
        <v>2104.419922</v>
      </c>
      <c r="N878" s="31">
        <f t="shared" si="39"/>
        <v>6.1773473583552679E-3</v>
      </c>
      <c r="Q878" s="34"/>
      <c r="R878" s="23"/>
      <c r="S878" s="34"/>
      <c r="T878" s="23"/>
      <c r="U878" s="2"/>
      <c r="W878" s="34"/>
      <c r="X878" s="23"/>
      <c r="Y878" s="34"/>
      <c r="Z878" s="23"/>
      <c r="AA878" s="2"/>
      <c r="AC878" s="244"/>
    </row>
    <row r="879" spans="10:29">
      <c r="J879" s="412">
        <v>42087</v>
      </c>
      <c r="K879" s="413">
        <v>21.941569000000001</v>
      </c>
      <c r="L879" s="30">
        <f t="shared" si="38"/>
        <v>6.4638747662899343E-2</v>
      </c>
      <c r="M879" s="414">
        <v>2091.5</v>
      </c>
      <c r="N879" s="31">
        <f t="shared" si="39"/>
        <v>1.4773998823936398E-2</v>
      </c>
      <c r="Q879" s="34"/>
      <c r="R879" s="23"/>
      <c r="S879" s="34"/>
      <c r="T879" s="23"/>
      <c r="U879" s="2"/>
      <c r="W879" s="34"/>
      <c r="X879" s="23"/>
      <c r="Y879" s="34"/>
      <c r="Z879" s="23"/>
      <c r="AA879" s="2"/>
      <c r="AC879" s="244"/>
    </row>
    <row r="880" spans="10:29">
      <c r="J880" s="412">
        <v>42088</v>
      </c>
      <c r="K880" s="413">
        <v>20.609403</v>
      </c>
      <c r="L880" s="30">
        <f t="shared" si="38"/>
        <v>3.3381799395292371E-3</v>
      </c>
      <c r="M880" s="414">
        <v>2061.0500489999999</v>
      </c>
      <c r="N880" s="31">
        <f t="shared" si="39"/>
        <v>2.3831662250079631E-3</v>
      </c>
      <c r="Q880" s="34"/>
      <c r="R880" s="23"/>
      <c r="S880" s="34"/>
      <c r="T880" s="23"/>
      <c r="U880" s="2"/>
      <c r="W880" s="34"/>
      <c r="X880" s="23"/>
      <c r="Y880" s="34"/>
      <c r="Z880" s="23"/>
      <c r="AA880" s="2"/>
      <c r="AC880" s="244"/>
    </row>
    <row r="881" spans="10:29">
      <c r="J881" s="412">
        <v>42089</v>
      </c>
      <c r="K881" s="413">
        <v>20.540834</v>
      </c>
      <c r="L881" s="30">
        <f t="shared" si="38"/>
        <v>-1.9176798045958655E-2</v>
      </c>
      <c r="M881" s="414">
        <v>2056.1499020000001</v>
      </c>
      <c r="N881" s="31">
        <f t="shared" si="39"/>
        <v>-2.3629649167599162E-3</v>
      </c>
      <c r="Q881" s="34"/>
      <c r="R881" s="23"/>
      <c r="S881" s="34"/>
      <c r="T881" s="23"/>
      <c r="U881" s="2"/>
      <c r="W881" s="34"/>
      <c r="X881" s="23"/>
      <c r="Y881" s="34"/>
      <c r="Z881" s="23"/>
      <c r="AA881" s="2"/>
      <c r="AC881" s="244"/>
    </row>
    <row r="882" spans="10:29">
      <c r="J882" s="412">
        <v>42090</v>
      </c>
      <c r="K882" s="413">
        <v>20.942443000000001</v>
      </c>
      <c r="L882" s="30">
        <f t="shared" si="38"/>
        <v>-4.1918916154607255E-3</v>
      </c>
      <c r="M882" s="414">
        <v>2061.0200199999999</v>
      </c>
      <c r="N882" s="31">
        <f t="shared" si="39"/>
        <v>-1.2088719476612133E-2</v>
      </c>
      <c r="Q882" s="34"/>
      <c r="R882" s="23"/>
      <c r="S882" s="34"/>
      <c r="T882" s="23"/>
      <c r="U882" s="2"/>
      <c r="W882" s="34"/>
      <c r="X882" s="23"/>
      <c r="Y882" s="34"/>
      <c r="Z882" s="23"/>
      <c r="AA882" s="2"/>
      <c r="AC882" s="244"/>
    </row>
    <row r="883" spans="10:29">
      <c r="J883" s="412">
        <v>42093</v>
      </c>
      <c r="K883" s="413">
        <v>21.030601000000001</v>
      </c>
      <c r="L883" s="30">
        <f t="shared" si="38"/>
        <v>2.5800211046386908E-2</v>
      </c>
      <c r="M883" s="414">
        <v>2086.23999</v>
      </c>
      <c r="N883" s="31">
        <f t="shared" si="39"/>
        <v>8.8738269199519736E-3</v>
      </c>
      <c r="Q883" s="34"/>
      <c r="R883" s="23"/>
      <c r="S883" s="34"/>
      <c r="T883" s="23"/>
      <c r="U883" s="2"/>
      <c r="W883" s="34"/>
      <c r="X883" s="23"/>
      <c r="Y883" s="34"/>
      <c r="Z883" s="23"/>
      <c r="AA883" s="2"/>
      <c r="AC883" s="244"/>
    </row>
    <row r="884" spans="10:29">
      <c r="J884" s="412">
        <v>42094</v>
      </c>
      <c r="K884" s="413">
        <v>20.501653999999998</v>
      </c>
      <c r="L884" s="30">
        <f t="shared" si="38"/>
        <v>-3.8076743963659718E-3</v>
      </c>
      <c r="M884" s="414">
        <v>2067.889893</v>
      </c>
      <c r="N884" s="31">
        <f t="shared" si="39"/>
        <v>3.981158443692151E-3</v>
      </c>
      <c r="Q884" s="34"/>
      <c r="R884" s="23"/>
      <c r="S884" s="34"/>
      <c r="T884" s="23"/>
      <c r="U884" s="2"/>
      <c r="W884" s="34"/>
      <c r="X884" s="23"/>
      <c r="Y884" s="34"/>
      <c r="Z884" s="23"/>
      <c r="AA884" s="2"/>
      <c r="AC884" s="244"/>
    </row>
    <row r="885" spans="10:29">
      <c r="J885" s="412">
        <v>42095</v>
      </c>
      <c r="K885" s="413">
        <v>20.580016000000001</v>
      </c>
      <c r="L885" s="30">
        <f t="shared" si="38"/>
        <v>-2.3741344220793575E-3</v>
      </c>
      <c r="M885" s="414">
        <v>2059.6899410000001</v>
      </c>
      <c r="N885" s="31">
        <f t="shared" si="39"/>
        <v>-3.5172524563478621E-3</v>
      </c>
      <c r="Q885" s="34"/>
      <c r="R885" s="23"/>
      <c r="S885" s="34"/>
      <c r="T885" s="23"/>
      <c r="U885" s="2"/>
      <c r="W885" s="34"/>
      <c r="X885" s="23"/>
      <c r="Y885" s="34"/>
      <c r="Z885" s="23"/>
      <c r="AA885" s="2"/>
      <c r="AC885" s="244"/>
    </row>
    <row r="886" spans="10:29">
      <c r="J886" s="412">
        <v>42096</v>
      </c>
      <c r="K886" s="413">
        <v>20.628992</v>
      </c>
      <c r="L886" s="30">
        <f t="shared" si="38"/>
        <v>-2.814956524410113E-2</v>
      </c>
      <c r="M886" s="414">
        <v>2066.959961</v>
      </c>
      <c r="N886" s="31">
        <f t="shared" si="39"/>
        <v>-6.5654253212240358E-3</v>
      </c>
      <c r="Q886" s="34"/>
      <c r="R886" s="23"/>
      <c r="S886" s="34"/>
      <c r="T886" s="23"/>
      <c r="U886" s="2"/>
      <c r="W886" s="34"/>
      <c r="X886" s="23"/>
      <c r="Y886" s="34"/>
      <c r="Z886" s="23"/>
      <c r="AA886" s="2"/>
      <c r="AC886" s="244"/>
    </row>
    <row r="887" spans="10:29">
      <c r="J887" s="412">
        <v>42100</v>
      </c>
      <c r="K887" s="413">
        <v>21.226509</v>
      </c>
      <c r="L887" s="30">
        <f t="shared" si="38"/>
        <v>-8.6916963598244867E-3</v>
      </c>
      <c r="M887" s="414">
        <v>2080.6201169999999</v>
      </c>
      <c r="N887" s="31">
        <f t="shared" si="39"/>
        <v>2.06616426042063E-3</v>
      </c>
      <c r="Q887" s="34"/>
      <c r="R887" s="23"/>
      <c r="S887" s="34"/>
      <c r="T887" s="23"/>
      <c r="U887" s="2"/>
      <c r="W887" s="34"/>
      <c r="X887" s="23"/>
      <c r="Y887" s="34"/>
      <c r="Z887" s="23"/>
      <c r="AA887" s="2"/>
      <c r="AC887" s="244"/>
    </row>
    <row r="888" spans="10:29">
      <c r="J888" s="412">
        <v>42101</v>
      </c>
      <c r="K888" s="413">
        <v>21.412621000000001</v>
      </c>
      <c r="L888" s="30">
        <f t="shared" si="38"/>
        <v>-7.2660988423106573E-3</v>
      </c>
      <c r="M888" s="414">
        <v>2076.330078</v>
      </c>
      <c r="N888" s="31">
        <f t="shared" si="39"/>
        <v>-2.6753562909770257E-3</v>
      </c>
      <c r="Q888" s="34"/>
      <c r="R888" s="23"/>
      <c r="S888" s="34"/>
      <c r="T888" s="23"/>
      <c r="U888" s="2"/>
      <c r="W888" s="34"/>
      <c r="X888" s="23"/>
      <c r="Y888" s="34"/>
      <c r="Z888" s="23"/>
      <c r="AA888" s="2"/>
      <c r="AC888" s="244"/>
    </row>
    <row r="889" spans="10:29">
      <c r="J889" s="412">
        <v>42102</v>
      </c>
      <c r="K889" s="413">
        <v>21.569345999999999</v>
      </c>
      <c r="L889" s="30">
        <f t="shared" si="38"/>
        <v>-2.2636506408178218E-2</v>
      </c>
      <c r="M889" s="414">
        <v>2081.8999020000001</v>
      </c>
      <c r="N889" s="31">
        <f t="shared" si="39"/>
        <v>-4.437700390097229E-3</v>
      </c>
      <c r="Q889" s="34"/>
      <c r="R889" s="23"/>
      <c r="S889" s="34"/>
      <c r="T889" s="23"/>
      <c r="U889" s="2"/>
      <c r="W889" s="34"/>
      <c r="X889" s="23"/>
      <c r="Y889" s="34"/>
      <c r="Z889" s="23"/>
      <c r="AA889" s="2"/>
      <c r="AC889" s="244"/>
    </row>
    <row r="890" spans="10:29">
      <c r="J890" s="412">
        <v>42103</v>
      </c>
      <c r="K890" s="413">
        <v>22.068909000000001</v>
      </c>
      <c r="L890" s="30">
        <f t="shared" si="38"/>
        <v>-1.0105452529765233E-2</v>
      </c>
      <c r="M890" s="414">
        <v>2091.179932</v>
      </c>
      <c r="N890" s="31">
        <f t="shared" si="39"/>
        <v>-5.1759353656031307E-3</v>
      </c>
      <c r="Q890" s="34"/>
      <c r="R890" s="23"/>
      <c r="S890" s="34"/>
      <c r="T890" s="23"/>
      <c r="U890" s="2"/>
      <c r="W890" s="34"/>
      <c r="X890" s="23"/>
      <c r="Y890" s="34"/>
      <c r="Z890" s="23"/>
      <c r="AA890" s="2"/>
      <c r="AC890" s="244"/>
    </row>
    <row r="891" spans="10:29">
      <c r="J891" s="412">
        <v>42104</v>
      </c>
      <c r="K891" s="413">
        <v>22.294201999999999</v>
      </c>
      <c r="L891" s="30">
        <f t="shared" si="38"/>
        <v>9.3127201315362056E-3</v>
      </c>
      <c r="M891" s="414">
        <v>2102.0600589999999</v>
      </c>
      <c r="N891" s="31">
        <f t="shared" si="39"/>
        <v>4.6023653421910149E-3</v>
      </c>
      <c r="Q891" s="34"/>
      <c r="R891" s="23"/>
      <c r="S891" s="34"/>
      <c r="T891" s="23"/>
      <c r="U891" s="2"/>
      <c r="W891" s="34"/>
      <c r="X891" s="23"/>
      <c r="Y891" s="34"/>
      <c r="Z891" s="23"/>
      <c r="AA891" s="2"/>
      <c r="AC891" s="244"/>
    </row>
    <row r="892" spans="10:29">
      <c r="J892" s="412">
        <v>42107</v>
      </c>
      <c r="K892" s="413">
        <v>22.088498000000001</v>
      </c>
      <c r="L892" s="30">
        <f t="shared" si="38"/>
        <v>8.4972469668605499E-3</v>
      </c>
      <c r="M892" s="414">
        <v>2092.429932</v>
      </c>
      <c r="N892" s="31">
        <f t="shared" si="39"/>
        <v>-1.6271069627521676E-3</v>
      </c>
      <c r="Q892" s="34"/>
      <c r="R892" s="23"/>
      <c r="S892" s="34"/>
      <c r="T892" s="23"/>
      <c r="U892" s="2"/>
      <c r="W892" s="34"/>
      <c r="X892" s="23"/>
      <c r="Y892" s="34"/>
      <c r="Z892" s="23"/>
      <c r="AA892" s="2"/>
      <c r="AC892" s="244"/>
    </row>
    <row r="893" spans="10:29">
      <c r="J893" s="412">
        <v>42108</v>
      </c>
      <c r="K893" s="413">
        <v>21.902387999999998</v>
      </c>
      <c r="L893" s="30">
        <f t="shared" si="38"/>
        <v>-1.1931008183793022E-2</v>
      </c>
      <c r="M893" s="414">
        <v>2095.8400879999999</v>
      </c>
      <c r="N893" s="31">
        <f t="shared" si="39"/>
        <v>-5.1218275631002902E-3</v>
      </c>
      <c r="Q893" s="34"/>
      <c r="R893" s="23"/>
      <c r="S893" s="34"/>
      <c r="T893" s="23"/>
      <c r="U893" s="2"/>
      <c r="W893" s="34"/>
      <c r="X893" s="23"/>
      <c r="Y893" s="34"/>
      <c r="Z893" s="23"/>
      <c r="AA893" s="2"/>
      <c r="AC893" s="244"/>
    </row>
    <row r="894" spans="10:29">
      <c r="J894" s="412">
        <v>42109</v>
      </c>
      <c r="K894" s="413">
        <v>22.166861000000001</v>
      </c>
      <c r="L894" s="30">
        <f t="shared" si="38"/>
        <v>6.22495231102953E-3</v>
      </c>
      <c r="M894" s="414">
        <v>2106.6298830000001</v>
      </c>
      <c r="N894" s="31">
        <f t="shared" si="39"/>
        <v>7.7905026047179874E-4</v>
      </c>
      <c r="Q894" s="34"/>
      <c r="R894" s="23"/>
      <c r="S894" s="34"/>
      <c r="T894" s="23"/>
      <c r="U894" s="2"/>
      <c r="W894" s="34"/>
      <c r="X894" s="23"/>
      <c r="Y894" s="34"/>
      <c r="Z894" s="23"/>
      <c r="AA894" s="2"/>
      <c r="AC894" s="244"/>
    </row>
    <row r="895" spans="10:29">
      <c r="J895" s="412">
        <v>42110</v>
      </c>
      <c r="K895" s="413">
        <v>22.029727000000001</v>
      </c>
      <c r="L895" s="30">
        <f t="shared" si="38"/>
        <v>1.3063018589040066E-2</v>
      </c>
      <c r="M895" s="414">
        <v>2104.98999</v>
      </c>
      <c r="N895" s="31">
        <f t="shared" si="39"/>
        <v>1.1440653272645542E-2</v>
      </c>
      <c r="Q895" s="34"/>
      <c r="R895" s="23"/>
      <c r="S895" s="34"/>
      <c r="T895" s="23"/>
      <c r="U895" s="2"/>
      <c r="W895" s="34"/>
      <c r="X895" s="23"/>
      <c r="Y895" s="34"/>
      <c r="Z895" s="23"/>
      <c r="AA895" s="2"/>
      <c r="AC895" s="244"/>
    </row>
    <row r="896" spans="10:29">
      <c r="J896" s="412">
        <v>42111</v>
      </c>
      <c r="K896" s="413">
        <v>21.745663</v>
      </c>
      <c r="L896" s="30">
        <f t="shared" si="38"/>
        <v>4.9796854252995354E-3</v>
      </c>
      <c r="M896" s="414">
        <v>2081.179932</v>
      </c>
      <c r="N896" s="31">
        <f t="shared" si="39"/>
        <v>-9.1506241176734261E-3</v>
      </c>
      <c r="Q896" s="34"/>
      <c r="R896" s="23"/>
      <c r="S896" s="34"/>
      <c r="T896" s="23"/>
      <c r="U896" s="2"/>
      <c r="W896" s="34"/>
      <c r="X896" s="23"/>
      <c r="Y896" s="34"/>
      <c r="Z896" s="23"/>
      <c r="AA896" s="2"/>
      <c r="AC896" s="244"/>
    </row>
    <row r="897" spans="10:29">
      <c r="J897" s="412">
        <v>42114</v>
      </c>
      <c r="K897" s="413">
        <v>21.637913000000001</v>
      </c>
      <c r="L897" s="30">
        <f t="shared" si="38"/>
        <v>1.3599261069485373E-3</v>
      </c>
      <c r="M897" s="414">
        <v>2100.3999020000001</v>
      </c>
      <c r="N897" s="31">
        <f t="shared" si="39"/>
        <v>1.4828006342331806E-3</v>
      </c>
      <c r="Q897" s="34"/>
      <c r="R897" s="23"/>
      <c r="S897" s="34"/>
      <c r="T897" s="23"/>
      <c r="U897" s="2"/>
      <c r="W897" s="34"/>
      <c r="X897" s="23"/>
      <c r="Y897" s="34"/>
      <c r="Z897" s="23"/>
      <c r="AA897" s="2"/>
      <c r="AC897" s="244"/>
    </row>
    <row r="898" spans="10:29">
      <c r="J898" s="412">
        <v>42115</v>
      </c>
      <c r="K898" s="413">
        <v>21.608526999999999</v>
      </c>
      <c r="L898" s="30">
        <f t="shared" si="38"/>
        <v>-1.1205711145308743E-2</v>
      </c>
      <c r="M898" s="414">
        <v>2097.290039</v>
      </c>
      <c r="N898" s="31">
        <f t="shared" si="39"/>
        <v>-5.0617289689593127E-3</v>
      </c>
      <c r="Q898" s="34"/>
      <c r="R898" s="23"/>
      <c r="S898" s="34"/>
      <c r="T898" s="23"/>
      <c r="U898" s="2"/>
      <c r="W898" s="34"/>
      <c r="X898" s="23"/>
      <c r="Y898" s="34"/>
      <c r="Z898" s="23"/>
      <c r="AA898" s="2"/>
      <c r="AC898" s="244"/>
    </row>
    <row r="899" spans="10:29">
      <c r="J899" s="412">
        <v>42116</v>
      </c>
      <c r="K899" s="413">
        <v>21.85341</v>
      </c>
      <c r="L899" s="30">
        <f t="shared" si="38"/>
        <v>4.0504010704769215E-3</v>
      </c>
      <c r="M899" s="414">
        <v>2107.959961</v>
      </c>
      <c r="N899" s="31">
        <f t="shared" si="39"/>
        <v>-2.352170284840277E-3</v>
      </c>
      <c r="Q899" s="34"/>
      <c r="R899" s="23"/>
      <c r="S899" s="34"/>
      <c r="T899" s="23"/>
      <c r="U899" s="2"/>
      <c r="W899" s="34"/>
      <c r="X899" s="23"/>
      <c r="Y899" s="34"/>
      <c r="Z899" s="23"/>
      <c r="AA899" s="2"/>
      <c r="AC899" s="244"/>
    </row>
    <row r="900" spans="10:29">
      <c r="J900" s="412">
        <v>42117</v>
      </c>
      <c r="K900" s="413">
        <v>21.765252</v>
      </c>
      <c r="L900" s="30">
        <f t="shared" si="38"/>
        <v>8.6245319670262763E-3</v>
      </c>
      <c r="M900" s="414">
        <v>2112.929932</v>
      </c>
      <c r="N900" s="31">
        <f t="shared" si="39"/>
        <v>-2.247736511300774E-3</v>
      </c>
      <c r="Q900" s="34"/>
      <c r="R900" s="23"/>
      <c r="S900" s="34"/>
      <c r="T900" s="23"/>
      <c r="U900" s="2"/>
      <c r="W900" s="34"/>
      <c r="X900" s="23"/>
      <c r="Y900" s="34"/>
      <c r="Z900" s="23"/>
      <c r="AA900" s="2"/>
      <c r="AC900" s="244"/>
    </row>
    <row r="901" spans="10:29">
      <c r="J901" s="412">
        <v>42118</v>
      </c>
      <c r="K901" s="413">
        <v>21.579142000000001</v>
      </c>
      <c r="L901" s="30">
        <f t="shared" si="38"/>
        <v>-7.6576648870167567E-3</v>
      </c>
      <c r="M901" s="414">
        <v>2117.6899410000001</v>
      </c>
      <c r="N901" s="31">
        <f t="shared" si="39"/>
        <v>4.1585358023850313E-3</v>
      </c>
      <c r="Q901" s="34"/>
      <c r="R901" s="23"/>
      <c r="S901" s="34"/>
      <c r="T901" s="23"/>
      <c r="U901" s="2"/>
      <c r="W901" s="34"/>
      <c r="X901" s="23"/>
      <c r="Y901" s="34"/>
      <c r="Z901" s="23"/>
      <c r="AA901" s="2"/>
      <c r="AC901" s="244"/>
    </row>
    <row r="902" spans="10:29">
      <c r="J902" s="412">
        <v>42121</v>
      </c>
      <c r="K902" s="413">
        <v>21.745663</v>
      </c>
      <c r="L902" s="30">
        <f t="shared" si="38"/>
        <v>-4.9304433495733534E-3</v>
      </c>
      <c r="M902" s="414">
        <v>2108.919922</v>
      </c>
      <c r="N902" s="31">
        <f t="shared" si="39"/>
        <v>-2.761584280194481E-3</v>
      </c>
      <c r="Q902" s="34"/>
      <c r="R902" s="23"/>
      <c r="S902" s="34"/>
      <c r="T902" s="23"/>
      <c r="U902" s="2"/>
      <c r="W902" s="34"/>
      <c r="X902" s="23"/>
      <c r="Y902" s="34"/>
      <c r="Z902" s="23"/>
      <c r="AA902" s="2"/>
      <c r="AC902" s="244"/>
    </row>
    <row r="903" spans="10:29">
      <c r="J903" s="412">
        <v>42122</v>
      </c>
      <c r="K903" s="413">
        <v>21.85341</v>
      </c>
      <c r="L903" s="30">
        <f t="shared" si="38"/>
        <v>7.6784180524924282E-3</v>
      </c>
      <c r="M903" s="414">
        <v>2114.76001</v>
      </c>
      <c r="N903" s="31">
        <f t="shared" si="39"/>
        <v>3.754378162693603E-3</v>
      </c>
      <c r="Q903" s="34"/>
      <c r="R903" s="23"/>
      <c r="S903" s="34"/>
      <c r="T903" s="23"/>
      <c r="U903" s="2"/>
      <c r="W903" s="34"/>
      <c r="X903" s="23"/>
      <c r="Y903" s="34"/>
      <c r="Z903" s="23"/>
      <c r="AA903" s="2"/>
      <c r="AC903" s="244"/>
    </row>
    <row r="904" spans="10:29">
      <c r="J904" s="412">
        <v>42123</v>
      </c>
      <c r="K904" s="413">
        <v>21.686889000000001</v>
      </c>
      <c r="L904" s="30">
        <f t="shared" ref="L904:L967" si="40">(K904-K905)/K905</f>
        <v>-2.7027918164647204E-3</v>
      </c>
      <c r="M904" s="414">
        <v>2106.8500979999999</v>
      </c>
      <c r="N904" s="31">
        <f t="shared" si="39"/>
        <v>1.0232551221367632E-2</v>
      </c>
      <c r="Q904" s="34"/>
      <c r="R904" s="23"/>
      <c r="S904" s="34"/>
      <c r="T904" s="23"/>
      <c r="U904" s="2"/>
      <c r="W904" s="34"/>
      <c r="X904" s="23"/>
      <c r="Y904" s="34"/>
      <c r="Z904" s="23"/>
      <c r="AA904" s="2"/>
      <c r="AC904" s="244"/>
    </row>
    <row r="905" spans="10:29">
      <c r="J905" s="412">
        <v>42124</v>
      </c>
      <c r="K905" s="413">
        <v>21.745663</v>
      </c>
      <c r="L905" s="30">
        <f t="shared" si="40"/>
        <v>-2.4175784627151389E-2</v>
      </c>
      <c r="M905" s="414">
        <v>2085.51001</v>
      </c>
      <c r="N905" s="31">
        <f t="shared" si="39"/>
        <v>-1.0804978716687858E-2</v>
      </c>
      <c r="Q905" s="34"/>
      <c r="R905" s="23"/>
      <c r="S905" s="34"/>
      <c r="T905" s="23"/>
      <c r="U905" s="2"/>
      <c r="W905" s="34"/>
      <c r="X905" s="23"/>
      <c r="Y905" s="34"/>
      <c r="Z905" s="23"/>
      <c r="AA905" s="2"/>
      <c r="AC905" s="244"/>
    </row>
    <row r="906" spans="10:29">
      <c r="J906" s="412">
        <v>42125</v>
      </c>
      <c r="K906" s="413">
        <v>22.284406000000001</v>
      </c>
      <c r="L906" s="30">
        <f t="shared" si="40"/>
        <v>6.1919138393206914E-3</v>
      </c>
      <c r="M906" s="414">
        <v>2108.290039</v>
      </c>
      <c r="N906" s="31">
        <f t="shared" ref="N906:N969" si="41">(M906-M907)/M907</f>
        <v>-2.9321259638595194E-3</v>
      </c>
      <c r="Q906" s="34"/>
      <c r="R906" s="23"/>
      <c r="S906" s="34"/>
      <c r="T906" s="23"/>
      <c r="U906" s="2"/>
      <c r="W906" s="34"/>
      <c r="X906" s="23"/>
      <c r="Y906" s="34"/>
      <c r="Z906" s="23"/>
      <c r="AA906" s="2"/>
      <c r="AC906" s="244"/>
    </row>
    <row r="907" spans="10:29">
      <c r="J907" s="412">
        <v>42128</v>
      </c>
      <c r="K907" s="413">
        <v>22.147272000000001</v>
      </c>
      <c r="L907" s="30">
        <f t="shared" si="40"/>
        <v>2.6327738146400815E-2</v>
      </c>
      <c r="M907" s="414">
        <v>2114.48999</v>
      </c>
      <c r="N907" s="31">
        <f t="shared" si="41"/>
        <v>1.1979185754782698E-2</v>
      </c>
      <c r="Q907" s="34"/>
      <c r="R907" s="23"/>
      <c r="S907" s="34"/>
      <c r="T907" s="23"/>
      <c r="U907" s="2"/>
      <c r="W907" s="34"/>
      <c r="X907" s="23"/>
      <c r="Y907" s="34"/>
      <c r="Z907" s="23"/>
      <c r="AA907" s="2"/>
      <c r="AC907" s="244"/>
    </row>
    <row r="908" spans="10:29">
      <c r="J908" s="412">
        <v>42129</v>
      </c>
      <c r="K908" s="413">
        <v>21.579142000000001</v>
      </c>
      <c r="L908" s="30">
        <f t="shared" si="40"/>
        <v>-3.1674021486522222E-3</v>
      </c>
      <c r="M908" s="414">
        <v>2089.459961</v>
      </c>
      <c r="N908" s="31">
        <f t="shared" si="41"/>
        <v>4.4756673502465254E-3</v>
      </c>
      <c r="Q908" s="34"/>
      <c r="R908" s="23"/>
      <c r="S908" s="34"/>
      <c r="T908" s="23"/>
      <c r="U908" s="2"/>
      <c r="W908" s="34"/>
      <c r="X908" s="23"/>
      <c r="Y908" s="34"/>
      <c r="Z908" s="23"/>
      <c r="AA908" s="2"/>
      <c r="AC908" s="244"/>
    </row>
    <row r="909" spans="10:29">
      <c r="J909" s="412">
        <v>42130</v>
      </c>
      <c r="K909" s="413">
        <v>21.647708999999999</v>
      </c>
      <c r="L909" s="30">
        <f t="shared" si="40"/>
        <v>-1.7341022882398961E-2</v>
      </c>
      <c r="M909" s="414">
        <v>2080.1499020000001</v>
      </c>
      <c r="N909" s="31">
        <f t="shared" si="41"/>
        <v>-3.7596254789271501E-3</v>
      </c>
      <c r="Q909" s="34"/>
      <c r="R909" s="23"/>
      <c r="S909" s="34"/>
      <c r="T909" s="23"/>
      <c r="U909" s="2"/>
      <c r="W909" s="34"/>
      <c r="X909" s="23"/>
      <c r="Y909" s="34"/>
      <c r="Z909" s="23"/>
      <c r="AA909" s="2"/>
      <c r="AC909" s="244"/>
    </row>
    <row r="910" spans="10:29">
      <c r="J910" s="412">
        <v>42131</v>
      </c>
      <c r="K910" s="413">
        <v>22.029727000000001</v>
      </c>
      <c r="L910" s="30">
        <f t="shared" si="40"/>
        <v>7.9692751804819745E-2</v>
      </c>
      <c r="M910" s="414">
        <v>2088</v>
      </c>
      <c r="N910" s="31">
        <f t="shared" si="41"/>
        <v>-1.327919129466431E-2</v>
      </c>
      <c r="Q910" s="34"/>
      <c r="R910" s="23"/>
      <c r="S910" s="34"/>
      <c r="T910" s="23"/>
      <c r="U910" s="2"/>
      <c r="W910" s="34"/>
      <c r="X910" s="23"/>
      <c r="Y910" s="34"/>
      <c r="Z910" s="23"/>
      <c r="AA910" s="2"/>
      <c r="AC910" s="244"/>
    </row>
    <row r="911" spans="10:29">
      <c r="J911" s="412">
        <v>42132</v>
      </c>
      <c r="K911" s="413">
        <v>20.403700000000001</v>
      </c>
      <c r="L911" s="30">
        <f t="shared" si="40"/>
        <v>9.6946761922331384E-3</v>
      </c>
      <c r="M911" s="414">
        <v>2116.1000979999999</v>
      </c>
      <c r="N911" s="31">
        <f t="shared" si="41"/>
        <v>5.1155968902658368E-3</v>
      </c>
      <c r="Q911" s="34"/>
      <c r="R911" s="23"/>
      <c r="S911" s="34"/>
      <c r="T911" s="23"/>
      <c r="U911" s="2"/>
      <c r="W911" s="34"/>
      <c r="X911" s="23"/>
      <c r="Y911" s="34"/>
      <c r="Z911" s="23"/>
      <c r="AA911" s="2"/>
      <c r="AC911" s="244"/>
    </row>
    <row r="912" spans="10:29">
      <c r="J912" s="412">
        <v>42135</v>
      </c>
      <c r="K912" s="413">
        <v>20.207792000000001</v>
      </c>
      <c r="L912" s="30">
        <f t="shared" si="40"/>
        <v>-9.6015918681415287E-3</v>
      </c>
      <c r="M912" s="414">
        <v>2105.330078</v>
      </c>
      <c r="N912" s="31">
        <f t="shared" si="41"/>
        <v>2.9583638162046263E-3</v>
      </c>
      <c r="Q912" s="34"/>
      <c r="R912" s="23"/>
      <c r="S912" s="34"/>
      <c r="T912" s="23"/>
      <c r="U912" s="2"/>
      <c r="W912" s="34"/>
      <c r="X912" s="23"/>
      <c r="Y912" s="34"/>
      <c r="Z912" s="23"/>
      <c r="AA912" s="2"/>
      <c r="AC912" s="244"/>
    </row>
    <row r="913" spans="10:29">
      <c r="J913" s="412">
        <v>42136</v>
      </c>
      <c r="K913" s="413">
        <v>20.403700000000001</v>
      </c>
      <c r="L913" s="30">
        <f t="shared" si="40"/>
        <v>-5.7279663100362468E-3</v>
      </c>
      <c r="M913" s="414">
        <v>2099.1201169999999</v>
      </c>
      <c r="N913" s="31">
        <f t="shared" si="41"/>
        <v>3.0504794236820303E-4</v>
      </c>
      <c r="Q913" s="34"/>
      <c r="R913" s="23"/>
      <c r="S913" s="34"/>
      <c r="T913" s="23"/>
      <c r="U913" s="2"/>
      <c r="W913" s="34"/>
      <c r="X913" s="23"/>
      <c r="Y913" s="34"/>
      <c r="Z913" s="23"/>
      <c r="AA913" s="2"/>
      <c r="AC913" s="244"/>
    </row>
    <row r="914" spans="10:29">
      <c r="J914" s="412">
        <v>42137</v>
      </c>
      <c r="K914" s="413">
        <v>20.521245</v>
      </c>
      <c r="L914" s="30">
        <f t="shared" si="40"/>
        <v>-1.5969953803743036E-2</v>
      </c>
      <c r="M914" s="414">
        <v>2098.4799800000001</v>
      </c>
      <c r="N914" s="31">
        <f t="shared" si="41"/>
        <v>-1.0664333107771994E-2</v>
      </c>
      <c r="Q914" s="34"/>
      <c r="R914" s="23"/>
      <c r="S914" s="34"/>
      <c r="T914" s="23"/>
      <c r="U914" s="2"/>
      <c r="W914" s="34"/>
      <c r="X914" s="23"/>
      <c r="Y914" s="34"/>
      <c r="Z914" s="23"/>
      <c r="AA914" s="2"/>
      <c r="AC914" s="244"/>
    </row>
    <row r="915" spans="10:29">
      <c r="J915" s="412">
        <v>42138</v>
      </c>
      <c r="K915" s="413">
        <v>20.854286999999999</v>
      </c>
      <c r="L915" s="30">
        <f t="shared" si="40"/>
        <v>-4.6937128308566391E-4</v>
      </c>
      <c r="M915" s="414">
        <v>2121.1000979999999</v>
      </c>
      <c r="N915" s="31">
        <f t="shared" si="41"/>
        <v>-7.6782351752538002E-4</v>
      </c>
      <c r="Q915" s="34"/>
      <c r="R915" s="23"/>
      <c r="S915" s="34"/>
      <c r="T915" s="23"/>
      <c r="U915" s="2"/>
      <c r="W915" s="34"/>
      <c r="X915" s="23"/>
      <c r="Y915" s="34"/>
      <c r="Z915" s="23"/>
      <c r="AA915" s="2"/>
      <c r="AC915" s="244"/>
    </row>
    <row r="916" spans="10:29">
      <c r="J916" s="412">
        <v>42139</v>
      </c>
      <c r="K916" s="413">
        <v>20.864080000000001</v>
      </c>
      <c r="L916" s="30">
        <f t="shared" si="40"/>
        <v>1.410339752497483E-3</v>
      </c>
      <c r="M916" s="414">
        <v>2122.7299800000001</v>
      </c>
      <c r="N916" s="31">
        <f t="shared" si="41"/>
        <v>-3.0386864310048946E-3</v>
      </c>
      <c r="Q916" s="34"/>
      <c r="R916" s="23"/>
      <c r="S916" s="34"/>
      <c r="T916" s="23"/>
      <c r="U916" s="2"/>
      <c r="W916" s="34"/>
      <c r="X916" s="23"/>
      <c r="Y916" s="34"/>
      <c r="Z916" s="23"/>
      <c r="AA916" s="2"/>
      <c r="AC916" s="244"/>
    </row>
    <row r="917" spans="10:29">
      <c r="J917" s="412">
        <v>42142</v>
      </c>
      <c r="K917" s="413">
        <v>20.834696000000001</v>
      </c>
      <c r="L917" s="30">
        <f t="shared" si="40"/>
        <v>6.2737143077934701E-3</v>
      </c>
      <c r="M917" s="414">
        <v>2129.1999510000001</v>
      </c>
      <c r="N917" s="31">
        <f t="shared" si="41"/>
        <v>6.4378871892236582E-4</v>
      </c>
      <c r="Q917" s="34"/>
      <c r="R917" s="23"/>
      <c r="S917" s="34"/>
      <c r="T917" s="23"/>
      <c r="U917" s="2"/>
      <c r="W917" s="34"/>
      <c r="X917" s="23"/>
      <c r="Y917" s="34"/>
      <c r="Z917" s="23"/>
      <c r="AA917" s="2"/>
      <c r="AC917" s="244"/>
    </row>
    <row r="918" spans="10:29">
      <c r="J918" s="412">
        <v>42143</v>
      </c>
      <c r="K918" s="413">
        <v>20.704799999999999</v>
      </c>
      <c r="L918" s="30">
        <f t="shared" si="40"/>
        <v>0</v>
      </c>
      <c r="M918" s="414">
        <v>2127.830078</v>
      </c>
      <c r="N918" s="31">
        <f t="shared" si="41"/>
        <v>9.3138269808526681E-4</v>
      </c>
      <c r="Q918" s="34"/>
      <c r="R918" s="23"/>
      <c r="S918" s="34"/>
      <c r="T918" s="23"/>
      <c r="U918" s="2"/>
      <c r="W918" s="34"/>
      <c r="X918" s="23"/>
      <c r="Y918" s="34"/>
      <c r="Z918" s="23"/>
      <c r="AA918" s="2"/>
      <c r="AC918" s="244"/>
    </row>
    <row r="919" spans="10:29">
      <c r="J919" s="412">
        <v>42144</v>
      </c>
      <c r="K919" s="413">
        <v>20.704799999999999</v>
      </c>
      <c r="L919" s="30">
        <f t="shared" si="40"/>
        <v>7.1805540718895382E-3</v>
      </c>
      <c r="M919" s="414">
        <v>2125.8500979999999</v>
      </c>
      <c r="N919" s="31">
        <f t="shared" si="41"/>
        <v>-2.3324212469356671E-3</v>
      </c>
      <c r="Q919" s="34"/>
      <c r="R919" s="23"/>
      <c r="S919" s="34"/>
      <c r="T919" s="23"/>
      <c r="U919" s="2"/>
      <c r="W919" s="34"/>
      <c r="X919" s="23"/>
      <c r="Y919" s="34"/>
      <c r="Z919" s="23"/>
      <c r="AA919" s="2"/>
      <c r="AC919" s="244"/>
    </row>
    <row r="920" spans="10:29">
      <c r="J920" s="412">
        <v>42145</v>
      </c>
      <c r="K920" s="413">
        <v>20.557188</v>
      </c>
      <c r="L920" s="30">
        <f t="shared" si="40"/>
        <v>1.4381078960409392E-3</v>
      </c>
      <c r="M920" s="414">
        <v>2130.820068</v>
      </c>
      <c r="N920" s="31">
        <f t="shared" si="41"/>
        <v>2.2388873634355227E-3</v>
      </c>
      <c r="Q920" s="34"/>
      <c r="R920" s="23"/>
      <c r="S920" s="34"/>
      <c r="T920" s="23"/>
      <c r="U920" s="2"/>
      <c r="W920" s="34"/>
      <c r="X920" s="23"/>
      <c r="Y920" s="34"/>
      <c r="Z920" s="23"/>
      <c r="AA920" s="2"/>
      <c r="AC920" s="244"/>
    </row>
    <row r="921" spans="10:29">
      <c r="J921" s="412">
        <v>42146</v>
      </c>
      <c r="K921" s="413">
        <v>20.527667000000001</v>
      </c>
      <c r="L921" s="30">
        <f t="shared" si="40"/>
        <v>6.2711592801418361E-3</v>
      </c>
      <c r="M921" s="414">
        <v>2126.0600589999999</v>
      </c>
      <c r="N921" s="31">
        <f t="shared" si="41"/>
        <v>1.038879788473099E-2</v>
      </c>
      <c r="Q921" s="34"/>
      <c r="R921" s="23"/>
      <c r="S921" s="34"/>
      <c r="T921" s="23"/>
      <c r="U921" s="2"/>
      <c r="W921" s="34"/>
      <c r="X921" s="23"/>
      <c r="Y921" s="34"/>
      <c r="Z921" s="23"/>
      <c r="AA921" s="2"/>
      <c r="AC921" s="244"/>
    </row>
    <row r="922" spans="10:29">
      <c r="J922" s="412">
        <v>42150</v>
      </c>
      <c r="K922" s="413">
        <v>20.399736999999998</v>
      </c>
      <c r="L922" s="30">
        <f t="shared" si="40"/>
        <v>-5.0824225548660978E-2</v>
      </c>
      <c r="M922" s="414">
        <v>2104.1999510000001</v>
      </c>
      <c r="N922" s="31">
        <f t="shared" si="41"/>
        <v>-9.079449385720138E-3</v>
      </c>
      <c r="Q922" s="34"/>
      <c r="R922" s="23"/>
      <c r="S922" s="34"/>
      <c r="T922" s="23"/>
      <c r="U922" s="2"/>
      <c r="W922" s="34"/>
      <c r="X922" s="23"/>
      <c r="Y922" s="34"/>
      <c r="Z922" s="23"/>
      <c r="AA922" s="2"/>
      <c r="AC922" s="244"/>
    </row>
    <row r="923" spans="10:29">
      <c r="J923" s="412">
        <v>42151</v>
      </c>
      <c r="K923" s="413">
        <v>21.492054</v>
      </c>
      <c r="L923" s="30">
        <f t="shared" si="40"/>
        <v>-1.3550111868056576E-2</v>
      </c>
      <c r="M923" s="414">
        <v>2123.4799800000001</v>
      </c>
      <c r="N923" s="31">
        <f t="shared" si="41"/>
        <v>1.2683674246548504E-3</v>
      </c>
      <c r="Q923" s="34"/>
      <c r="R923" s="23"/>
      <c r="S923" s="34"/>
      <c r="T923" s="23"/>
      <c r="U923" s="2"/>
      <c r="W923" s="34"/>
      <c r="X923" s="23"/>
      <c r="Y923" s="34"/>
      <c r="Z923" s="23"/>
      <c r="AA923" s="2"/>
      <c r="AC923" s="244"/>
    </row>
    <row r="924" spans="10:29">
      <c r="J924" s="412">
        <v>42152</v>
      </c>
      <c r="K924" s="413">
        <v>21.787274</v>
      </c>
      <c r="L924" s="30">
        <f t="shared" si="40"/>
        <v>4.5188980721472288E-4</v>
      </c>
      <c r="M924" s="414">
        <v>2120.790039</v>
      </c>
      <c r="N924" s="31">
        <f t="shared" si="41"/>
        <v>6.3586458512069699E-3</v>
      </c>
      <c r="Q924" s="34"/>
      <c r="R924" s="23"/>
      <c r="S924" s="34"/>
      <c r="T924" s="23"/>
      <c r="U924" s="2"/>
      <c r="W924" s="34"/>
      <c r="X924" s="23"/>
      <c r="Y924" s="34"/>
      <c r="Z924" s="23"/>
      <c r="AA924" s="2"/>
      <c r="AC924" s="244"/>
    </row>
    <row r="925" spans="10:29">
      <c r="J925" s="412">
        <v>42153</v>
      </c>
      <c r="K925" s="413">
        <v>21.777432999999998</v>
      </c>
      <c r="L925" s="30">
        <f t="shared" si="40"/>
        <v>-1.1170683975489849E-2</v>
      </c>
      <c r="M925" s="414">
        <v>2107.389893</v>
      </c>
      <c r="N925" s="31">
        <f t="shared" si="41"/>
        <v>-2.055228197309601E-3</v>
      </c>
      <c r="Q925" s="34"/>
      <c r="R925" s="23"/>
      <c r="S925" s="34"/>
      <c r="T925" s="23"/>
      <c r="U925" s="2"/>
      <c r="W925" s="34"/>
      <c r="X925" s="23"/>
      <c r="Y925" s="34"/>
      <c r="Z925" s="23"/>
      <c r="AA925" s="2"/>
      <c r="AC925" s="244"/>
    </row>
    <row r="926" spans="10:29">
      <c r="J926" s="412">
        <v>42156</v>
      </c>
      <c r="K926" s="413">
        <v>22.02345</v>
      </c>
      <c r="L926" s="30">
        <f t="shared" si="40"/>
        <v>2.0054643576160748E-2</v>
      </c>
      <c r="M926" s="414">
        <v>2111.7299800000001</v>
      </c>
      <c r="N926" s="31">
        <f t="shared" si="41"/>
        <v>1.00961409796075E-3</v>
      </c>
      <c r="Q926" s="34"/>
      <c r="R926" s="23"/>
      <c r="S926" s="34"/>
      <c r="T926" s="23"/>
      <c r="U926" s="2"/>
      <c r="W926" s="34"/>
      <c r="X926" s="23"/>
      <c r="Y926" s="34"/>
      <c r="Z926" s="23"/>
      <c r="AA926" s="2"/>
      <c r="AC926" s="244"/>
    </row>
    <row r="927" spans="10:29">
      <c r="J927" s="412">
        <v>42157</v>
      </c>
      <c r="K927" s="413">
        <v>21.590461000000001</v>
      </c>
      <c r="L927" s="30">
        <f t="shared" si="40"/>
        <v>1.1059887980328087E-2</v>
      </c>
      <c r="M927" s="414">
        <v>2109.6000979999999</v>
      </c>
      <c r="N927" s="31">
        <f t="shared" si="41"/>
        <v>-2.1143906569893798E-3</v>
      </c>
      <c r="Q927" s="34"/>
      <c r="R927" s="23"/>
      <c r="S927" s="34"/>
      <c r="T927" s="23"/>
      <c r="U927" s="2"/>
      <c r="W927" s="34"/>
      <c r="X927" s="23"/>
      <c r="Y927" s="34"/>
      <c r="Z927" s="23"/>
      <c r="AA927" s="2"/>
      <c r="AC927" s="244"/>
    </row>
    <row r="928" spans="10:29">
      <c r="J928" s="412">
        <v>42158</v>
      </c>
      <c r="K928" s="413">
        <v>21.354285000000001</v>
      </c>
      <c r="L928" s="30">
        <f t="shared" si="40"/>
        <v>-1.7655016399569245E-2</v>
      </c>
      <c r="M928" s="414">
        <v>2114.070068</v>
      </c>
      <c r="N928" s="31">
        <f t="shared" si="41"/>
        <v>8.6981731594782188E-3</v>
      </c>
      <c r="Q928" s="34"/>
      <c r="R928" s="23"/>
      <c r="S928" s="34"/>
      <c r="T928" s="23"/>
      <c r="U928" s="2"/>
      <c r="W928" s="34"/>
      <c r="X928" s="23"/>
      <c r="Y928" s="34"/>
      <c r="Z928" s="23"/>
      <c r="AA928" s="2"/>
      <c r="AC928" s="244"/>
    </row>
    <row r="929" spans="10:29">
      <c r="J929" s="412">
        <v>42159</v>
      </c>
      <c r="K929" s="413">
        <v>21.738071000000001</v>
      </c>
      <c r="L929" s="30">
        <f t="shared" si="40"/>
        <v>-7.6370339080890724E-3</v>
      </c>
      <c r="M929" s="414">
        <v>2095.8400879999999</v>
      </c>
      <c r="N929" s="31">
        <f t="shared" si="41"/>
        <v>1.4382486335806407E-3</v>
      </c>
      <c r="Q929" s="34"/>
      <c r="R929" s="23"/>
      <c r="S929" s="34"/>
      <c r="T929" s="23"/>
      <c r="U929" s="2"/>
      <c r="W929" s="34"/>
      <c r="X929" s="23"/>
      <c r="Y929" s="34"/>
      <c r="Z929" s="23"/>
      <c r="AA929" s="2"/>
      <c r="AC929" s="244"/>
    </row>
    <row r="930" spans="10:29">
      <c r="J930" s="412">
        <v>42160</v>
      </c>
      <c r="K930" s="413">
        <v>21.905363000000001</v>
      </c>
      <c r="L930" s="30">
        <f t="shared" si="40"/>
        <v>2.3448280953085866E-2</v>
      </c>
      <c r="M930" s="414">
        <v>2092.830078</v>
      </c>
      <c r="N930" s="31">
        <f t="shared" si="41"/>
        <v>6.5167023253316419E-3</v>
      </c>
      <c r="Q930" s="34"/>
      <c r="R930" s="23"/>
      <c r="S930" s="34"/>
      <c r="T930" s="23"/>
      <c r="U930" s="2"/>
      <c r="W930" s="34"/>
      <c r="X930" s="23"/>
      <c r="Y930" s="34"/>
      <c r="Z930" s="23"/>
      <c r="AA930" s="2"/>
      <c r="AC930" s="244"/>
    </row>
    <row r="931" spans="10:29">
      <c r="J931" s="412">
        <v>42163</v>
      </c>
      <c r="K931" s="413">
        <v>21.403487999999999</v>
      </c>
      <c r="L931" s="30">
        <f t="shared" si="40"/>
        <v>-5.0320439038485636E-3</v>
      </c>
      <c r="M931" s="414">
        <v>2079.280029</v>
      </c>
      <c r="N931" s="31">
        <f t="shared" si="41"/>
        <v>-4.1817803570970614E-4</v>
      </c>
      <c r="Q931" s="34"/>
      <c r="R931" s="23"/>
      <c r="S931" s="34"/>
      <c r="T931" s="23"/>
      <c r="U931" s="2"/>
      <c r="W931" s="34"/>
      <c r="X931" s="23"/>
      <c r="Y931" s="34"/>
      <c r="Z931" s="23"/>
      <c r="AA931" s="2"/>
      <c r="AC931" s="244"/>
    </row>
    <row r="932" spans="10:29">
      <c r="J932" s="412">
        <v>42164</v>
      </c>
      <c r="K932" s="413">
        <v>21.511735999999999</v>
      </c>
      <c r="L932" s="30">
        <f t="shared" si="40"/>
        <v>1.8164944366580189E-2</v>
      </c>
      <c r="M932" s="414">
        <v>2080.1499020000001</v>
      </c>
      <c r="N932" s="31">
        <f t="shared" si="41"/>
        <v>-1.1899130525868013E-2</v>
      </c>
      <c r="Q932" s="34"/>
      <c r="R932" s="23"/>
      <c r="S932" s="34"/>
      <c r="T932" s="23"/>
      <c r="U932" s="2"/>
      <c r="W932" s="34"/>
      <c r="X932" s="23"/>
      <c r="Y932" s="34"/>
      <c r="Z932" s="23"/>
      <c r="AA932" s="2"/>
      <c r="AC932" s="244"/>
    </row>
    <row r="933" spans="10:29">
      <c r="J933" s="412">
        <v>42165</v>
      </c>
      <c r="K933" s="413">
        <v>21.127948</v>
      </c>
      <c r="L933" s="30">
        <f t="shared" si="40"/>
        <v>-1.0599137362829095E-2</v>
      </c>
      <c r="M933" s="414">
        <v>2105.1999510000001</v>
      </c>
      <c r="N933" s="31">
        <f t="shared" si="41"/>
        <v>-1.7356087242822102E-3</v>
      </c>
      <c r="Q933" s="34"/>
      <c r="R933" s="23"/>
      <c r="S933" s="34"/>
      <c r="T933" s="23"/>
      <c r="U933" s="2"/>
      <c r="W933" s="34"/>
      <c r="X933" s="23"/>
      <c r="Y933" s="34"/>
      <c r="Z933" s="23"/>
      <c r="AA933" s="2"/>
      <c r="AC933" s="244"/>
    </row>
    <row r="934" spans="10:29">
      <c r="J934" s="412">
        <v>42166</v>
      </c>
      <c r="K934" s="413">
        <v>21.354285000000001</v>
      </c>
      <c r="L934" s="30">
        <f t="shared" si="40"/>
        <v>2.7948870311110995E-2</v>
      </c>
      <c r="M934" s="414">
        <v>2108.860107</v>
      </c>
      <c r="N934" s="31">
        <f t="shared" si="41"/>
        <v>7.0435646868304809E-3</v>
      </c>
      <c r="Q934" s="34"/>
      <c r="R934" s="23"/>
      <c r="S934" s="34"/>
      <c r="T934" s="23"/>
      <c r="U934" s="2"/>
      <c r="W934" s="34"/>
      <c r="X934" s="23"/>
      <c r="Y934" s="34"/>
      <c r="Z934" s="23"/>
      <c r="AA934" s="2"/>
      <c r="AC934" s="244"/>
    </row>
    <row r="935" spans="10:29">
      <c r="J935" s="412">
        <v>42167</v>
      </c>
      <c r="K935" s="413">
        <v>20.773683999999999</v>
      </c>
      <c r="L935" s="30">
        <f t="shared" si="40"/>
        <v>1.898446541847116E-3</v>
      </c>
      <c r="M935" s="414">
        <v>2094.110107</v>
      </c>
      <c r="N935" s="31">
        <f t="shared" si="41"/>
        <v>4.6440395291732755E-3</v>
      </c>
      <c r="Q935" s="34"/>
      <c r="R935" s="23"/>
      <c r="S935" s="34"/>
      <c r="T935" s="23"/>
      <c r="U935" s="2"/>
      <c r="W935" s="34"/>
      <c r="X935" s="23"/>
      <c r="Y935" s="34"/>
      <c r="Z935" s="23"/>
      <c r="AA935" s="2"/>
      <c r="AC935" s="244"/>
    </row>
    <row r="936" spans="10:29">
      <c r="J936" s="412">
        <v>42170</v>
      </c>
      <c r="K936" s="413">
        <v>20.734321000000001</v>
      </c>
      <c r="L936" s="30">
        <f t="shared" si="40"/>
        <v>-1.2189414868734559E-2</v>
      </c>
      <c r="M936" s="414">
        <v>2084.429932</v>
      </c>
      <c r="N936" s="31">
        <f t="shared" si="41"/>
        <v>-5.6576651032781873E-3</v>
      </c>
      <c r="Q936" s="34"/>
      <c r="R936" s="23"/>
      <c r="S936" s="34"/>
      <c r="T936" s="23"/>
      <c r="U936" s="2"/>
      <c r="W936" s="34"/>
      <c r="X936" s="23"/>
      <c r="Y936" s="34"/>
      <c r="Z936" s="23"/>
      <c r="AA936" s="2"/>
      <c r="AC936" s="244"/>
    </row>
    <row r="937" spans="10:29">
      <c r="J937" s="412">
        <v>42171</v>
      </c>
      <c r="K937" s="413">
        <v>20.990179000000001</v>
      </c>
      <c r="L937" s="30">
        <f t="shared" si="40"/>
        <v>-1.1584796071763435E-2</v>
      </c>
      <c r="M937" s="414">
        <v>2096.290039</v>
      </c>
      <c r="N937" s="31">
        <f t="shared" si="41"/>
        <v>-1.9757299025766864E-3</v>
      </c>
      <c r="Q937" s="34"/>
      <c r="R937" s="23"/>
      <c r="S937" s="34"/>
      <c r="T937" s="23"/>
      <c r="U937" s="2"/>
      <c r="W937" s="34"/>
      <c r="X937" s="23"/>
      <c r="Y937" s="34"/>
      <c r="Z937" s="23"/>
      <c r="AA937" s="2"/>
      <c r="AC937" s="244"/>
    </row>
    <row r="938" spans="10:29">
      <c r="J938" s="412">
        <v>42172</v>
      </c>
      <c r="K938" s="413">
        <v>21.236196</v>
      </c>
      <c r="L938" s="30">
        <f t="shared" si="40"/>
        <v>-1.6408403692723447E-2</v>
      </c>
      <c r="M938" s="414">
        <v>2100.4399410000001</v>
      </c>
      <c r="N938" s="31">
        <f t="shared" si="41"/>
        <v>-9.805608558228221E-3</v>
      </c>
      <c r="Q938" s="34"/>
      <c r="R938" s="23"/>
      <c r="S938" s="34"/>
      <c r="T938" s="23"/>
      <c r="U938" s="2"/>
      <c r="W938" s="34"/>
      <c r="X938" s="23"/>
      <c r="Y938" s="34"/>
      <c r="Z938" s="23"/>
      <c r="AA938" s="2"/>
      <c r="AC938" s="244"/>
    </row>
    <row r="939" spans="10:29">
      <c r="J939" s="412">
        <v>42173</v>
      </c>
      <c r="K939" s="413">
        <v>21.590461000000001</v>
      </c>
      <c r="L939" s="30">
        <f t="shared" si="40"/>
        <v>3.2006948189717051E-3</v>
      </c>
      <c r="M939" s="414">
        <v>2121.23999</v>
      </c>
      <c r="N939" s="31">
        <f t="shared" si="41"/>
        <v>5.331778848865534E-3</v>
      </c>
      <c r="Q939" s="34"/>
      <c r="R939" s="23"/>
      <c r="S939" s="34"/>
      <c r="T939" s="23"/>
      <c r="U939" s="2"/>
      <c r="W939" s="34"/>
      <c r="X939" s="23"/>
      <c r="Y939" s="34"/>
      <c r="Z939" s="23"/>
      <c r="AA939" s="2"/>
      <c r="AC939" s="244"/>
    </row>
    <row r="940" spans="10:29">
      <c r="J940" s="412">
        <v>42174</v>
      </c>
      <c r="K940" s="413">
        <v>21.521577000000001</v>
      </c>
      <c r="L940" s="30">
        <f t="shared" si="40"/>
        <v>4.1322707356550095E-3</v>
      </c>
      <c r="M940" s="414">
        <v>2109.98999</v>
      </c>
      <c r="N940" s="31">
        <f t="shared" si="41"/>
        <v>-6.0579444644328602E-3</v>
      </c>
      <c r="Q940" s="34"/>
      <c r="R940" s="23"/>
      <c r="S940" s="34"/>
      <c r="T940" s="23"/>
      <c r="U940" s="2"/>
      <c r="W940" s="34"/>
      <c r="X940" s="23"/>
      <c r="Y940" s="34"/>
      <c r="Z940" s="23"/>
      <c r="AA940" s="2"/>
      <c r="AC940" s="244"/>
    </row>
    <row r="941" spans="10:29">
      <c r="J941" s="412">
        <v>42177</v>
      </c>
      <c r="K941" s="413">
        <v>21.433009999999999</v>
      </c>
      <c r="L941" s="30">
        <f t="shared" si="40"/>
        <v>2.6390231822909376E-2</v>
      </c>
      <c r="M941" s="414">
        <v>2122.8500979999999</v>
      </c>
      <c r="N941" s="31">
        <f t="shared" si="41"/>
        <v>-6.3546418940679393E-4</v>
      </c>
      <c r="Q941" s="34"/>
      <c r="R941" s="23"/>
      <c r="S941" s="34"/>
      <c r="T941" s="23"/>
      <c r="U941" s="2"/>
      <c r="W941" s="34"/>
      <c r="X941" s="23"/>
      <c r="Y941" s="34"/>
      <c r="Z941" s="23"/>
      <c r="AA941" s="2"/>
      <c r="AC941" s="244"/>
    </row>
    <row r="942" spans="10:29">
      <c r="J942" s="412">
        <v>42178</v>
      </c>
      <c r="K942" s="413">
        <v>20.881931000000002</v>
      </c>
      <c r="L942" s="30">
        <f t="shared" si="40"/>
        <v>9.9952227967731854E-3</v>
      </c>
      <c r="M942" s="414">
        <v>2124.1999510000001</v>
      </c>
      <c r="N942" s="31">
        <f t="shared" si="41"/>
        <v>7.4077684613313979E-3</v>
      </c>
      <c r="Q942" s="34"/>
      <c r="R942" s="23"/>
      <c r="S942" s="34"/>
      <c r="T942" s="23"/>
      <c r="U942" s="2"/>
      <c r="W942" s="34"/>
      <c r="X942" s="23"/>
      <c r="Y942" s="34"/>
      <c r="Z942" s="23"/>
      <c r="AA942" s="2"/>
      <c r="AC942" s="244"/>
    </row>
    <row r="943" spans="10:29">
      <c r="J943" s="412">
        <v>42179</v>
      </c>
      <c r="K943" s="413">
        <v>20.675277000000001</v>
      </c>
      <c r="L943" s="30">
        <f t="shared" si="40"/>
        <v>-7.5578676014009414E-3</v>
      </c>
      <c r="M943" s="414">
        <v>2108.580078</v>
      </c>
      <c r="N943" s="31">
        <f t="shared" si="41"/>
        <v>2.9824425627219282E-3</v>
      </c>
      <c r="Q943" s="34"/>
      <c r="R943" s="23"/>
      <c r="S943" s="34"/>
      <c r="T943" s="23"/>
      <c r="U943" s="2"/>
      <c r="W943" s="34"/>
      <c r="X943" s="23"/>
      <c r="Y943" s="34"/>
      <c r="Z943" s="23"/>
      <c r="AA943" s="2"/>
      <c r="AC943" s="244"/>
    </row>
    <row r="944" spans="10:29">
      <c r="J944" s="412">
        <v>42180</v>
      </c>
      <c r="K944" s="413">
        <v>20.832727999999999</v>
      </c>
      <c r="L944" s="30">
        <f t="shared" si="40"/>
        <v>2.073291275302212E-2</v>
      </c>
      <c r="M944" s="414">
        <v>2102.3100589999999</v>
      </c>
      <c r="N944" s="31">
        <f t="shared" si="41"/>
        <v>3.9023217046105262E-4</v>
      </c>
      <c r="Q944" s="34"/>
      <c r="R944" s="23"/>
      <c r="S944" s="34"/>
      <c r="T944" s="23"/>
      <c r="U944" s="2"/>
      <c r="W944" s="34"/>
      <c r="X944" s="23"/>
      <c r="Y944" s="34"/>
      <c r="Z944" s="23"/>
      <c r="AA944" s="2"/>
      <c r="AC944" s="244"/>
    </row>
    <row r="945" spans="10:29">
      <c r="J945" s="412">
        <v>42181</v>
      </c>
      <c r="K945" s="413">
        <v>20.409578</v>
      </c>
      <c r="L945" s="30">
        <f t="shared" si="40"/>
        <v>3.0815036998236844E-2</v>
      </c>
      <c r="M945" s="414">
        <v>2101.48999</v>
      </c>
      <c r="N945" s="31">
        <f t="shared" si="41"/>
        <v>2.1310870356458435E-2</v>
      </c>
      <c r="Q945" s="34"/>
      <c r="R945" s="23"/>
      <c r="S945" s="34"/>
      <c r="T945" s="23"/>
      <c r="U945" s="2"/>
      <c r="W945" s="34"/>
      <c r="X945" s="23"/>
      <c r="Y945" s="34"/>
      <c r="Z945" s="23"/>
      <c r="AA945" s="2"/>
      <c r="AC945" s="244"/>
    </row>
    <row r="946" spans="10:29">
      <c r="J946" s="412">
        <v>42184</v>
      </c>
      <c r="K946" s="413">
        <v>19.799457</v>
      </c>
      <c r="L946" s="30">
        <f t="shared" si="40"/>
        <v>4.972809982771542E-4</v>
      </c>
      <c r="M946" s="414">
        <v>2057.639893</v>
      </c>
      <c r="N946" s="31">
        <f t="shared" si="41"/>
        <v>-2.6514406484849534E-3</v>
      </c>
      <c r="Q946" s="34"/>
      <c r="R946" s="23"/>
      <c r="S946" s="34"/>
      <c r="T946" s="23"/>
      <c r="U946" s="2"/>
      <c r="W946" s="34"/>
      <c r="X946" s="23"/>
      <c r="Y946" s="34"/>
      <c r="Z946" s="23"/>
      <c r="AA946" s="2"/>
      <c r="AC946" s="244"/>
    </row>
    <row r="947" spans="10:29">
      <c r="J947" s="412">
        <v>42185</v>
      </c>
      <c r="K947" s="413">
        <v>19.789615999999999</v>
      </c>
      <c r="L947" s="30">
        <f t="shared" si="40"/>
        <v>-1.4215644885590382E-2</v>
      </c>
      <c r="M947" s="414">
        <v>2063.110107</v>
      </c>
      <c r="N947" s="31">
        <f t="shared" si="41"/>
        <v>-6.8882631038906881E-3</v>
      </c>
      <c r="Q947" s="34"/>
      <c r="R947" s="23"/>
      <c r="S947" s="34"/>
      <c r="T947" s="23"/>
      <c r="U947" s="2"/>
      <c r="W947" s="34"/>
      <c r="X947" s="23"/>
      <c r="Y947" s="34"/>
      <c r="Z947" s="23"/>
      <c r="AA947" s="2"/>
      <c r="AC947" s="244"/>
    </row>
    <row r="948" spans="10:29">
      <c r="J948" s="412">
        <v>42186</v>
      </c>
      <c r="K948" s="413">
        <v>20.074995000000001</v>
      </c>
      <c r="L948" s="30">
        <f t="shared" si="40"/>
        <v>-9.7946336733850128E-4</v>
      </c>
      <c r="M948" s="414">
        <v>2077.419922</v>
      </c>
      <c r="N948" s="31">
        <f t="shared" si="41"/>
        <v>3.0811785122382315E-4</v>
      </c>
      <c r="Q948" s="34"/>
      <c r="R948" s="23"/>
      <c r="S948" s="34"/>
      <c r="T948" s="23"/>
      <c r="U948" s="2"/>
      <c r="W948" s="34"/>
      <c r="X948" s="23"/>
      <c r="Y948" s="34"/>
      <c r="Z948" s="23"/>
      <c r="AA948" s="2"/>
      <c r="AC948" s="244"/>
    </row>
    <row r="949" spans="10:29">
      <c r="J949" s="412">
        <v>42187</v>
      </c>
      <c r="K949" s="413">
        <v>20.094677000000001</v>
      </c>
      <c r="L949" s="30">
        <f t="shared" si="40"/>
        <v>1.2394640242716734E-2</v>
      </c>
      <c r="M949" s="414">
        <v>2076.780029</v>
      </c>
      <c r="N949" s="31">
        <f t="shared" si="41"/>
        <v>3.876727586202736E-3</v>
      </c>
      <c r="Q949" s="34"/>
      <c r="R949" s="23"/>
      <c r="S949" s="34"/>
      <c r="T949" s="23"/>
      <c r="U949" s="2"/>
      <c r="W949" s="34"/>
      <c r="X949" s="23"/>
      <c r="Y949" s="34"/>
      <c r="Z949" s="23"/>
      <c r="AA949" s="2"/>
      <c r="AC949" s="244"/>
    </row>
    <row r="950" spans="10:29">
      <c r="J950" s="412">
        <v>42191</v>
      </c>
      <c r="K950" s="413">
        <v>19.848659999999999</v>
      </c>
      <c r="L950" s="30">
        <f t="shared" si="40"/>
        <v>1.9201617030165378E-2</v>
      </c>
      <c r="M950" s="414">
        <v>2068.76001</v>
      </c>
      <c r="N950" s="31">
        <f t="shared" si="41"/>
        <v>-6.0442202946700552E-3</v>
      </c>
      <c r="Q950" s="34"/>
      <c r="R950" s="23"/>
      <c r="S950" s="34"/>
      <c r="T950" s="23"/>
      <c r="U950" s="2"/>
      <c r="W950" s="34"/>
      <c r="X950" s="23"/>
      <c r="Y950" s="34"/>
      <c r="Z950" s="23"/>
      <c r="AA950" s="2"/>
      <c r="AC950" s="244"/>
    </row>
    <row r="951" spans="10:29">
      <c r="J951" s="412">
        <v>42192</v>
      </c>
      <c r="K951" s="413">
        <v>19.474713999999999</v>
      </c>
      <c r="L951" s="30">
        <f t="shared" si="40"/>
        <v>7.124703882888616E-3</v>
      </c>
      <c r="M951" s="414">
        <v>2081.3400879999999</v>
      </c>
      <c r="N951" s="31">
        <f t="shared" si="41"/>
        <v>1.693475926159585E-2</v>
      </c>
      <c r="Q951" s="34"/>
      <c r="R951" s="23"/>
      <c r="S951" s="34"/>
      <c r="T951" s="23"/>
      <c r="U951" s="2"/>
      <c r="W951" s="34"/>
      <c r="X951" s="23"/>
      <c r="Y951" s="34"/>
      <c r="Z951" s="23"/>
      <c r="AA951" s="2"/>
      <c r="AC951" s="244"/>
    </row>
    <row r="952" spans="10:29">
      <c r="J952" s="412">
        <v>42193</v>
      </c>
      <c r="K952" s="413">
        <v>19.336943999999999</v>
      </c>
      <c r="L952" s="30">
        <f t="shared" si="40"/>
        <v>1.2364791424344261E-2</v>
      </c>
      <c r="M952" s="414">
        <v>2046.6800539999999</v>
      </c>
      <c r="N952" s="31">
        <f t="shared" si="41"/>
        <v>-2.2570966196388078E-3</v>
      </c>
      <c r="Q952" s="34"/>
      <c r="R952" s="23"/>
      <c r="S952" s="34"/>
      <c r="T952" s="23"/>
      <c r="U952" s="2"/>
      <c r="W952" s="34"/>
      <c r="X952" s="23"/>
      <c r="Y952" s="34"/>
      <c r="Z952" s="23"/>
      <c r="AA952" s="2"/>
      <c r="AC952" s="244"/>
    </row>
    <row r="953" spans="10:29">
      <c r="J953" s="412">
        <v>42194</v>
      </c>
      <c r="K953" s="413">
        <v>19.100767000000001</v>
      </c>
      <c r="L953" s="30">
        <f t="shared" si="40"/>
        <v>-1.7215228065600642E-2</v>
      </c>
      <c r="M953" s="414">
        <v>2051.3100589999999</v>
      </c>
      <c r="N953" s="31">
        <f t="shared" si="41"/>
        <v>-1.2188102095709414E-2</v>
      </c>
      <c r="Q953" s="34"/>
      <c r="R953" s="23"/>
      <c r="S953" s="34"/>
      <c r="T953" s="23"/>
      <c r="U953" s="2"/>
      <c r="W953" s="34"/>
      <c r="X953" s="23"/>
      <c r="Y953" s="34"/>
      <c r="Z953" s="23"/>
      <c r="AA953" s="2"/>
      <c r="AC953" s="244"/>
    </row>
    <row r="954" spans="10:29">
      <c r="J954" s="412">
        <v>42195</v>
      </c>
      <c r="K954" s="413">
        <v>19.435351000000001</v>
      </c>
      <c r="L954" s="30">
        <f t="shared" si="40"/>
        <v>-6.5391900815809402E-3</v>
      </c>
      <c r="M954" s="414">
        <v>2076.6201169999999</v>
      </c>
      <c r="N954" s="31">
        <f t="shared" si="41"/>
        <v>-1.0944932333490467E-2</v>
      </c>
      <c r="Q954" s="34"/>
      <c r="R954" s="23"/>
      <c r="S954" s="34"/>
      <c r="T954" s="23"/>
      <c r="U954" s="2"/>
      <c r="W954" s="34"/>
      <c r="X954" s="23"/>
      <c r="Y954" s="34"/>
      <c r="Z954" s="23"/>
      <c r="AA954" s="2"/>
      <c r="AC954" s="244"/>
    </row>
    <row r="955" spans="10:29">
      <c r="J955" s="412">
        <v>42198</v>
      </c>
      <c r="K955" s="413">
        <v>19.563279000000001</v>
      </c>
      <c r="L955" s="30">
        <f t="shared" si="40"/>
        <v>-5.0278136546437111E-4</v>
      </c>
      <c r="M955" s="414">
        <v>2099.6000979999999</v>
      </c>
      <c r="N955" s="31">
        <f t="shared" si="41"/>
        <v>-4.433416257966079E-3</v>
      </c>
      <c r="Q955" s="34"/>
      <c r="R955" s="23"/>
      <c r="S955" s="34"/>
      <c r="T955" s="23"/>
      <c r="U955" s="2"/>
      <c r="W955" s="34"/>
      <c r="X955" s="23"/>
      <c r="Y955" s="34"/>
      <c r="Z955" s="23"/>
      <c r="AA955" s="2"/>
      <c r="AC955" s="244"/>
    </row>
    <row r="956" spans="10:29">
      <c r="J956" s="412">
        <v>42199</v>
      </c>
      <c r="K956" s="413">
        <v>19.573119999999999</v>
      </c>
      <c r="L956" s="30">
        <f t="shared" si="40"/>
        <v>7.088577921746754E-3</v>
      </c>
      <c r="M956" s="414">
        <v>2108.9499510000001</v>
      </c>
      <c r="N956" s="31">
        <f t="shared" si="41"/>
        <v>7.3552674958791205E-4</v>
      </c>
      <c r="Q956" s="34"/>
      <c r="R956" s="23"/>
      <c r="S956" s="34"/>
      <c r="T956" s="23"/>
      <c r="U956" s="2"/>
      <c r="W956" s="34"/>
      <c r="X956" s="23"/>
      <c r="Y956" s="34"/>
      <c r="Z956" s="23"/>
      <c r="AA956" s="2"/>
      <c r="AC956" s="244"/>
    </row>
    <row r="957" spans="10:29">
      <c r="J957" s="412">
        <v>42200</v>
      </c>
      <c r="K957" s="413">
        <v>19.435351000000001</v>
      </c>
      <c r="L957" s="30">
        <f t="shared" si="40"/>
        <v>-2.1792961979060062E-2</v>
      </c>
      <c r="M957" s="414">
        <v>2107.3999020000001</v>
      </c>
      <c r="N957" s="31">
        <f t="shared" si="41"/>
        <v>-7.9509561735509639E-3</v>
      </c>
      <c r="Q957" s="34"/>
      <c r="R957" s="23"/>
      <c r="S957" s="34"/>
      <c r="T957" s="23"/>
      <c r="U957" s="2"/>
      <c r="W957" s="34"/>
      <c r="X957" s="23"/>
      <c r="Y957" s="34"/>
      <c r="Z957" s="23"/>
      <c r="AA957" s="2"/>
      <c r="AC957" s="244"/>
    </row>
    <row r="958" spans="10:29">
      <c r="J958" s="412">
        <v>42201</v>
      </c>
      <c r="K958" s="413">
        <v>19.868341000000001</v>
      </c>
      <c r="L958" s="30">
        <f t="shared" si="40"/>
        <v>5.9791135829558644E-3</v>
      </c>
      <c r="M958" s="414">
        <v>2124.290039</v>
      </c>
      <c r="N958" s="31">
        <f t="shared" si="41"/>
        <v>-1.1049609328475296E-3</v>
      </c>
      <c r="Q958" s="34"/>
      <c r="R958" s="23"/>
      <c r="S958" s="34"/>
      <c r="T958" s="23"/>
      <c r="U958" s="2"/>
      <c r="W958" s="34"/>
      <c r="X958" s="23"/>
      <c r="Y958" s="34"/>
      <c r="Z958" s="23"/>
      <c r="AA958" s="2"/>
      <c r="AC958" s="244"/>
    </row>
    <row r="959" spans="10:29">
      <c r="J959" s="412">
        <v>42202</v>
      </c>
      <c r="K959" s="413">
        <v>19.750252</v>
      </c>
      <c r="L959" s="30">
        <f t="shared" si="40"/>
        <v>1.8781657913681516E-2</v>
      </c>
      <c r="M959" s="414">
        <v>2126.639893</v>
      </c>
      <c r="N959" s="31">
        <f t="shared" si="41"/>
        <v>-7.7063919110805326E-4</v>
      </c>
      <c r="Q959" s="34"/>
      <c r="R959" s="23"/>
      <c r="S959" s="34"/>
      <c r="T959" s="23"/>
      <c r="U959" s="2"/>
      <c r="W959" s="34"/>
      <c r="X959" s="23"/>
      <c r="Y959" s="34"/>
      <c r="Z959" s="23"/>
      <c r="AA959" s="2"/>
      <c r="AC959" s="244"/>
    </row>
    <row r="960" spans="10:29">
      <c r="J960" s="412">
        <v>42205</v>
      </c>
      <c r="K960" s="413">
        <v>19.386147999999999</v>
      </c>
      <c r="L960" s="30">
        <f t="shared" si="40"/>
        <v>-4.5477432942019145E-3</v>
      </c>
      <c r="M960" s="414">
        <v>2128.280029</v>
      </c>
      <c r="N960" s="31">
        <f t="shared" si="41"/>
        <v>4.2799289201717718E-3</v>
      </c>
      <c r="Q960" s="34"/>
      <c r="R960" s="23"/>
      <c r="S960" s="34"/>
      <c r="T960" s="23"/>
      <c r="U960" s="2"/>
      <c r="W960" s="34"/>
      <c r="X960" s="23"/>
      <c r="Y960" s="34"/>
      <c r="Z960" s="23"/>
      <c r="AA960" s="2"/>
      <c r="AC960" s="244"/>
    </row>
    <row r="961" spans="10:29">
      <c r="J961" s="412">
        <v>42206</v>
      </c>
      <c r="K961" s="413">
        <v>19.474713999999999</v>
      </c>
      <c r="L961" s="30">
        <f t="shared" si="40"/>
        <v>1.9577590784705012E-2</v>
      </c>
      <c r="M961" s="414">
        <v>2119.209961</v>
      </c>
      <c r="N961" s="31">
        <f t="shared" si="41"/>
        <v>2.3934248915902607E-3</v>
      </c>
      <c r="Q961" s="34"/>
      <c r="R961" s="23"/>
      <c r="S961" s="34"/>
      <c r="T961" s="23"/>
      <c r="U961" s="2"/>
      <c r="W961" s="34"/>
      <c r="X961" s="23"/>
      <c r="Y961" s="34"/>
      <c r="Z961" s="23"/>
      <c r="AA961" s="2"/>
      <c r="AC961" s="244"/>
    </row>
    <row r="962" spans="10:29">
      <c r="J962" s="412">
        <v>42207</v>
      </c>
      <c r="K962" s="413">
        <v>19.100767000000001</v>
      </c>
      <c r="L962" s="30">
        <f t="shared" si="40"/>
        <v>-1.2213770697168998E-2</v>
      </c>
      <c r="M962" s="414">
        <v>2114.1499020000001</v>
      </c>
      <c r="N962" s="31">
        <f t="shared" si="41"/>
        <v>5.7084416237791202E-3</v>
      </c>
      <c r="Q962" s="34"/>
      <c r="R962" s="23"/>
      <c r="S962" s="34"/>
      <c r="T962" s="23"/>
      <c r="U962" s="2"/>
      <c r="W962" s="34"/>
      <c r="X962" s="23"/>
      <c r="Y962" s="34"/>
      <c r="Z962" s="23"/>
      <c r="AA962" s="2"/>
      <c r="AC962" s="244"/>
    </row>
    <row r="963" spans="10:29">
      <c r="J963" s="412">
        <v>42208</v>
      </c>
      <c r="K963" s="413">
        <v>19.336943999999999</v>
      </c>
      <c r="L963" s="30">
        <f t="shared" si="40"/>
        <v>1.1843474577051651E-2</v>
      </c>
      <c r="M963" s="414">
        <v>2102.1499020000001</v>
      </c>
      <c r="N963" s="31">
        <f t="shared" si="41"/>
        <v>1.0819128728523844E-2</v>
      </c>
      <c r="Q963" s="34"/>
      <c r="R963" s="23"/>
      <c r="S963" s="34"/>
      <c r="T963" s="23"/>
      <c r="U963" s="2"/>
      <c r="W963" s="34"/>
      <c r="X963" s="23"/>
      <c r="Y963" s="34"/>
      <c r="Z963" s="23"/>
      <c r="AA963" s="2"/>
      <c r="AC963" s="244"/>
    </row>
    <row r="964" spans="10:29">
      <c r="J964" s="412">
        <v>42209</v>
      </c>
      <c r="K964" s="413">
        <v>19.110607999999999</v>
      </c>
      <c r="L964" s="30">
        <f t="shared" si="40"/>
        <v>5.6965555857272296E-3</v>
      </c>
      <c r="M964" s="414">
        <v>2079.6499020000001</v>
      </c>
      <c r="N964" s="31">
        <f t="shared" si="41"/>
        <v>5.8085593340794E-3</v>
      </c>
      <c r="Q964" s="34"/>
      <c r="R964" s="23"/>
      <c r="S964" s="34"/>
      <c r="T964" s="23"/>
      <c r="U964" s="2"/>
      <c r="W964" s="34"/>
      <c r="X964" s="23"/>
      <c r="Y964" s="34"/>
      <c r="Z964" s="23"/>
      <c r="AA964" s="2"/>
      <c r="AC964" s="244"/>
    </row>
    <row r="965" spans="10:29">
      <c r="J965" s="412">
        <v>42212</v>
      </c>
      <c r="K965" s="413">
        <v>19.002359999999999</v>
      </c>
      <c r="L965" s="30">
        <f t="shared" si="40"/>
        <v>-2.1287394217526148E-2</v>
      </c>
      <c r="M965" s="414">
        <v>2067.639893</v>
      </c>
      <c r="N965" s="31">
        <f t="shared" si="41"/>
        <v>-1.2234614594530024E-2</v>
      </c>
      <c r="Q965" s="34"/>
      <c r="R965" s="23"/>
      <c r="S965" s="34"/>
      <c r="T965" s="23"/>
      <c r="U965" s="2"/>
      <c r="W965" s="34"/>
      <c r="X965" s="23"/>
      <c r="Y965" s="34"/>
      <c r="Z965" s="23"/>
      <c r="AA965" s="2"/>
      <c r="AC965" s="244"/>
    </row>
    <row r="966" spans="10:29">
      <c r="J966" s="412">
        <v>42213</v>
      </c>
      <c r="K966" s="413">
        <v>19.415669000000001</v>
      </c>
      <c r="L966" s="30">
        <f t="shared" si="40"/>
        <v>-1.2018006451811541E-2</v>
      </c>
      <c r="M966" s="414">
        <v>2093.25</v>
      </c>
      <c r="N966" s="31">
        <f t="shared" si="41"/>
        <v>-7.2656195933442375E-3</v>
      </c>
      <c r="Q966" s="34"/>
      <c r="R966" s="23"/>
      <c r="S966" s="34"/>
      <c r="T966" s="23"/>
      <c r="U966" s="2"/>
      <c r="W966" s="34"/>
      <c r="X966" s="23"/>
      <c r="Y966" s="34"/>
      <c r="Z966" s="23"/>
      <c r="AA966" s="2"/>
      <c r="AC966" s="244"/>
    </row>
    <row r="967" spans="10:29">
      <c r="J967" s="412">
        <v>42214</v>
      </c>
      <c r="K967" s="413">
        <v>19.651845000000002</v>
      </c>
      <c r="L967" s="30">
        <f t="shared" si="40"/>
        <v>-2.4975826161548272E-3</v>
      </c>
      <c r="M967" s="414">
        <v>2108.570068</v>
      </c>
      <c r="N967" s="31">
        <f t="shared" si="41"/>
        <v>-2.8366761033933164E-5</v>
      </c>
      <c r="Q967" s="34"/>
      <c r="R967" s="23"/>
      <c r="S967" s="34"/>
      <c r="T967" s="23"/>
      <c r="U967" s="2"/>
      <c r="W967" s="34"/>
      <c r="X967" s="23"/>
      <c r="Y967" s="34"/>
      <c r="Z967" s="23"/>
      <c r="AA967" s="2"/>
      <c r="AC967" s="244"/>
    </row>
    <row r="968" spans="10:29">
      <c r="J968" s="412">
        <v>42215</v>
      </c>
      <c r="K968" s="413">
        <v>19.701049999999999</v>
      </c>
      <c r="L968" s="30">
        <f t="shared" ref="L968:L1031" si="42">(K968-K969)/K969</f>
        <v>3.5087826533649288E-3</v>
      </c>
      <c r="M968" s="414">
        <v>2108.6298830000001</v>
      </c>
      <c r="N968" s="31">
        <f t="shared" si="41"/>
        <v>2.2766915733379352E-3</v>
      </c>
      <c r="Q968" s="34"/>
      <c r="R968" s="23"/>
      <c r="S968" s="34"/>
      <c r="T968" s="23"/>
      <c r="U968" s="2"/>
      <c r="W968" s="34"/>
      <c r="X968" s="23"/>
      <c r="Y968" s="34"/>
      <c r="Z968" s="23"/>
      <c r="AA968" s="2"/>
      <c r="AC968" s="244"/>
    </row>
    <row r="969" spans="10:29">
      <c r="J969" s="412">
        <v>42216</v>
      </c>
      <c r="K969" s="413">
        <v>19.632165000000001</v>
      </c>
      <c r="L969" s="30">
        <f t="shared" si="42"/>
        <v>-1.6757059449187223E-2</v>
      </c>
      <c r="M969" s="414">
        <v>2103.8400879999999</v>
      </c>
      <c r="N969" s="31">
        <f t="shared" si="41"/>
        <v>2.7645082515986934E-3</v>
      </c>
      <c r="Q969" s="34"/>
      <c r="R969" s="23"/>
      <c r="S969" s="34"/>
      <c r="T969" s="23"/>
      <c r="U969" s="2"/>
      <c r="W969" s="34"/>
      <c r="X969" s="23"/>
      <c r="Y969" s="34"/>
      <c r="Z969" s="23"/>
      <c r="AA969" s="2"/>
      <c r="AC969" s="244"/>
    </row>
    <row r="970" spans="10:29">
      <c r="J970" s="412">
        <v>42219</v>
      </c>
      <c r="K970" s="413">
        <v>19.966749</v>
      </c>
      <c r="L970" s="30">
        <f t="shared" si="42"/>
        <v>-3.9273204514893786E-3</v>
      </c>
      <c r="M970" s="414">
        <v>2098.040039</v>
      </c>
      <c r="N970" s="31">
        <f t="shared" ref="N970:N1033" si="43">(M970-M971)/M971</f>
        <v>2.2547775049562976E-3</v>
      </c>
      <c r="Q970" s="34"/>
      <c r="R970" s="23"/>
      <c r="S970" s="34"/>
      <c r="T970" s="23"/>
      <c r="U970" s="2"/>
      <c r="W970" s="34"/>
      <c r="X970" s="23"/>
      <c r="Y970" s="34"/>
      <c r="Z970" s="23"/>
      <c r="AA970" s="2"/>
      <c r="AC970" s="244"/>
    </row>
    <row r="971" spans="10:29">
      <c r="J971" s="412">
        <v>42220</v>
      </c>
      <c r="K971" s="413">
        <v>20.045473999999999</v>
      </c>
      <c r="L971" s="30">
        <f t="shared" si="42"/>
        <v>-1.020401462029163E-2</v>
      </c>
      <c r="M971" s="414">
        <v>2093.320068</v>
      </c>
      <c r="N971" s="31">
        <f t="shared" si="43"/>
        <v>-3.1050078704850078E-3</v>
      </c>
      <c r="Q971" s="34"/>
      <c r="R971" s="23"/>
      <c r="S971" s="34"/>
      <c r="T971" s="23"/>
      <c r="U971" s="2"/>
      <c r="W971" s="34"/>
      <c r="X971" s="23"/>
      <c r="Y971" s="34"/>
      <c r="Z971" s="23"/>
      <c r="AA971" s="2"/>
      <c r="AC971" s="244"/>
    </row>
    <row r="972" spans="10:29">
      <c r="J972" s="412">
        <v>42221</v>
      </c>
      <c r="K972" s="413">
        <v>20.252127000000002</v>
      </c>
      <c r="L972" s="30">
        <f t="shared" si="42"/>
        <v>6.3569238209183233E-3</v>
      </c>
      <c r="M972" s="414">
        <v>2099.8400879999999</v>
      </c>
      <c r="N972" s="31">
        <f t="shared" si="43"/>
        <v>7.8135635830020554E-3</v>
      </c>
      <c r="Q972" s="34"/>
      <c r="R972" s="23"/>
      <c r="S972" s="34"/>
      <c r="T972" s="23"/>
      <c r="U972" s="2"/>
      <c r="W972" s="34"/>
      <c r="X972" s="23"/>
      <c r="Y972" s="34"/>
      <c r="Z972" s="23"/>
      <c r="AA972" s="2"/>
      <c r="AC972" s="244"/>
    </row>
    <row r="973" spans="10:29">
      <c r="J973" s="412">
        <v>42222</v>
      </c>
      <c r="K973" s="413">
        <v>20.124199000000001</v>
      </c>
      <c r="L973" s="30">
        <f t="shared" si="42"/>
        <v>-0.11009569295261917</v>
      </c>
      <c r="M973" s="414">
        <v>2083.5600589999999</v>
      </c>
      <c r="N973" s="31">
        <f t="shared" si="43"/>
        <v>2.8831715917847535E-3</v>
      </c>
      <c r="Q973" s="34"/>
      <c r="R973" s="23"/>
      <c r="S973" s="34"/>
      <c r="T973" s="23"/>
      <c r="U973" s="2"/>
      <c r="W973" s="34"/>
      <c r="X973" s="23"/>
      <c r="Y973" s="34"/>
      <c r="Z973" s="23"/>
      <c r="AA973" s="2"/>
      <c r="AC973" s="244"/>
    </row>
    <row r="974" spans="10:29">
      <c r="J974" s="412">
        <v>42223</v>
      </c>
      <c r="K974" s="413">
        <v>22.613890999999999</v>
      </c>
      <c r="L974" s="30">
        <f t="shared" si="42"/>
        <v>-3.3641769781626633E-2</v>
      </c>
      <c r="M974" s="414">
        <v>2077.570068</v>
      </c>
      <c r="N974" s="31">
        <f t="shared" si="43"/>
        <v>-1.2646192274397195E-2</v>
      </c>
      <c r="Q974" s="34"/>
      <c r="R974" s="23"/>
      <c r="S974" s="34"/>
      <c r="T974" s="23"/>
      <c r="U974" s="2"/>
      <c r="W974" s="34"/>
      <c r="X974" s="23"/>
      <c r="Y974" s="34"/>
      <c r="Z974" s="23"/>
      <c r="AA974" s="2"/>
      <c r="AC974" s="244"/>
    </row>
    <row r="975" spans="10:29">
      <c r="J975" s="412">
        <v>42226</v>
      </c>
      <c r="K975" s="413">
        <v>23.401147000000002</v>
      </c>
      <c r="L975" s="30">
        <f t="shared" si="42"/>
        <v>5.0718853167827536E-3</v>
      </c>
      <c r="M975" s="414">
        <v>2104.179932</v>
      </c>
      <c r="N975" s="31">
        <f t="shared" si="43"/>
        <v>9.6493224046438428E-3</v>
      </c>
      <c r="Q975" s="34"/>
      <c r="R975" s="23"/>
      <c r="S975" s="34"/>
      <c r="T975" s="23"/>
      <c r="U975" s="2"/>
      <c r="W975" s="34"/>
      <c r="X975" s="23"/>
      <c r="Y975" s="34"/>
      <c r="Z975" s="23"/>
      <c r="AA975" s="2"/>
      <c r="AC975" s="244"/>
    </row>
    <row r="976" spans="10:29">
      <c r="J976" s="412">
        <v>42227</v>
      </c>
      <c r="K976" s="413">
        <v>23.283058</v>
      </c>
      <c r="L976" s="30">
        <f t="shared" si="42"/>
        <v>-2.5295065542940433E-3</v>
      </c>
      <c r="M976" s="414">
        <v>2084.070068</v>
      </c>
      <c r="N976" s="31">
        <f t="shared" si="43"/>
        <v>-9.4915316195270851E-4</v>
      </c>
      <c r="Q976" s="34"/>
      <c r="R976" s="23"/>
      <c r="S976" s="34"/>
      <c r="T976" s="23"/>
      <c r="U976" s="2"/>
      <c r="W976" s="34"/>
      <c r="X976" s="23"/>
      <c r="Y976" s="34"/>
      <c r="Z976" s="23"/>
      <c r="AA976" s="2"/>
      <c r="AC976" s="244"/>
    </row>
    <row r="977" spans="10:29">
      <c r="J977" s="412">
        <v>42228</v>
      </c>
      <c r="K977" s="413">
        <v>23.342102000000001</v>
      </c>
      <c r="L977" s="30">
        <f t="shared" si="42"/>
        <v>8.5033718956804717E-3</v>
      </c>
      <c r="M977" s="414">
        <v>2086.0500489999999</v>
      </c>
      <c r="N977" s="31">
        <f t="shared" si="43"/>
        <v>1.2768402155246105E-3</v>
      </c>
      <c r="Q977" s="34"/>
      <c r="R977" s="23"/>
      <c r="S977" s="34"/>
      <c r="T977" s="23"/>
      <c r="U977" s="2"/>
      <c r="W977" s="34"/>
      <c r="X977" s="23"/>
      <c r="Y977" s="34"/>
      <c r="Z977" s="23"/>
      <c r="AA977" s="2"/>
      <c r="AC977" s="244"/>
    </row>
    <row r="978" spans="10:29">
      <c r="J978" s="412">
        <v>42229</v>
      </c>
      <c r="K978" s="413">
        <v>23.145288999999998</v>
      </c>
      <c r="L978" s="30">
        <f t="shared" si="42"/>
        <v>-8.4964492293139861E-4</v>
      </c>
      <c r="M978" s="414">
        <v>2083.389893</v>
      </c>
      <c r="N978" s="31">
        <f t="shared" si="43"/>
        <v>-3.8967200474424911E-3</v>
      </c>
      <c r="Q978" s="34"/>
      <c r="R978" s="23"/>
      <c r="S978" s="34"/>
      <c r="T978" s="23"/>
      <c r="U978" s="2"/>
      <c r="W978" s="34"/>
      <c r="X978" s="23"/>
      <c r="Y978" s="34"/>
      <c r="Z978" s="23"/>
      <c r="AA978" s="2"/>
      <c r="AC978" s="244"/>
    </row>
    <row r="979" spans="10:29">
      <c r="J979" s="412">
        <v>42230</v>
      </c>
      <c r="K979" s="413">
        <v>23.164971000000001</v>
      </c>
      <c r="L979" s="30">
        <f t="shared" si="42"/>
        <v>6.4130728464548131E-3</v>
      </c>
      <c r="M979" s="414">
        <v>2091.540039</v>
      </c>
      <c r="N979" s="31">
        <f t="shared" si="43"/>
        <v>-5.1844058835829121E-3</v>
      </c>
      <c r="Q979" s="34"/>
      <c r="R979" s="23"/>
      <c r="S979" s="34"/>
      <c r="T979" s="23"/>
      <c r="U979" s="2"/>
      <c r="W979" s="34"/>
      <c r="X979" s="23"/>
      <c r="Y979" s="34"/>
      <c r="Z979" s="23"/>
      <c r="AA979" s="2"/>
      <c r="AC979" s="244"/>
    </row>
    <row r="980" spans="10:29">
      <c r="J980" s="412">
        <v>42233</v>
      </c>
      <c r="K980" s="413">
        <v>23.017358999999999</v>
      </c>
      <c r="L980" s="30">
        <f t="shared" si="42"/>
        <v>9.185474585118843E-3</v>
      </c>
      <c r="M980" s="414">
        <v>2102.4399410000001</v>
      </c>
      <c r="N980" s="31">
        <f t="shared" si="43"/>
        <v>2.6324414881495162E-3</v>
      </c>
      <c r="Q980" s="34"/>
      <c r="R980" s="23"/>
      <c r="S980" s="34"/>
      <c r="T980" s="23"/>
      <c r="U980" s="2"/>
      <c r="W980" s="34"/>
      <c r="X980" s="23"/>
      <c r="Y980" s="34"/>
      <c r="Z980" s="23"/>
      <c r="AA980" s="2"/>
      <c r="AC980" s="244"/>
    </row>
    <row r="981" spans="10:29">
      <c r="J981" s="412">
        <v>42234</v>
      </c>
      <c r="K981" s="413">
        <v>22.807858</v>
      </c>
      <c r="L981" s="30">
        <f t="shared" si="42"/>
        <v>3.9147549229785047E-3</v>
      </c>
      <c r="M981" s="414">
        <v>2096.919922</v>
      </c>
      <c r="N981" s="31">
        <f t="shared" si="43"/>
        <v>8.3235866866269628E-3</v>
      </c>
      <c r="Q981" s="34"/>
      <c r="R981" s="23"/>
      <c r="S981" s="34"/>
      <c r="T981" s="23"/>
      <c r="U981" s="2"/>
      <c r="W981" s="34"/>
      <c r="X981" s="23"/>
      <c r="Y981" s="34"/>
      <c r="Z981" s="23"/>
      <c r="AA981" s="2"/>
      <c r="AC981" s="244"/>
    </row>
    <row r="982" spans="10:29">
      <c r="J982" s="412">
        <v>42235</v>
      </c>
      <c r="K982" s="413">
        <v>22.718919</v>
      </c>
      <c r="L982" s="30">
        <f t="shared" si="42"/>
        <v>3.7454861488162766E-2</v>
      </c>
      <c r="M982" s="414">
        <v>2079.610107</v>
      </c>
      <c r="N982" s="31">
        <f t="shared" si="43"/>
        <v>2.1554983927681754E-2</v>
      </c>
      <c r="Q982" s="34"/>
      <c r="R982" s="23"/>
      <c r="S982" s="34"/>
      <c r="T982" s="23"/>
      <c r="U982" s="2"/>
      <c r="W982" s="34"/>
      <c r="X982" s="23"/>
      <c r="Y982" s="34"/>
      <c r="Z982" s="23"/>
      <c r="AA982" s="2"/>
      <c r="AC982" s="244"/>
    </row>
    <row r="983" spans="10:29">
      <c r="J983" s="412">
        <v>42236</v>
      </c>
      <c r="K983" s="413">
        <v>21.898706000000001</v>
      </c>
      <c r="L983" s="30">
        <f t="shared" si="42"/>
        <v>3.2137864815131346E-2</v>
      </c>
      <c r="M983" s="414">
        <v>2035.7299800000001</v>
      </c>
      <c r="N983" s="31">
        <f t="shared" si="43"/>
        <v>3.289882464598113E-2</v>
      </c>
      <c r="Q983" s="34"/>
      <c r="R983" s="23"/>
      <c r="S983" s="34"/>
      <c r="T983" s="23"/>
      <c r="U983" s="2"/>
      <c r="W983" s="34"/>
      <c r="X983" s="23"/>
      <c r="Y983" s="34"/>
      <c r="Z983" s="23"/>
      <c r="AA983" s="2"/>
      <c r="AC983" s="244"/>
    </row>
    <row r="984" spans="10:29">
      <c r="J984" s="412">
        <v>42237</v>
      </c>
      <c r="K984" s="413">
        <v>21.216842</v>
      </c>
      <c r="L984" s="30">
        <f t="shared" si="42"/>
        <v>3.669726518915474E-2</v>
      </c>
      <c r="M984" s="414">
        <v>1970.8900149999999</v>
      </c>
      <c r="N984" s="31">
        <f t="shared" si="43"/>
        <v>4.1030871166011111E-2</v>
      </c>
      <c r="Q984" s="34"/>
      <c r="R984" s="23"/>
      <c r="S984" s="34"/>
      <c r="T984" s="23"/>
      <c r="U984" s="2"/>
      <c r="W984" s="34"/>
      <c r="X984" s="23"/>
      <c r="Y984" s="34"/>
      <c r="Z984" s="23"/>
      <c r="AA984" s="2"/>
      <c r="AC984" s="244"/>
    </row>
    <row r="985" spans="10:29">
      <c r="J985" s="412">
        <v>42240</v>
      </c>
      <c r="K985" s="413">
        <v>20.465803000000001</v>
      </c>
      <c r="L985" s="30">
        <f t="shared" si="42"/>
        <v>2.1203066233385585E-2</v>
      </c>
      <c r="M985" s="414">
        <v>1893.209961</v>
      </c>
      <c r="N985" s="31">
        <f t="shared" si="43"/>
        <v>1.3707345862150104E-2</v>
      </c>
      <c r="Q985" s="34"/>
      <c r="R985" s="23"/>
      <c r="S985" s="34"/>
      <c r="T985" s="23"/>
      <c r="U985" s="2"/>
      <c r="W985" s="34"/>
      <c r="X985" s="23"/>
      <c r="Y985" s="34"/>
      <c r="Z985" s="23"/>
      <c r="AA985" s="2"/>
      <c r="AC985" s="244"/>
    </row>
    <row r="986" spans="10:29">
      <c r="J986" s="412">
        <v>42241</v>
      </c>
      <c r="K986" s="413">
        <v>20.040875</v>
      </c>
      <c r="L986" s="30">
        <f t="shared" si="42"/>
        <v>-7.0151241834426128E-2</v>
      </c>
      <c r="M986" s="414">
        <v>1867.6099850000001</v>
      </c>
      <c r="N986" s="31">
        <f t="shared" si="43"/>
        <v>-3.7567456299800232E-2</v>
      </c>
      <c r="Q986" s="34"/>
      <c r="R986" s="23"/>
      <c r="S986" s="34"/>
      <c r="T986" s="23"/>
      <c r="U986" s="2"/>
      <c r="W986" s="34"/>
      <c r="X986" s="23"/>
      <c r="Y986" s="34"/>
      <c r="Z986" s="23"/>
      <c r="AA986" s="2"/>
      <c r="AC986" s="244"/>
    </row>
    <row r="987" spans="10:29">
      <c r="J987" s="412">
        <v>42242</v>
      </c>
      <c r="K987" s="413">
        <v>21.552833</v>
      </c>
      <c r="L987" s="30">
        <f t="shared" si="42"/>
        <v>-3.6235078363687778E-2</v>
      </c>
      <c r="M987" s="414">
        <v>1940.51001</v>
      </c>
      <c r="N987" s="31">
        <f t="shared" si="43"/>
        <v>-2.3721372464844775E-2</v>
      </c>
      <c r="Q987" s="34"/>
      <c r="R987" s="23"/>
      <c r="S987" s="34"/>
      <c r="T987" s="23"/>
      <c r="U987" s="2"/>
      <c r="W987" s="34"/>
      <c r="X987" s="23"/>
      <c r="Y987" s="34"/>
      <c r="Z987" s="23"/>
      <c r="AA987" s="2"/>
      <c r="AC987" s="244"/>
    </row>
    <row r="988" spans="10:29">
      <c r="J988" s="412">
        <v>42243</v>
      </c>
      <c r="K988" s="413">
        <v>22.363164000000001</v>
      </c>
      <c r="L988" s="30">
        <f t="shared" si="42"/>
        <v>-4.3994776062755538E-3</v>
      </c>
      <c r="M988" s="414">
        <v>1987.660034</v>
      </c>
      <c r="N988" s="31">
        <f t="shared" si="43"/>
        <v>-6.0836605863724192E-4</v>
      </c>
      <c r="Q988" s="34"/>
      <c r="R988" s="23"/>
      <c r="S988" s="34"/>
      <c r="T988" s="23"/>
      <c r="U988" s="2"/>
      <c r="W988" s="34"/>
      <c r="X988" s="23"/>
      <c r="Y988" s="34"/>
      <c r="Z988" s="23"/>
      <c r="AA988" s="2"/>
      <c r="AC988" s="244"/>
    </row>
    <row r="989" spans="10:29">
      <c r="J989" s="412">
        <v>42244</v>
      </c>
      <c r="K989" s="413">
        <v>22.461984999999999</v>
      </c>
      <c r="L989" s="30">
        <f t="shared" si="42"/>
        <v>1.1120987850829893E-2</v>
      </c>
      <c r="M989" s="414">
        <v>1988.869995</v>
      </c>
      <c r="N989" s="31">
        <f t="shared" si="43"/>
        <v>8.462686237065092E-3</v>
      </c>
      <c r="Q989" s="34"/>
      <c r="R989" s="23"/>
      <c r="S989" s="34"/>
      <c r="T989" s="23"/>
      <c r="U989" s="2"/>
      <c r="W989" s="34"/>
      <c r="X989" s="23"/>
      <c r="Y989" s="34"/>
      <c r="Z989" s="23"/>
      <c r="AA989" s="2"/>
      <c r="AC989" s="244"/>
    </row>
    <row r="990" spans="10:29">
      <c r="J990" s="412">
        <v>42247</v>
      </c>
      <c r="K990" s="413">
        <v>22.214932999999998</v>
      </c>
      <c r="L990" s="30">
        <f t="shared" si="42"/>
        <v>4.2671611052418068E-2</v>
      </c>
      <c r="M990" s="414">
        <v>1972.1800539999999</v>
      </c>
      <c r="N990" s="31">
        <f t="shared" si="43"/>
        <v>3.0477873778754307E-2</v>
      </c>
      <c r="Q990" s="34"/>
      <c r="R990" s="23"/>
      <c r="S990" s="34"/>
      <c r="T990" s="23"/>
      <c r="U990" s="2"/>
      <c r="W990" s="34"/>
      <c r="X990" s="23"/>
      <c r="Y990" s="34"/>
      <c r="Z990" s="23"/>
      <c r="AA990" s="2"/>
      <c r="AC990" s="244"/>
    </row>
    <row r="991" spans="10:29">
      <c r="J991" s="412">
        <v>42248</v>
      </c>
      <c r="K991" s="413">
        <v>21.305781</v>
      </c>
      <c r="L991" s="30">
        <f t="shared" si="42"/>
        <v>-2.9266065479150886E-2</v>
      </c>
      <c r="M991" s="414">
        <v>1913.849976</v>
      </c>
      <c r="N991" s="31">
        <f t="shared" si="43"/>
        <v>-1.7964353144641163E-2</v>
      </c>
      <c r="Q991" s="34"/>
      <c r="R991" s="23"/>
      <c r="S991" s="34"/>
      <c r="T991" s="23"/>
      <c r="U991" s="2"/>
      <c r="W991" s="34"/>
      <c r="X991" s="23"/>
      <c r="Y991" s="34"/>
      <c r="Z991" s="23"/>
      <c r="AA991" s="2"/>
      <c r="AC991" s="244"/>
    </row>
    <row r="992" spans="10:29">
      <c r="J992" s="412">
        <v>42249</v>
      </c>
      <c r="K992" s="413">
        <v>21.948115999999999</v>
      </c>
      <c r="L992" s="30">
        <f t="shared" si="42"/>
        <v>-2.6942743375981677E-3</v>
      </c>
      <c r="M992" s="414">
        <v>1948.8599850000001</v>
      </c>
      <c r="N992" s="31">
        <f t="shared" si="43"/>
        <v>-1.1634386197653351E-3</v>
      </c>
      <c r="Q992" s="34"/>
      <c r="R992" s="23"/>
      <c r="S992" s="34"/>
      <c r="T992" s="23"/>
      <c r="U992" s="2"/>
      <c r="W992" s="34"/>
      <c r="X992" s="23"/>
      <c r="Y992" s="34"/>
      <c r="Z992" s="23"/>
      <c r="AA992" s="2"/>
      <c r="AC992" s="244"/>
    </row>
    <row r="993" spans="10:29">
      <c r="J993" s="412">
        <v>42250</v>
      </c>
      <c r="K993" s="413">
        <v>22.00741</v>
      </c>
      <c r="L993" s="30">
        <f t="shared" si="42"/>
        <v>2.3908066148802549E-2</v>
      </c>
      <c r="M993" s="414">
        <v>1951.130005</v>
      </c>
      <c r="N993" s="31">
        <f t="shared" si="43"/>
        <v>1.5568250617565539E-2</v>
      </c>
      <c r="Q993" s="34"/>
      <c r="R993" s="23"/>
      <c r="S993" s="34"/>
      <c r="T993" s="23"/>
      <c r="U993" s="2"/>
      <c r="W993" s="34"/>
      <c r="X993" s="23"/>
      <c r="Y993" s="34"/>
      <c r="Z993" s="23"/>
      <c r="AA993" s="2"/>
      <c r="AC993" s="244"/>
    </row>
    <row r="994" spans="10:29">
      <c r="J994" s="412">
        <v>42251</v>
      </c>
      <c r="K994" s="413">
        <v>21.493541</v>
      </c>
      <c r="L994" s="30">
        <f t="shared" si="42"/>
        <v>-4.1005283864080762E-2</v>
      </c>
      <c r="M994" s="414">
        <v>1921.219971</v>
      </c>
      <c r="N994" s="31">
        <f t="shared" si="43"/>
        <v>-2.4469288857091306E-2</v>
      </c>
      <c r="Q994" s="34"/>
      <c r="R994" s="23"/>
      <c r="S994" s="34"/>
      <c r="T994" s="23"/>
      <c r="U994" s="2"/>
      <c r="W994" s="34"/>
      <c r="X994" s="23"/>
      <c r="Y994" s="34"/>
      <c r="Z994" s="23"/>
      <c r="AA994" s="2"/>
      <c r="AC994" s="244"/>
    </row>
    <row r="995" spans="10:29">
      <c r="J995" s="412">
        <v>42255</v>
      </c>
      <c r="K995" s="413">
        <v>22.412575</v>
      </c>
      <c r="L995" s="30">
        <f t="shared" si="42"/>
        <v>2.0242917375599492E-2</v>
      </c>
      <c r="M995" s="414">
        <v>1969.410034</v>
      </c>
      <c r="N995" s="31">
        <f t="shared" si="43"/>
        <v>1.4093424672177944E-2</v>
      </c>
      <c r="Q995" s="34"/>
      <c r="R995" s="23"/>
      <c r="S995" s="34"/>
      <c r="T995" s="23"/>
      <c r="U995" s="2"/>
      <c r="W995" s="34"/>
      <c r="X995" s="23"/>
      <c r="Y995" s="34"/>
      <c r="Z995" s="23"/>
      <c r="AA995" s="2"/>
      <c r="AC995" s="244"/>
    </row>
    <row r="996" spans="10:29">
      <c r="J996" s="412">
        <v>42256</v>
      </c>
      <c r="K996" s="413">
        <v>21.967880999999998</v>
      </c>
      <c r="L996" s="30">
        <f t="shared" si="42"/>
        <v>-1.5500439773603356E-2</v>
      </c>
      <c r="M996" s="414">
        <v>1942.040039</v>
      </c>
      <c r="N996" s="31">
        <f t="shared" si="43"/>
        <v>-5.2502444796830722E-3</v>
      </c>
      <c r="Q996" s="34"/>
      <c r="R996" s="23"/>
      <c r="S996" s="34"/>
      <c r="T996" s="23"/>
      <c r="U996" s="2"/>
      <c r="W996" s="34"/>
      <c r="X996" s="23"/>
      <c r="Y996" s="34"/>
      <c r="Z996" s="23"/>
      <c r="AA996" s="2"/>
      <c r="AC996" s="244"/>
    </row>
    <row r="997" spans="10:29">
      <c r="J997" s="412">
        <v>42257</v>
      </c>
      <c r="K997" s="413">
        <v>22.313753999999999</v>
      </c>
      <c r="L997" s="30">
        <f t="shared" si="42"/>
        <v>-3.0904803875525261E-3</v>
      </c>
      <c r="M997" s="414">
        <v>1952.290039</v>
      </c>
      <c r="N997" s="31">
        <f t="shared" si="43"/>
        <v>-4.4669997099089668E-3</v>
      </c>
      <c r="Q997" s="34"/>
      <c r="R997" s="23"/>
      <c r="S997" s="34"/>
      <c r="T997" s="23"/>
      <c r="U997" s="2"/>
      <c r="W997" s="34"/>
      <c r="X997" s="23"/>
      <c r="Y997" s="34"/>
      <c r="Z997" s="23"/>
      <c r="AA997" s="2"/>
      <c r="AC997" s="244"/>
    </row>
    <row r="998" spans="10:29">
      <c r="J998" s="412">
        <v>42258</v>
      </c>
      <c r="K998" s="413">
        <v>22.382928</v>
      </c>
      <c r="L998" s="30">
        <f t="shared" si="42"/>
        <v>-1.7629646134245933E-3</v>
      </c>
      <c r="M998" s="414">
        <v>1961.0500489999999</v>
      </c>
      <c r="N998" s="31">
        <f t="shared" si="43"/>
        <v>4.1064499167513474E-3</v>
      </c>
      <c r="Q998" s="34"/>
      <c r="R998" s="23"/>
      <c r="S998" s="34"/>
      <c r="T998" s="23"/>
      <c r="U998" s="2"/>
      <c r="W998" s="34"/>
      <c r="X998" s="23"/>
      <c r="Y998" s="34"/>
      <c r="Z998" s="23"/>
      <c r="AA998" s="2"/>
      <c r="AC998" s="244"/>
    </row>
    <row r="999" spans="10:29">
      <c r="J999" s="412">
        <v>42261</v>
      </c>
      <c r="K999" s="413">
        <v>22.422457999999999</v>
      </c>
      <c r="L999" s="30">
        <f t="shared" si="42"/>
        <v>-1.0897985885005899E-2</v>
      </c>
      <c r="M999" s="414">
        <v>1953.030029</v>
      </c>
      <c r="N999" s="31">
        <f t="shared" si="43"/>
        <v>-1.2668754925578542E-2</v>
      </c>
      <c r="Q999" s="34"/>
      <c r="R999" s="23"/>
      <c r="S999" s="34"/>
      <c r="T999" s="23"/>
      <c r="U999" s="2"/>
      <c r="W999" s="34"/>
      <c r="X999" s="23"/>
      <c r="Y999" s="34"/>
      <c r="Z999" s="23"/>
      <c r="AA999" s="2"/>
      <c r="AC999" s="244"/>
    </row>
    <row r="1000" spans="10:29">
      <c r="J1000" s="412">
        <v>42262</v>
      </c>
      <c r="K1000" s="413">
        <v>22.669509999999999</v>
      </c>
      <c r="L1000" s="30">
        <f t="shared" si="42"/>
        <v>-6.9263891382821668E-3</v>
      </c>
      <c r="M1000" s="414">
        <v>1978.089966</v>
      </c>
      <c r="N1000" s="31">
        <f t="shared" si="43"/>
        <v>-8.6302842620009593E-3</v>
      </c>
      <c r="Q1000" s="34"/>
      <c r="R1000" s="23"/>
      <c r="S1000" s="34"/>
      <c r="T1000" s="23"/>
      <c r="U1000" s="2"/>
      <c r="W1000" s="34"/>
      <c r="X1000" s="23"/>
      <c r="Y1000" s="34"/>
      <c r="Z1000" s="23"/>
      <c r="AA1000" s="2"/>
      <c r="AC1000" s="244"/>
    </row>
    <row r="1001" spans="10:29">
      <c r="J1001" s="412">
        <v>42263</v>
      </c>
      <c r="K1001" s="413">
        <v>22.827622999999999</v>
      </c>
      <c r="L1001" s="30">
        <f t="shared" si="42"/>
        <v>-9.008972636856823E-3</v>
      </c>
      <c r="M1001" s="414">
        <v>1995.3100589999999</v>
      </c>
      <c r="N1001" s="31">
        <f t="shared" si="43"/>
        <v>2.5676354767430374E-3</v>
      </c>
      <c r="Q1001" s="34"/>
      <c r="R1001" s="23"/>
      <c r="S1001" s="34"/>
      <c r="T1001" s="23"/>
      <c r="U1001" s="2"/>
      <c r="W1001" s="34"/>
      <c r="X1001" s="23"/>
      <c r="Y1001" s="34"/>
      <c r="Z1001" s="23"/>
      <c r="AA1001" s="2"/>
      <c r="AC1001" s="244"/>
    </row>
    <row r="1002" spans="10:29">
      <c r="J1002" s="412">
        <v>42264</v>
      </c>
      <c r="K1002" s="413">
        <v>23.035146000000001</v>
      </c>
      <c r="L1002" s="30">
        <f t="shared" si="42"/>
        <v>8.5868655759502614E-4</v>
      </c>
      <c r="M1002" s="414">
        <v>1990.1999510000001</v>
      </c>
      <c r="N1002" s="31">
        <f t="shared" si="43"/>
        <v>1.6429738831140288E-2</v>
      </c>
      <c r="Q1002" s="34"/>
      <c r="R1002" s="23"/>
      <c r="S1002" s="34"/>
      <c r="T1002" s="23"/>
      <c r="U1002" s="2"/>
      <c r="W1002" s="34"/>
      <c r="X1002" s="23"/>
      <c r="Y1002" s="34"/>
      <c r="Z1002" s="23"/>
      <c r="AA1002" s="2"/>
      <c r="AC1002" s="244"/>
    </row>
    <row r="1003" spans="10:29">
      <c r="J1003" s="412">
        <v>42265</v>
      </c>
      <c r="K1003" s="413">
        <v>23.015383</v>
      </c>
      <c r="L1003" s="30">
        <f t="shared" si="42"/>
        <v>-1.0199740217773033E-2</v>
      </c>
      <c r="M1003" s="414">
        <v>1958.030029</v>
      </c>
      <c r="N1003" s="31">
        <f t="shared" si="43"/>
        <v>-4.5450322739065208E-3</v>
      </c>
      <c r="Q1003" s="34"/>
      <c r="R1003" s="23"/>
      <c r="S1003" s="34"/>
      <c r="T1003" s="23"/>
      <c r="U1003" s="2"/>
      <c r="W1003" s="34"/>
      <c r="X1003" s="23"/>
      <c r="Y1003" s="34"/>
      <c r="Z1003" s="23"/>
      <c r="AA1003" s="2"/>
      <c r="AC1003" s="244"/>
    </row>
    <row r="1004" spans="10:29">
      <c r="J1004" s="412">
        <v>42268</v>
      </c>
      <c r="K1004" s="413">
        <v>23.252552999999999</v>
      </c>
      <c r="L1004" s="30">
        <f t="shared" si="42"/>
        <v>2.7959870023551634E-2</v>
      </c>
      <c r="M1004" s="414">
        <v>1966.969971</v>
      </c>
      <c r="N1004" s="31">
        <f t="shared" si="43"/>
        <v>1.2472065806397464E-2</v>
      </c>
      <c r="Q1004" s="34"/>
      <c r="R1004" s="23"/>
      <c r="S1004" s="34"/>
      <c r="T1004" s="23"/>
      <c r="U1004" s="2"/>
      <c r="W1004" s="34"/>
      <c r="X1004" s="23"/>
      <c r="Y1004" s="34"/>
      <c r="Z1004" s="23"/>
      <c r="AA1004" s="2"/>
      <c r="AC1004" s="244"/>
    </row>
    <row r="1005" spans="10:29">
      <c r="J1005" s="412">
        <v>42269</v>
      </c>
      <c r="K1005" s="413">
        <v>22.620097999999999</v>
      </c>
      <c r="L1005" s="30">
        <f t="shared" si="42"/>
        <v>-4.7826541847653479E-3</v>
      </c>
      <c r="M1005" s="414">
        <v>1942.73999</v>
      </c>
      <c r="N1005" s="31">
        <f t="shared" si="43"/>
        <v>2.0528482016709581E-3</v>
      </c>
      <c r="Q1005" s="34"/>
      <c r="R1005" s="23"/>
      <c r="S1005" s="34"/>
      <c r="T1005" s="23"/>
      <c r="U1005" s="2"/>
      <c r="W1005" s="34"/>
      <c r="X1005" s="23"/>
      <c r="Y1005" s="34"/>
      <c r="Z1005" s="23"/>
      <c r="AA1005" s="2"/>
      <c r="AC1005" s="244"/>
    </row>
    <row r="1006" spans="10:29">
      <c r="J1006" s="412">
        <v>42270</v>
      </c>
      <c r="K1006" s="413">
        <v>22.728802000000002</v>
      </c>
      <c r="L1006" s="30">
        <f t="shared" si="42"/>
        <v>-1.8771336804351745E-2</v>
      </c>
      <c r="M1006" s="414">
        <v>1938.76001</v>
      </c>
      <c r="N1006" s="31">
        <f t="shared" si="43"/>
        <v>3.3743323985339583E-3</v>
      </c>
      <c r="Q1006" s="34"/>
      <c r="R1006" s="23"/>
      <c r="S1006" s="34"/>
      <c r="T1006" s="23"/>
      <c r="U1006" s="2"/>
      <c r="W1006" s="34"/>
      <c r="X1006" s="23"/>
      <c r="Y1006" s="34"/>
      <c r="Z1006" s="23"/>
      <c r="AA1006" s="2"/>
      <c r="AC1006" s="244"/>
    </row>
    <row r="1007" spans="10:29">
      <c r="J1007" s="412">
        <v>42271</v>
      </c>
      <c r="K1007" s="413">
        <v>23.163613999999999</v>
      </c>
      <c r="L1007" s="30">
        <f t="shared" si="42"/>
        <v>-7.2003603694730991E-3</v>
      </c>
      <c r="M1007" s="414">
        <v>1932.23999</v>
      </c>
      <c r="N1007" s="31">
        <f t="shared" si="43"/>
        <v>4.6601013588719488E-4</v>
      </c>
      <c r="Q1007" s="34"/>
      <c r="R1007" s="23"/>
      <c r="S1007" s="34"/>
      <c r="T1007" s="23"/>
      <c r="U1007" s="2"/>
      <c r="W1007" s="34"/>
      <c r="X1007" s="23"/>
      <c r="Y1007" s="34"/>
      <c r="Z1007" s="23"/>
      <c r="AA1007" s="2"/>
      <c r="AC1007" s="244"/>
    </row>
    <row r="1008" spans="10:29">
      <c r="J1008" s="412">
        <v>42272</v>
      </c>
      <c r="K1008" s="413">
        <v>23.331610000000001</v>
      </c>
      <c r="L1008" s="30">
        <f t="shared" si="42"/>
        <v>1.3304776874653916E-2</v>
      </c>
      <c r="M1008" s="414">
        <v>1931.339966</v>
      </c>
      <c r="N1008" s="31">
        <f t="shared" si="43"/>
        <v>2.6342191380007252E-2</v>
      </c>
      <c r="Q1008" s="34"/>
      <c r="R1008" s="23"/>
      <c r="S1008" s="34"/>
      <c r="T1008" s="23"/>
      <c r="U1008" s="2"/>
      <c r="W1008" s="34"/>
      <c r="X1008" s="23"/>
      <c r="Y1008" s="34"/>
      <c r="Z1008" s="23"/>
      <c r="AA1008" s="2"/>
      <c r="AC1008" s="244"/>
    </row>
    <row r="1009" spans="10:29">
      <c r="J1009" s="412">
        <v>42275</v>
      </c>
      <c r="K1009" s="413">
        <v>23.025264</v>
      </c>
      <c r="L1009" s="30">
        <f t="shared" si="42"/>
        <v>-1.7292257004769319E-2</v>
      </c>
      <c r="M1009" s="414">
        <v>1881.7700199999999</v>
      </c>
      <c r="N1009" s="31">
        <f t="shared" si="43"/>
        <v>-1.2313350433713168E-3</v>
      </c>
      <c r="Q1009" s="34"/>
      <c r="R1009" s="23"/>
      <c r="S1009" s="34"/>
      <c r="T1009" s="23"/>
      <c r="U1009" s="2"/>
      <c r="W1009" s="34"/>
      <c r="X1009" s="23"/>
      <c r="Y1009" s="34"/>
      <c r="Z1009" s="23"/>
      <c r="AA1009" s="2"/>
      <c r="AC1009" s="244"/>
    </row>
    <row r="1010" spans="10:29">
      <c r="J1010" s="412">
        <v>42276</v>
      </c>
      <c r="K1010" s="413">
        <v>23.430429</v>
      </c>
      <c r="L1010" s="30">
        <f t="shared" si="42"/>
        <v>-3.8133905565444923E-2</v>
      </c>
      <c r="M1010" s="414">
        <v>1884.089966</v>
      </c>
      <c r="N1010" s="31">
        <f t="shared" si="43"/>
        <v>-1.8718490053365726E-2</v>
      </c>
      <c r="Q1010" s="34"/>
      <c r="R1010" s="23"/>
      <c r="S1010" s="34"/>
      <c r="T1010" s="23"/>
      <c r="U1010" s="2"/>
      <c r="W1010" s="34"/>
      <c r="X1010" s="23"/>
      <c r="Y1010" s="34"/>
      <c r="Z1010" s="23"/>
      <c r="AA1010" s="2"/>
      <c r="AC1010" s="244"/>
    </row>
    <row r="1011" spans="10:29">
      <c r="J1011" s="412">
        <v>42277</v>
      </c>
      <c r="K1011" s="413">
        <v>24.359345999999999</v>
      </c>
      <c r="L1011" s="30">
        <f t="shared" si="42"/>
        <v>1.9859320948045732E-2</v>
      </c>
      <c r="M1011" s="414">
        <v>1920.030029</v>
      </c>
      <c r="N1011" s="31">
        <f t="shared" si="43"/>
        <v>-1.9699956889832866E-3</v>
      </c>
      <c r="Q1011" s="34"/>
      <c r="R1011" s="23"/>
      <c r="S1011" s="34"/>
      <c r="T1011" s="23"/>
      <c r="U1011" s="2"/>
      <c r="W1011" s="34"/>
      <c r="X1011" s="23"/>
      <c r="Y1011" s="34"/>
      <c r="Z1011" s="23"/>
      <c r="AA1011" s="2"/>
      <c r="AC1011" s="244"/>
    </row>
    <row r="1012" spans="10:29">
      <c r="J1012" s="412">
        <v>42278</v>
      </c>
      <c r="K1012" s="413">
        <v>23.885006000000001</v>
      </c>
      <c r="L1012" s="30">
        <f t="shared" si="42"/>
        <v>-2.5403204894551615E-2</v>
      </c>
      <c r="M1012" s="414">
        <v>1923.8199460000001</v>
      </c>
      <c r="N1012" s="31">
        <f t="shared" si="43"/>
        <v>-1.4113253941711826E-2</v>
      </c>
      <c r="Q1012" s="34"/>
      <c r="R1012" s="23"/>
      <c r="S1012" s="34"/>
      <c r="T1012" s="23"/>
      <c r="U1012" s="2"/>
      <c r="W1012" s="34"/>
      <c r="X1012" s="23"/>
      <c r="Y1012" s="34"/>
      <c r="Z1012" s="23"/>
      <c r="AA1012" s="2"/>
      <c r="AC1012" s="244"/>
    </row>
    <row r="1013" spans="10:29">
      <c r="J1013" s="412">
        <v>42279</v>
      </c>
      <c r="K1013" s="413">
        <v>24.507577000000001</v>
      </c>
      <c r="L1013" s="30">
        <f t="shared" si="42"/>
        <v>-2.4390266234033144E-2</v>
      </c>
      <c r="M1013" s="414">
        <v>1951.3599850000001</v>
      </c>
      <c r="N1013" s="31">
        <f t="shared" si="43"/>
        <v>-1.7961331179333517E-2</v>
      </c>
      <c r="Q1013" s="34"/>
      <c r="R1013" s="23"/>
      <c r="S1013" s="34"/>
      <c r="T1013" s="23"/>
      <c r="U1013" s="2"/>
      <c r="W1013" s="34"/>
      <c r="X1013" s="23"/>
      <c r="Y1013" s="34"/>
      <c r="Z1013" s="23"/>
      <c r="AA1013" s="2"/>
      <c r="AC1013" s="244"/>
    </row>
    <row r="1014" spans="10:29">
      <c r="J1014" s="412">
        <v>42282</v>
      </c>
      <c r="K1014" s="413">
        <v>25.120266999999998</v>
      </c>
      <c r="L1014" s="30">
        <f t="shared" si="42"/>
        <v>-1.2815538055399417E-2</v>
      </c>
      <c r="M1014" s="414">
        <v>1987.0500489999999</v>
      </c>
      <c r="N1014" s="31">
        <f t="shared" si="43"/>
        <v>3.6011580475721386E-3</v>
      </c>
      <c r="Q1014" s="34"/>
      <c r="R1014" s="23"/>
      <c r="S1014" s="34"/>
      <c r="T1014" s="23"/>
      <c r="U1014" s="2"/>
      <c r="W1014" s="34"/>
      <c r="X1014" s="23"/>
      <c r="Y1014" s="34"/>
      <c r="Z1014" s="23"/>
      <c r="AA1014" s="2"/>
      <c r="AC1014" s="244"/>
    </row>
    <row r="1015" spans="10:29">
      <c r="J1015" s="412">
        <v>42283</v>
      </c>
      <c r="K1015" s="413">
        <v>25.446376000000001</v>
      </c>
      <c r="L1015" s="30">
        <f t="shared" si="42"/>
        <v>-1.0376657616967275E-2</v>
      </c>
      <c r="M1015" s="414">
        <v>1979.920044</v>
      </c>
      <c r="N1015" s="31">
        <f t="shared" si="43"/>
        <v>-7.9715769132388328E-3</v>
      </c>
      <c r="Q1015" s="34"/>
      <c r="R1015" s="23"/>
      <c r="S1015" s="34"/>
      <c r="T1015" s="23"/>
      <c r="U1015" s="2"/>
      <c r="W1015" s="34"/>
      <c r="X1015" s="23"/>
      <c r="Y1015" s="34"/>
      <c r="Z1015" s="23"/>
      <c r="AA1015" s="2"/>
      <c r="AC1015" s="244"/>
    </row>
    <row r="1016" spans="10:29">
      <c r="J1016" s="412">
        <v>42284</v>
      </c>
      <c r="K1016" s="413">
        <v>25.713193</v>
      </c>
      <c r="L1016" s="30">
        <f t="shared" si="42"/>
        <v>-5.7317416086600306E-3</v>
      </c>
      <c r="M1016" s="414">
        <v>1995.829956</v>
      </c>
      <c r="N1016" s="31">
        <f t="shared" si="43"/>
        <v>-8.741350594739801E-3</v>
      </c>
      <c r="Q1016" s="34"/>
      <c r="R1016" s="23"/>
      <c r="S1016" s="34"/>
      <c r="T1016" s="23"/>
      <c r="U1016" s="2"/>
      <c r="W1016" s="34"/>
      <c r="X1016" s="23"/>
      <c r="Y1016" s="34"/>
      <c r="Z1016" s="23"/>
      <c r="AA1016" s="2"/>
      <c r="AC1016" s="244"/>
    </row>
    <row r="1017" spans="10:29">
      <c r="J1017" s="412">
        <v>42285</v>
      </c>
      <c r="K1017" s="413">
        <v>25.861424</v>
      </c>
      <c r="L1017" s="30">
        <f t="shared" si="42"/>
        <v>3.8358703053363325E-3</v>
      </c>
      <c r="M1017" s="414">
        <v>2013.4300539999999</v>
      </c>
      <c r="N1017" s="31">
        <f t="shared" si="43"/>
        <v>-7.2458595215184546E-4</v>
      </c>
      <c r="Q1017" s="34"/>
      <c r="R1017" s="23"/>
      <c r="S1017" s="34"/>
      <c r="T1017" s="23"/>
      <c r="U1017" s="2"/>
      <c r="W1017" s="34"/>
      <c r="X1017" s="23"/>
      <c r="Y1017" s="34"/>
      <c r="Z1017" s="23"/>
      <c r="AA1017" s="2"/>
      <c r="AC1017" s="244"/>
    </row>
    <row r="1018" spans="10:29">
      <c r="J1018" s="412">
        <v>42286</v>
      </c>
      <c r="K1018" s="413">
        <v>25.762602000000001</v>
      </c>
      <c r="L1018" s="30">
        <f t="shared" si="42"/>
        <v>-1.0626206901636766E-2</v>
      </c>
      <c r="M1018" s="414">
        <v>2014.8900149999999</v>
      </c>
      <c r="N1018" s="31">
        <f t="shared" si="43"/>
        <v>-1.2738522943108227E-3</v>
      </c>
      <c r="Q1018" s="34"/>
      <c r="R1018" s="23"/>
      <c r="S1018" s="34"/>
      <c r="T1018" s="23"/>
      <c r="U1018" s="2"/>
      <c r="W1018" s="34"/>
      <c r="X1018" s="23"/>
      <c r="Y1018" s="34"/>
      <c r="Z1018" s="23"/>
      <c r="AA1018" s="2"/>
      <c r="AC1018" s="244"/>
    </row>
    <row r="1019" spans="10:29">
      <c r="J1019" s="412">
        <v>42289</v>
      </c>
      <c r="K1019" s="413">
        <v>26.039300999999998</v>
      </c>
      <c r="L1019" s="30">
        <f t="shared" si="42"/>
        <v>-1.8939226242339735E-3</v>
      </c>
      <c r="M1019" s="414">
        <v>2017.459961</v>
      </c>
      <c r="N1019" s="31">
        <f t="shared" si="43"/>
        <v>6.8723307524953684E-3</v>
      </c>
      <c r="Q1019" s="34"/>
      <c r="R1019" s="23"/>
      <c r="S1019" s="34"/>
      <c r="T1019" s="23"/>
      <c r="U1019" s="2"/>
      <c r="W1019" s="34"/>
      <c r="X1019" s="23"/>
      <c r="Y1019" s="34"/>
      <c r="Z1019" s="23"/>
      <c r="AA1019" s="2"/>
      <c r="AC1019" s="244"/>
    </row>
    <row r="1020" spans="10:29">
      <c r="J1020" s="412">
        <v>42290</v>
      </c>
      <c r="K1020" s="413">
        <v>26.088711</v>
      </c>
      <c r="L1020" s="30">
        <f t="shared" si="42"/>
        <v>-3.508777639915215E-2</v>
      </c>
      <c r="M1020" s="414">
        <v>2003.6899410000001</v>
      </c>
      <c r="N1020" s="31">
        <f t="shared" si="43"/>
        <v>4.7386227572339757E-3</v>
      </c>
      <c r="Q1020" s="34"/>
      <c r="R1020" s="23"/>
      <c r="S1020" s="34"/>
      <c r="T1020" s="23"/>
      <c r="U1020" s="2"/>
      <c r="W1020" s="34"/>
      <c r="X1020" s="23"/>
      <c r="Y1020" s="34"/>
      <c r="Z1020" s="23"/>
      <c r="AA1020" s="2"/>
      <c r="AC1020" s="244"/>
    </row>
    <row r="1021" spans="10:29">
      <c r="J1021" s="412">
        <v>42291</v>
      </c>
      <c r="K1021" s="413">
        <v>27.037393000000002</v>
      </c>
      <c r="L1021" s="30">
        <f t="shared" si="42"/>
        <v>-2.5519277302801474E-3</v>
      </c>
      <c r="M1021" s="414">
        <v>1994.23999</v>
      </c>
      <c r="N1021" s="31">
        <f t="shared" si="43"/>
        <v>-1.4635397319740978E-2</v>
      </c>
      <c r="Q1021" s="34"/>
      <c r="R1021" s="23"/>
      <c r="S1021" s="34"/>
      <c r="T1021" s="23"/>
      <c r="U1021" s="2"/>
      <c r="W1021" s="34"/>
      <c r="X1021" s="23"/>
      <c r="Y1021" s="34"/>
      <c r="Z1021" s="23"/>
      <c r="AA1021" s="2"/>
      <c r="AC1021" s="244"/>
    </row>
    <row r="1022" spans="10:29">
      <c r="J1022" s="412">
        <v>42292</v>
      </c>
      <c r="K1022" s="413">
        <v>27.106566999999998</v>
      </c>
      <c r="L1022" s="30">
        <f t="shared" si="42"/>
        <v>-1.5434322369030763E-2</v>
      </c>
      <c r="M1022" s="414">
        <v>2023.8599850000001</v>
      </c>
      <c r="N1022" s="31">
        <f t="shared" si="43"/>
        <v>-4.5496800803917154E-3</v>
      </c>
      <c r="Q1022" s="34"/>
      <c r="R1022" s="23"/>
      <c r="S1022" s="34"/>
      <c r="T1022" s="23"/>
      <c r="U1022" s="2"/>
      <c r="W1022" s="34"/>
      <c r="X1022" s="23"/>
      <c r="Y1022" s="34"/>
      <c r="Z1022" s="23"/>
      <c r="AA1022" s="2"/>
      <c r="AC1022" s="244"/>
    </row>
    <row r="1023" spans="10:29">
      <c r="J1023" s="412">
        <v>42293</v>
      </c>
      <c r="K1023" s="413">
        <v>27.531497000000002</v>
      </c>
      <c r="L1023" s="30">
        <f t="shared" si="42"/>
        <v>1.7979712965737582E-3</v>
      </c>
      <c r="M1023" s="414">
        <v>2033.1099850000001</v>
      </c>
      <c r="N1023" s="31">
        <f t="shared" si="43"/>
        <v>-2.7047244416661653E-4</v>
      </c>
      <c r="Q1023" s="34"/>
      <c r="R1023" s="23"/>
      <c r="S1023" s="34"/>
      <c r="T1023" s="23"/>
      <c r="U1023" s="2"/>
      <c r="W1023" s="34"/>
      <c r="X1023" s="23"/>
      <c r="Y1023" s="34"/>
      <c r="Z1023" s="23"/>
      <c r="AA1023" s="2"/>
      <c r="AC1023" s="244"/>
    </row>
    <row r="1024" spans="10:29">
      <c r="J1024" s="412">
        <v>42296</v>
      </c>
      <c r="K1024" s="413">
        <v>27.482085000000001</v>
      </c>
      <c r="L1024" s="30">
        <f t="shared" si="42"/>
        <v>1.4403540661188801E-3</v>
      </c>
      <c r="M1024" s="414">
        <v>2033.660034</v>
      </c>
      <c r="N1024" s="31">
        <f t="shared" si="43"/>
        <v>1.4231124014722576E-3</v>
      </c>
      <c r="Q1024" s="34"/>
      <c r="R1024" s="23"/>
      <c r="S1024" s="34"/>
      <c r="T1024" s="23"/>
      <c r="U1024" s="2"/>
      <c r="W1024" s="34"/>
      <c r="X1024" s="23"/>
      <c r="Y1024" s="34"/>
      <c r="Z1024" s="23"/>
      <c r="AA1024" s="2"/>
      <c r="AC1024" s="244"/>
    </row>
    <row r="1025" spans="10:29">
      <c r="J1025" s="412">
        <v>42297</v>
      </c>
      <c r="K1025" s="413">
        <v>27.442557999999998</v>
      </c>
      <c r="L1025" s="30">
        <f t="shared" si="42"/>
        <v>1.3133924041679026E-2</v>
      </c>
      <c r="M1025" s="414">
        <v>2030.7700199999999</v>
      </c>
      <c r="N1025" s="31">
        <f t="shared" si="43"/>
        <v>5.8595497368486805E-3</v>
      </c>
      <c r="Q1025" s="34"/>
      <c r="R1025" s="23"/>
      <c r="S1025" s="34"/>
      <c r="T1025" s="23"/>
      <c r="U1025" s="2"/>
      <c r="W1025" s="34"/>
      <c r="X1025" s="23"/>
      <c r="Y1025" s="34"/>
      <c r="Z1025" s="23"/>
      <c r="AA1025" s="2"/>
      <c r="AC1025" s="244"/>
    </row>
    <row r="1026" spans="10:29">
      <c r="J1026" s="412">
        <v>42298</v>
      </c>
      <c r="K1026" s="413">
        <v>27.086801999999999</v>
      </c>
      <c r="L1026" s="30">
        <f t="shared" si="42"/>
        <v>-3.4859166334136577E-2</v>
      </c>
      <c r="M1026" s="414">
        <v>2018.9399410000001</v>
      </c>
      <c r="N1026" s="31">
        <f t="shared" si="43"/>
        <v>-1.6355617676134929E-2</v>
      </c>
      <c r="Q1026" s="34"/>
      <c r="R1026" s="23"/>
      <c r="S1026" s="34"/>
      <c r="T1026" s="23"/>
      <c r="U1026" s="2"/>
      <c r="W1026" s="34"/>
      <c r="X1026" s="23"/>
      <c r="Y1026" s="34"/>
      <c r="Z1026" s="23"/>
      <c r="AA1026" s="2"/>
      <c r="AC1026" s="244"/>
    </row>
    <row r="1027" spans="10:29">
      <c r="J1027" s="412">
        <v>42299</v>
      </c>
      <c r="K1027" s="413">
        <v>28.065128999999999</v>
      </c>
      <c r="L1027" s="30">
        <f t="shared" si="42"/>
        <v>-6.6456920564831731E-3</v>
      </c>
      <c r="M1027" s="414">
        <v>2052.51001</v>
      </c>
      <c r="N1027" s="31">
        <f t="shared" si="43"/>
        <v>-1.0910003165641257E-2</v>
      </c>
      <c r="Q1027" s="34"/>
      <c r="R1027" s="23"/>
      <c r="S1027" s="34"/>
      <c r="T1027" s="23"/>
      <c r="U1027" s="2"/>
      <c r="W1027" s="34"/>
      <c r="X1027" s="23"/>
      <c r="Y1027" s="34"/>
      <c r="Z1027" s="23"/>
      <c r="AA1027" s="2"/>
      <c r="AC1027" s="244"/>
    </row>
    <row r="1028" spans="10:29">
      <c r="J1028" s="412">
        <v>42300</v>
      </c>
      <c r="K1028" s="413">
        <v>28.252889</v>
      </c>
      <c r="L1028" s="30">
        <f t="shared" si="42"/>
        <v>4.5678451478164839E-3</v>
      </c>
      <c r="M1028" s="414">
        <v>2075.1499020000001</v>
      </c>
      <c r="N1028" s="31">
        <f t="shared" si="43"/>
        <v>1.9167673163801701E-3</v>
      </c>
      <c r="Q1028" s="34"/>
      <c r="R1028" s="23"/>
      <c r="S1028" s="34"/>
      <c r="T1028" s="23"/>
      <c r="U1028" s="2"/>
      <c r="W1028" s="34"/>
      <c r="X1028" s="23"/>
      <c r="Y1028" s="34"/>
      <c r="Z1028" s="23"/>
      <c r="AA1028" s="2"/>
      <c r="AC1028" s="244"/>
    </row>
    <row r="1029" spans="10:29">
      <c r="J1029" s="412">
        <v>42303</v>
      </c>
      <c r="K1029" s="413">
        <v>28.124421000000002</v>
      </c>
      <c r="L1029" s="30">
        <f t="shared" si="42"/>
        <v>7.0319304365849551E-4</v>
      </c>
      <c r="M1029" s="414">
        <v>2071.179932</v>
      </c>
      <c r="N1029" s="31">
        <f t="shared" si="43"/>
        <v>2.5606587349715926E-3</v>
      </c>
      <c r="Q1029" s="34"/>
      <c r="R1029" s="23"/>
      <c r="S1029" s="34"/>
      <c r="T1029" s="23"/>
      <c r="U1029" s="2"/>
      <c r="W1029" s="34"/>
      <c r="X1029" s="23"/>
      <c r="Y1029" s="34"/>
      <c r="Z1029" s="23"/>
      <c r="AA1029" s="2"/>
      <c r="AC1029" s="244"/>
    </row>
    <row r="1030" spans="10:29">
      <c r="J1030" s="412">
        <v>42304</v>
      </c>
      <c r="K1030" s="413">
        <v>28.104658000000001</v>
      </c>
      <c r="L1030" s="30">
        <f t="shared" si="42"/>
        <v>-8.0223222224127481E-3</v>
      </c>
      <c r="M1030" s="414">
        <v>2065.889893</v>
      </c>
      <c r="N1030" s="31">
        <f t="shared" si="43"/>
        <v>-1.1701487240535848E-2</v>
      </c>
      <c r="Q1030" s="34"/>
      <c r="R1030" s="23"/>
      <c r="S1030" s="34"/>
      <c r="T1030" s="23"/>
      <c r="U1030" s="2"/>
      <c r="W1030" s="34"/>
      <c r="X1030" s="23"/>
      <c r="Y1030" s="34"/>
      <c r="Z1030" s="23"/>
      <c r="AA1030" s="2"/>
      <c r="AC1030" s="244"/>
    </row>
    <row r="1031" spans="10:29">
      <c r="J1031" s="412">
        <v>42305</v>
      </c>
      <c r="K1031" s="413">
        <v>28.331945999999999</v>
      </c>
      <c r="L1031" s="30">
        <f t="shared" si="42"/>
        <v>3.5765907246130768E-2</v>
      </c>
      <c r="M1031" s="414">
        <v>2090.3500979999999</v>
      </c>
      <c r="N1031" s="31">
        <f t="shared" si="43"/>
        <v>4.4997680665727227E-4</v>
      </c>
      <c r="Q1031" s="34"/>
      <c r="R1031" s="23"/>
      <c r="S1031" s="34"/>
      <c r="T1031" s="23"/>
      <c r="U1031" s="2"/>
      <c r="W1031" s="34"/>
      <c r="X1031" s="23"/>
      <c r="Y1031" s="34"/>
      <c r="Z1031" s="23"/>
      <c r="AA1031" s="2"/>
      <c r="AC1031" s="244"/>
    </row>
    <row r="1032" spans="10:29">
      <c r="J1032" s="412">
        <v>42306</v>
      </c>
      <c r="K1032" s="413">
        <v>27.353618999999998</v>
      </c>
      <c r="L1032" s="30">
        <f t="shared" ref="L1032:L1095" si="44">(K1032-K1033)/K1033</f>
        <v>-2.432149914016116E-2</v>
      </c>
      <c r="M1032" s="414">
        <v>2089.4099120000001</v>
      </c>
      <c r="N1032" s="31">
        <f t="shared" si="43"/>
        <v>4.8331238856455109E-3</v>
      </c>
      <c r="Q1032" s="34"/>
      <c r="R1032" s="23"/>
      <c r="S1032" s="34"/>
      <c r="T1032" s="23"/>
      <c r="U1032" s="2"/>
      <c r="W1032" s="34"/>
      <c r="X1032" s="23"/>
      <c r="Y1032" s="34"/>
      <c r="Z1032" s="23"/>
      <c r="AA1032" s="2"/>
      <c r="AC1032" s="244"/>
    </row>
    <row r="1033" spans="10:29">
      <c r="J1033" s="412">
        <v>42307</v>
      </c>
      <c r="K1033" s="413">
        <v>28.035484</v>
      </c>
      <c r="L1033" s="30">
        <f t="shared" si="44"/>
        <v>-1.1498226192662294E-2</v>
      </c>
      <c r="M1033" s="414">
        <v>2079.360107</v>
      </c>
      <c r="N1033" s="31">
        <f t="shared" si="43"/>
        <v>-1.1734484173384782E-2</v>
      </c>
      <c r="Q1033" s="34"/>
      <c r="R1033" s="23"/>
      <c r="S1033" s="34"/>
      <c r="T1033" s="23"/>
      <c r="U1033" s="2"/>
      <c r="W1033" s="34"/>
      <c r="X1033" s="23"/>
      <c r="Y1033" s="34"/>
      <c r="Z1033" s="23"/>
      <c r="AA1033" s="2"/>
      <c r="AC1033" s="244"/>
    </row>
    <row r="1034" spans="10:29">
      <c r="J1034" s="412">
        <v>42310</v>
      </c>
      <c r="K1034" s="413">
        <v>28.361592000000002</v>
      </c>
      <c r="L1034" s="30">
        <f t="shared" si="44"/>
        <v>7.0175525805152286E-3</v>
      </c>
      <c r="M1034" s="414">
        <v>2104.0500489999999</v>
      </c>
      <c r="N1034" s="31">
        <f t="shared" ref="N1034:N1097" si="45">(M1034-M1035)/M1035</f>
        <v>-2.7206451324041131E-3</v>
      </c>
      <c r="Q1034" s="34"/>
      <c r="R1034" s="23"/>
      <c r="S1034" s="34"/>
      <c r="T1034" s="23"/>
      <c r="U1034" s="2"/>
      <c r="W1034" s="34"/>
      <c r="X1034" s="23"/>
      <c r="Y1034" s="34"/>
      <c r="Z1034" s="23"/>
      <c r="AA1034" s="2"/>
      <c r="AC1034" s="244"/>
    </row>
    <row r="1035" spans="10:29">
      <c r="J1035" s="412">
        <v>42311</v>
      </c>
      <c r="K1035" s="413">
        <v>28.16395</v>
      </c>
      <c r="L1035" s="30">
        <f t="shared" si="44"/>
        <v>1.6767707625551104E-2</v>
      </c>
      <c r="M1035" s="414">
        <v>2109.790039</v>
      </c>
      <c r="N1035" s="31">
        <f t="shared" si="45"/>
        <v>3.5579813586384353E-3</v>
      </c>
      <c r="Q1035" s="34"/>
      <c r="R1035" s="23"/>
      <c r="S1035" s="34"/>
      <c r="T1035" s="23"/>
      <c r="U1035" s="2"/>
      <c r="W1035" s="34"/>
      <c r="X1035" s="23"/>
      <c r="Y1035" s="34"/>
      <c r="Z1035" s="23"/>
      <c r="AA1035" s="2"/>
      <c r="AC1035" s="244"/>
    </row>
    <row r="1036" spans="10:29">
      <c r="J1036" s="412">
        <v>42312</v>
      </c>
      <c r="K1036" s="413">
        <v>27.699493</v>
      </c>
      <c r="L1036" s="30">
        <f t="shared" si="44"/>
        <v>1.1548258089320538E-2</v>
      </c>
      <c r="M1036" s="414">
        <v>2102.3100589999999</v>
      </c>
      <c r="N1036" s="31">
        <f t="shared" si="45"/>
        <v>1.1334316272796012E-3</v>
      </c>
      <c r="Q1036" s="34"/>
      <c r="R1036" s="23"/>
      <c r="S1036" s="34"/>
      <c r="T1036" s="23"/>
      <c r="U1036" s="2"/>
      <c r="W1036" s="34"/>
      <c r="X1036" s="23"/>
      <c r="Y1036" s="34"/>
      <c r="Z1036" s="23"/>
      <c r="AA1036" s="2"/>
      <c r="AC1036" s="244"/>
    </row>
    <row r="1037" spans="10:29">
      <c r="J1037" s="412">
        <v>42313</v>
      </c>
      <c r="K1037" s="413">
        <v>27.383264</v>
      </c>
      <c r="L1037" s="30">
        <f t="shared" si="44"/>
        <v>-0.1217115820117438</v>
      </c>
      <c r="M1037" s="414">
        <v>2099.929932</v>
      </c>
      <c r="N1037" s="31">
        <f t="shared" si="45"/>
        <v>3.4774248144023155E-4</v>
      </c>
      <c r="Q1037" s="34"/>
      <c r="R1037" s="23"/>
      <c r="S1037" s="34"/>
      <c r="T1037" s="23"/>
      <c r="U1037" s="2"/>
      <c r="W1037" s="34"/>
      <c r="X1037" s="23"/>
      <c r="Y1037" s="34"/>
      <c r="Z1037" s="23"/>
      <c r="AA1037" s="2"/>
      <c r="AC1037" s="244"/>
    </row>
    <row r="1038" spans="10:29">
      <c r="J1038" s="412">
        <v>42314</v>
      </c>
      <c r="K1038" s="413">
        <v>31.177986000000001</v>
      </c>
      <c r="L1038" s="30">
        <f t="shared" si="44"/>
        <v>4.4571719701490585E-3</v>
      </c>
      <c r="M1038" s="414">
        <v>2099.1999510000001</v>
      </c>
      <c r="N1038" s="31">
        <f t="shared" si="45"/>
        <v>9.9201725342429169E-3</v>
      </c>
      <c r="Q1038" s="34"/>
      <c r="R1038" s="23"/>
      <c r="S1038" s="34"/>
      <c r="T1038" s="23"/>
      <c r="U1038" s="2"/>
      <c r="W1038" s="34"/>
      <c r="X1038" s="23"/>
      <c r="Y1038" s="34"/>
      <c r="Z1038" s="23"/>
      <c r="AA1038" s="2"/>
      <c r="AC1038" s="244"/>
    </row>
    <row r="1039" spans="10:29">
      <c r="J1039" s="412">
        <v>42317</v>
      </c>
      <c r="K1039" s="413">
        <v>31.039636999999999</v>
      </c>
      <c r="L1039" s="30">
        <f t="shared" si="44"/>
        <v>1.9474188214477724E-2</v>
      </c>
      <c r="M1039" s="414">
        <v>2078.580078</v>
      </c>
      <c r="N1039" s="31">
        <f t="shared" si="45"/>
        <v>-1.5083167014493849E-3</v>
      </c>
      <c r="Q1039" s="34"/>
      <c r="R1039" s="23"/>
      <c r="S1039" s="34"/>
      <c r="T1039" s="23"/>
      <c r="U1039" s="2"/>
      <c r="W1039" s="34"/>
      <c r="X1039" s="23"/>
      <c r="Y1039" s="34"/>
      <c r="Z1039" s="23"/>
      <c r="AA1039" s="2"/>
      <c r="AC1039" s="244"/>
    </row>
    <row r="1040" spans="10:29">
      <c r="J1040" s="412">
        <v>42318</v>
      </c>
      <c r="K1040" s="413">
        <v>30.446712000000002</v>
      </c>
      <c r="L1040" s="30">
        <f t="shared" si="44"/>
        <v>9.832820623377975E-3</v>
      </c>
      <c r="M1040" s="414">
        <v>2081.719971</v>
      </c>
      <c r="N1040" s="31">
        <f t="shared" si="45"/>
        <v>3.238540240963849E-3</v>
      </c>
      <c r="Q1040" s="34"/>
      <c r="R1040" s="23"/>
      <c r="S1040" s="34"/>
      <c r="T1040" s="23"/>
      <c r="U1040" s="2"/>
      <c r="W1040" s="34"/>
      <c r="X1040" s="23"/>
      <c r="Y1040" s="34"/>
      <c r="Z1040" s="23"/>
      <c r="AA1040" s="2"/>
      <c r="AC1040" s="244"/>
    </row>
    <row r="1041" spans="10:29">
      <c r="J1041" s="412">
        <v>42319</v>
      </c>
      <c r="K1041" s="413">
        <v>30.15025</v>
      </c>
      <c r="L1041" s="30">
        <f t="shared" si="44"/>
        <v>3.6184555881378232E-3</v>
      </c>
      <c r="M1041" s="414">
        <v>2075</v>
      </c>
      <c r="N1041" s="31">
        <f t="shared" si="45"/>
        <v>1.4188883224816408E-2</v>
      </c>
      <c r="Q1041" s="34"/>
      <c r="R1041" s="23"/>
      <c r="S1041" s="34"/>
      <c r="T1041" s="23"/>
      <c r="U1041" s="2"/>
      <c r="W1041" s="34"/>
      <c r="X1041" s="23"/>
      <c r="Y1041" s="34"/>
      <c r="Z1041" s="23"/>
      <c r="AA1041" s="2"/>
      <c r="AC1041" s="244"/>
    </row>
    <row r="1042" spans="10:29">
      <c r="J1042" s="412">
        <v>42320</v>
      </c>
      <c r="K1042" s="413">
        <v>30.041546</v>
      </c>
      <c r="L1042" s="30">
        <f t="shared" si="44"/>
        <v>2.0134219527630889E-2</v>
      </c>
      <c r="M1042" s="414">
        <v>2045.969971</v>
      </c>
      <c r="N1042" s="31">
        <f t="shared" si="45"/>
        <v>1.133439356510927E-2</v>
      </c>
      <c r="Q1042" s="34"/>
      <c r="R1042" s="23"/>
      <c r="S1042" s="34"/>
      <c r="T1042" s="23"/>
      <c r="U1042" s="2"/>
      <c r="W1042" s="34"/>
      <c r="X1042" s="23"/>
      <c r="Y1042" s="34"/>
      <c r="Z1042" s="23"/>
      <c r="AA1042" s="2"/>
      <c r="AC1042" s="244"/>
    </row>
    <row r="1043" spans="10:29">
      <c r="J1043" s="412">
        <v>42321</v>
      </c>
      <c r="K1043" s="413">
        <v>29.448620999999999</v>
      </c>
      <c r="L1043" s="30">
        <f t="shared" si="44"/>
        <v>-1.9736833783454453E-2</v>
      </c>
      <c r="M1043" s="414">
        <v>2023.040039</v>
      </c>
      <c r="N1043" s="31">
        <f t="shared" si="45"/>
        <v>-1.4684419301857524E-2</v>
      </c>
      <c r="Q1043" s="34"/>
      <c r="R1043" s="23"/>
      <c r="S1043" s="34"/>
      <c r="T1043" s="23"/>
      <c r="U1043" s="2"/>
      <c r="W1043" s="34"/>
      <c r="X1043" s="23"/>
      <c r="Y1043" s="34"/>
      <c r="Z1043" s="23"/>
      <c r="AA1043" s="2"/>
      <c r="AC1043" s="244"/>
    </row>
    <row r="1044" spans="10:29">
      <c r="J1044" s="412">
        <v>42324</v>
      </c>
      <c r="K1044" s="413">
        <v>30.041546</v>
      </c>
      <c r="L1044" s="30">
        <f t="shared" si="44"/>
        <v>0</v>
      </c>
      <c r="M1044" s="414">
        <v>2053.1899410000001</v>
      </c>
      <c r="N1044" s="31">
        <f t="shared" si="45"/>
        <v>1.3411755911557322E-3</v>
      </c>
      <c r="Q1044" s="34"/>
      <c r="R1044" s="23"/>
      <c r="S1044" s="34"/>
      <c r="T1044" s="23"/>
      <c r="U1044" s="2"/>
      <c r="W1044" s="34"/>
      <c r="X1044" s="23"/>
      <c r="Y1044" s="34"/>
      <c r="Z1044" s="23"/>
      <c r="AA1044" s="2"/>
      <c r="AC1044" s="244"/>
    </row>
    <row r="1045" spans="10:29">
      <c r="J1045" s="412">
        <v>42325</v>
      </c>
      <c r="K1045" s="413">
        <v>30.041546</v>
      </c>
      <c r="L1045" s="30">
        <f t="shared" si="44"/>
        <v>-2.4009114843914499E-2</v>
      </c>
      <c r="M1045" s="414">
        <v>2050.4399410000001</v>
      </c>
      <c r="N1045" s="31">
        <f t="shared" si="45"/>
        <v>-1.5905381967277511E-2</v>
      </c>
      <c r="Q1045" s="34"/>
      <c r="R1045" s="23"/>
      <c r="S1045" s="34"/>
      <c r="T1045" s="23"/>
      <c r="U1045" s="2"/>
      <c r="W1045" s="34"/>
      <c r="X1045" s="23"/>
      <c r="Y1045" s="34"/>
      <c r="Z1045" s="23"/>
      <c r="AA1045" s="2"/>
      <c r="AC1045" s="244"/>
    </row>
    <row r="1046" spans="10:29">
      <c r="J1046" s="412">
        <v>42326</v>
      </c>
      <c r="K1046" s="413">
        <v>30.780560000000001</v>
      </c>
      <c r="L1046" s="30">
        <f t="shared" si="44"/>
        <v>-2.8920463687579288E-3</v>
      </c>
      <c r="M1046" s="414">
        <v>2083.580078</v>
      </c>
      <c r="N1046" s="31">
        <f t="shared" si="45"/>
        <v>1.124372014397015E-3</v>
      </c>
      <c r="Q1046" s="34"/>
      <c r="R1046" s="23"/>
      <c r="S1046" s="34"/>
      <c r="T1046" s="23"/>
      <c r="U1046" s="2"/>
      <c r="W1046" s="34"/>
      <c r="X1046" s="23"/>
      <c r="Y1046" s="34"/>
      <c r="Z1046" s="23"/>
      <c r="AA1046" s="2"/>
      <c r="AC1046" s="244"/>
    </row>
    <row r="1047" spans="10:29">
      <c r="J1047" s="412">
        <v>42327</v>
      </c>
      <c r="K1047" s="413">
        <v>30.869837</v>
      </c>
      <c r="L1047" s="30">
        <f t="shared" si="44"/>
        <v>-8.6014156809766547E-3</v>
      </c>
      <c r="M1047" s="414">
        <v>2081.23999</v>
      </c>
      <c r="N1047" s="31">
        <f t="shared" si="45"/>
        <v>-3.7957333754874956E-3</v>
      </c>
      <c r="Q1047" s="34"/>
      <c r="R1047" s="23"/>
      <c r="S1047" s="34"/>
      <c r="T1047" s="23"/>
      <c r="U1047" s="2"/>
      <c r="W1047" s="34"/>
      <c r="X1047" s="23"/>
      <c r="Y1047" s="34"/>
      <c r="Z1047" s="23"/>
      <c r="AA1047" s="2"/>
      <c r="AC1047" s="244"/>
    </row>
    <row r="1048" spans="10:29">
      <c r="J1048" s="412">
        <v>42328</v>
      </c>
      <c r="K1048" s="413">
        <v>31.137664999999998</v>
      </c>
      <c r="L1048" s="30">
        <f t="shared" si="44"/>
        <v>1.5200523822762378E-2</v>
      </c>
      <c r="M1048" s="414">
        <v>2089.169922</v>
      </c>
      <c r="N1048" s="31">
        <f t="shared" si="45"/>
        <v>1.2363875467619489E-3</v>
      </c>
      <c r="Q1048" s="34"/>
      <c r="R1048" s="23"/>
      <c r="S1048" s="34"/>
      <c r="T1048" s="23"/>
      <c r="U1048" s="2"/>
      <c r="W1048" s="34"/>
      <c r="X1048" s="23"/>
      <c r="Y1048" s="34"/>
      <c r="Z1048" s="23"/>
      <c r="AA1048" s="2"/>
      <c r="AC1048" s="244"/>
    </row>
    <row r="1049" spans="10:29">
      <c r="J1049" s="412">
        <v>42331</v>
      </c>
      <c r="K1049" s="413">
        <v>30.671443</v>
      </c>
      <c r="L1049" s="30">
        <f t="shared" si="44"/>
        <v>-8.0205543219193133E-3</v>
      </c>
      <c r="M1049" s="414">
        <v>2086.5900879999999</v>
      </c>
      <c r="N1049" s="31">
        <f t="shared" si="45"/>
        <v>-1.2205046720631962E-3</v>
      </c>
      <c r="Q1049" s="34"/>
      <c r="R1049" s="23"/>
      <c r="S1049" s="34"/>
      <c r="T1049" s="23"/>
      <c r="U1049" s="2"/>
      <c r="W1049" s="34"/>
      <c r="X1049" s="23"/>
      <c r="Y1049" s="34"/>
      <c r="Z1049" s="23"/>
      <c r="AA1049" s="2"/>
      <c r="AC1049" s="244"/>
    </row>
    <row r="1050" spans="10:29">
      <c r="J1050" s="412">
        <v>42332</v>
      </c>
      <c r="K1050" s="413">
        <v>30.919433999999999</v>
      </c>
      <c r="L1050" s="30">
        <f t="shared" si="44"/>
        <v>1.2849843298622329E-3</v>
      </c>
      <c r="M1050" s="414">
        <v>2089.139893</v>
      </c>
      <c r="N1050" s="31">
        <f t="shared" si="45"/>
        <v>1.2914924571161962E-4</v>
      </c>
      <c r="Q1050" s="34"/>
      <c r="R1050" s="23"/>
      <c r="S1050" s="34"/>
      <c r="T1050" s="23"/>
      <c r="U1050" s="2"/>
      <c r="W1050" s="34"/>
      <c r="X1050" s="23"/>
      <c r="Y1050" s="34"/>
      <c r="Z1050" s="23"/>
      <c r="AA1050" s="2"/>
      <c r="AC1050" s="244"/>
    </row>
    <row r="1051" spans="10:29">
      <c r="J1051" s="412">
        <v>42333</v>
      </c>
      <c r="K1051" s="413">
        <v>30.879753999999998</v>
      </c>
      <c r="L1051" s="30">
        <f t="shared" si="44"/>
        <v>-8.2829268026359728E-3</v>
      </c>
      <c r="M1051" s="414">
        <v>2088.8701169999999</v>
      </c>
      <c r="N1051" s="31">
        <f t="shared" si="45"/>
        <v>-5.9326539585028391E-4</v>
      </c>
      <c r="Q1051" s="34"/>
      <c r="R1051" s="23"/>
      <c r="S1051" s="34"/>
      <c r="T1051" s="23"/>
      <c r="U1051" s="2"/>
      <c r="W1051" s="34"/>
      <c r="X1051" s="23"/>
      <c r="Y1051" s="34"/>
      <c r="Z1051" s="23"/>
      <c r="AA1051" s="2"/>
      <c r="AC1051" s="244"/>
    </row>
    <row r="1052" spans="10:29">
      <c r="J1052" s="412">
        <v>42335</v>
      </c>
      <c r="K1052" s="413">
        <v>31.137664999999998</v>
      </c>
      <c r="L1052" s="30">
        <f t="shared" si="44"/>
        <v>-1.0403523761567392E-2</v>
      </c>
      <c r="M1052" s="414">
        <v>2090.110107</v>
      </c>
      <c r="N1052" s="31">
        <f t="shared" si="45"/>
        <v>4.662636408357919E-3</v>
      </c>
      <c r="Q1052" s="34"/>
      <c r="R1052" s="23"/>
      <c r="S1052" s="34"/>
      <c r="T1052" s="23"/>
      <c r="U1052" s="2"/>
      <c r="W1052" s="34"/>
      <c r="X1052" s="23"/>
      <c r="Y1052" s="34"/>
      <c r="Z1052" s="23"/>
      <c r="AA1052" s="2"/>
      <c r="AC1052" s="244"/>
    </row>
    <row r="1053" spans="10:29">
      <c r="J1053" s="412">
        <v>42338</v>
      </c>
      <c r="K1053" s="413">
        <v>31.465012000000002</v>
      </c>
      <c r="L1053" s="30">
        <f t="shared" si="44"/>
        <v>-3.1450407771073795E-2</v>
      </c>
      <c r="M1053" s="414">
        <v>2080.4099120000001</v>
      </c>
      <c r="N1053" s="31">
        <f t="shared" si="45"/>
        <v>-1.0567704368539115E-2</v>
      </c>
      <c r="Q1053" s="34"/>
      <c r="R1053" s="23"/>
      <c r="S1053" s="34"/>
      <c r="T1053" s="23"/>
      <c r="U1053" s="2"/>
      <c r="W1053" s="34"/>
      <c r="X1053" s="23"/>
      <c r="Y1053" s="34"/>
      <c r="Z1053" s="23"/>
      <c r="AA1053" s="2"/>
      <c r="AC1053" s="244"/>
    </row>
    <row r="1054" spans="10:29">
      <c r="J1054" s="412">
        <v>42339</v>
      </c>
      <c r="K1054" s="413">
        <v>32.486733000000001</v>
      </c>
      <c r="L1054" s="30">
        <f t="shared" si="44"/>
        <v>7.6923286895003206E-3</v>
      </c>
      <c r="M1054" s="414">
        <v>2102.6298830000001</v>
      </c>
      <c r="N1054" s="31">
        <f t="shared" si="45"/>
        <v>1.1117942634957597E-2</v>
      </c>
      <c r="Q1054" s="34"/>
      <c r="R1054" s="23"/>
      <c r="S1054" s="34"/>
      <c r="T1054" s="23"/>
      <c r="U1054" s="2"/>
      <c r="W1054" s="34"/>
      <c r="X1054" s="23"/>
      <c r="Y1054" s="34"/>
      <c r="Z1054" s="23"/>
      <c r="AA1054" s="2"/>
      <c r="AC1054" s="244"/>
    </row>
    <row r="1055" spans="10:29">
      <c r="J1055" s="412">
        <v>42340</v>
      </c>
      <c r="K1055" s="413">
        <v>32.238742000000002</v>
      </c>
      <c r="L1055" s="30">
        <f t="shared" si="44"/>
        <v>2.1584861718336977E-3</v>
      </c>
      <c r="M1055" s="414">
        <v>2079.51001</v>
      </c>
      <c r="N1055" s="31">
        <f t="shared" si="45"/>
        <v>1.4583137993273331E-2</v>
      </c>
      <c r="Q1055" s="34"/>
      <c r="R1055" s="23"/>
      <c r="S1055" s="34"/>
      <c r="T1055" s="23"/>
      <c r="U1055" s="2"/>
      <c r="W1055" s="34"/>
      <c r="X1055" s="23"/>
      <c r="Y1055" s="34"/>
      <c r="Z1055" s="23"/>
      <c r="AA1055" s="2"/>
      <c r="AC1055" s="244"/>
    </row>
    <row r="1056" spans="10:29">
      <c r="J1056" s="412">
        <v>42341</v>
      </c>
      <c r="K1056" s="413">
        <v>32.169305000000001</v>
      </c>
      <c r="L1056" s="30">
        <f t="shared" si="44"/>
        <v>-3.9111113474139585E-2</v>
      </c>
      <c r="M1056" s="414">
        <v>2049.6201169999999</v>
      </c>
      <c r="N1056" s="31">
        <f t="shared" si="45"/>
        <v>-2.0112839467921959E-2</v>
      </c>
      <c r="Q1056" s="34"/>
      <c r="R1056" s="23"/>
      <c r="S1056" s="34"/>
      <c r="T1056" s="23"/>
      <c r="U1056" s="2"/>
      <c r="W1056" s="34"/>
      <c r="X1056" s="23"/>
      <c r="Y1056" s="34"/>
      <c r="Z1056" s="23"/>
      <c r="AA1056" s="2"/>
      <c r="AC1056" s="244"/>
    </row>
    <row r="1057" spans="10:29">
      <c r="J1057" s="412">
        <v>42342</v>
      </c>
      <c r="K1057" s="413">
        <v>33.478693999999997</v>
      </c>
      <c r="L1057" s="30">
        <f t="shared" si="44"/>
        <v>1.9329500427766516E-2</v>
      </c>
      <c r="M1057" s="414">
        <v>2091.6899410000001</v>
      </c>
      <c r="N1057" s="31">
        <f t="shared" si="45"/>
        <v>7.0386999578100403E-3</v>
      </c>
      <c r="Q1057" s="34"/>
      <c r="R1057" s="23"/>
      <c r="S1057" s="34"/>
      <c r="T1057" s="23"/>
      <c r="U1057" s="2"/>
      <c r="W1057" s="34"/>
      <c r="X1057" s="23"/>
      <c r="Y1057" s="34"/>
      <c r="Z1057" s="23"/>
      <c r="AA1057" s="2"/>
      <c r="AC1057" s="244"/>
    </row>
    <row r="1058" spans="10:29">
      <c r="J1058" s="412">
        <v>42345</v>
      </c>
      <c r="K1058" s="413">
        <v>32.843839000000003</v>
      </c>
      <c r="L1058" s="30">
        <f t="shared" si="44"/>
        <v>-1.3408861815073898E-2</v>
      </c>
      <c r="M1058" s="414">
        <v>2077.070068</v>
      </c>
      <c r="N1058" s="31">
        <f t="shared" si="45"/>
        <v>6.5322953809419876E-3</v>
      </c>
      <c r="Q1058" s="34"/>
      <c r="R1058" s="23"/>
      <c r="S1058" s="34"/>
      <c r="T1058" s="23"/>
      <c r="U1058" s="2"/>
      <c r="W1058" s="34"/>
      <c r="X1058" s="23"/>
      <c r="Y1058" s="34"/>
      <c r="Z1058" s="23"/>
      <c r="AA1058" s="2"/>
      <c r="AC1058" s="244"/>
    </row>
    <row r="1059" spans="10:29">
      <c r="J1059" s="412">
        <v>42346</v>
      </c>
      <c r="K1059" s="413">
        <v>33.290222999999997</v>
      </c>
      <c r="L1059" s="30">
        <f t="shared" si="44"/>
        <v>2.5986027143975163E-2</v>
      </c>
      <c r="M1059" s="414">
        <v>2063.5900879999999</v>
      </c>
      <c r="N1059" s="31">
        <f t="shared" si="45"/>
        <v>7.7993441356289869E-3</v>
      </c>
      <c r="Q1059" s="34"/>
      <c r="R1059" s="23"/>
      <c r="S1059" s="34"/>
      <c r="T1059" s="23"/>
      <c r="U1059" s="2"/>
      <c r="W1059" s="34"/>
      <c r="X1059" s="23"/>
      <c r="Y1059" s="34"/>
      <c r="Z1059" s="23"/>
      <c r="AA1059" s="2"/>
      <c r="AC1059" s="244"/>
    </row>
    <row r="1060" spans="10:29">
      <c r="J1060" s="412">
        <v>42347</v>
      </c>
      <c r="K1060" s="413">
        <v>32.447052999999997</v>
      </c>
      <c r="L1060" s="30">
        <f t="shared" si="44"/>
        <v>-8.1867937598922042E-3</v>
      </c>
      <c r="M1060" s="414">
        <v>2047.619995</v>
      </c>
      <c r="N1060" s="31">
        <f t="shared" si="45"/>
        <v>-2.2463296243240981E-3</v>
      </c>
      <c r="Q1060" s="34"/>
      <c r="R1060" s="23"/>
      <c r="S1060" s="34"/>
      <c r="T1060" s="23"/>
      <c r="U1060" s="2"/>
      <c r="W1060" s="34"/>
      <c r="X1060" s="23"/>
      <c r="Y1060" s="34"/>
      <c r="Z1060" s="23"/>
      <c r="AA1060" s="2"/>
      <c r="AC1060" s="244"/>
    </row>
    <row r="1061" spans="10:29">
      <c r="J1061" s="412">
        <v>42348</v>
      </c>
      <c r="K1061" s="413">
        <v>32.714883</v>
      </c>
      <c r="L1061" s="30">
        <f t="shared" si="44"/>
        <v>1.5081499715906398E-2</v>
      </c>
      <c r="M1061" s="414">
        <v>2052.2299800000001</v>
      </c>
      <c r="N1061" s="31">
        <f t="shared" si="45"/>
        <v>1.9807483265521484E-2</v>
      </c>
      <c r="Q1061" s="34"/>
      <c r="R1061" s="23"/>
      <c r="S1061" s="34"/>
      <c r="T1061" s="23"/>
      <c r="U1061" s="2"/>
      <c r="W1061" s="34"/>
      <c r="X1061" s="23"/>
      <c r="Y1061" s="34"/>
      <c r="Z1061" s="23"/>
      <c r="AA1061" s="2"/>
      <c r="AC1061" s="244"/>
    </row>
    <row r="1062" spans="10:29">
      <c r="J1062" s="412">
        <v>42349</v>
      </c>
      <c r="K1062" s="413">
        <v>32.228824000000003</v>
      </c>
      <c r="L1062" s="30">
        <f t="shared" si="44"/>
        <v>-2.4561891897404561E-3</v>
      </c>
      <c r="M1062" s="414">
        <v>2012.369995</v>
      </c>
      <c r="N1062" s="31">
        <f t="shared" si="45"/>
        <v>-4.7330515639683246E-3</v>
      </c>
      <c r="Q1062" s="34"/>
      <c r="R1062" s="23"/>
      <c r="S1062" s="34"/>
      <c r="T1062" s="23"/>
      <c r="U1062" s="2"/>
      <c r="W1062" s="34"/>
      <c r="X1062" s="23"/>
      <c r="Y1062" s="34"/>
      <c r="Z1062" s="23"/>
      <c r="AA1062" s="2"/>
      <c r="AC1062" s="244"/>
    </row>
    <row r="1063" spans="10:29">
      <c r="J1063" s="412">
        <v>42352</v>
      </c>
      <c r="K1063" s="413">
        <v>32.308179000000003</v>
      </c>
      <c r="L1063" s="30">
        <f t="shared" si="44"/>
        <v>-1.2132286336340637E-2</v>
      </c>
      <c r="M1063" s="414">
        <v>2021.9399410000001</v>
      </c>
      <c r="N1063" s="31">
        <f t="shared" si="45"/>
        <v>-1.0506992058746006E-2</v>
      </c>
      <c r="Q1063" s="34"/>
      <c r="R1063" s="23"/>
      <c r="S1063" s="34"/>
      <c r="T1063" s="23"/>
      <c r="U1063" s="2"/>
      <c r="W1063" s="34"/>
      <c r="X1063" s="23"/>
      <c r="Y1063" s="34"/>
      <c r="Z1063" s="23"/>
      <c r="AA1063" s="2"/>
      <c r="AC1063" s="244"/>
    </row>
    <row r="1064" spans="10:29">
      <c r="J1064" s="412">
        <v>42353</v>
      </c>
      <c r="K1064" s="413">
        <v>32.704965000000001</v>
      </c>
      <c r="L1064" s="30">
        <f t="shared" si="44"/>
        <v>-6.0294763254384338E-3</v>
      </c>
      <c r="M1064" s="414">
        <v>2043.410034</v>
      </c>
      <c r="N1064" s="31">
        <f t="shared" si="45"/>
        <v>-1.4307299332441086E-2</v>
      </c>
      <c r="Q1064" s="34"/>
      <c r="R1064" s="23"/>
      <c r="S1064" s="34"/>
      <c r="T1064" s="23"/>
      <c r="U1064" s="2"/>
      <c r="W1064" s="34"/>
      <c r="X1064" s="23"/>
      <c r="Y1064" s="34"/>
      <c r="Z1064" s="23"/>
      <c r="AA1064" s="2"/>
      <c r="AC1064" s="244"/>
    </row>
    <row r="1065" spans="10:29">
      <c r="J1065" s="412">
        <v>42354</v>
      </c>
      <c r="K1065" s="413">
        <v>32.903354999999998</v>
      </c>
      <c r="L1065" s="30">
        <f t="shared" si="44"/>
        <v>1.530457234825631E-2</v>
      </c>
      <c r="M1065" s="414">
        <v>2073.070068</v>
      </c>
      <c r="N1065" s="31">
        <f t="shared" si="45"/>
        <v>1.5270192209642616E-2</v>
      </c>
      <c r="Q1065" s="34"/>
      <c r="R1065" s="23"/>
      <c r="S1065" s="34"/>
      <c r="T1065" s="23"/>
      <c r="U1065" s="2"/>
      <c r="W1065" s="34"/>
      <c r="X1065" s="23"/>
      <c r="Y1065" s="34"/>
      <c r="Z1065" s="23"/>
      <c r="AA1065" s="2"/>
      <c r="AC1065" s="244"/>
    </row>
    <row r="1066" spans="10:29">
      <c r="J1066" s="412">
        <v>42355</v>
      </c>
      <c r="K1066" s="413">
        <v>32.407373999999997</v>
      </c>
      <c r="L1066" s="30">
        <f t="shared" si="44"/>
        <v>1.6490308088330127E-2</v>
      </c>
      <c r="M1066" s="414">
        <v>2041.8900149999999</v>
      </c>
      <c r="N1066" s="31">
        <f t="shared" si="45"/>
        <v>1.8119700387492051E-2</v>
      </c>
      <c r="Q1066" s="34"/>
      <c r="R1066" s="23"/>
      <c r="S1066" s="34"/>
      <c r="T1066" s="23"/>
      <c r="U1066" s="2"/>
      <c r="W1066" s="34"/>
      <c r="X1066" s="23"/>
      <c r="Y1066" s="34"/>
      <c r="Z1066" s="23"/>
      <c r="AA1066" s="2"/>
      <c r="AC1066" s="244"/>
    </row>
    <row r="1067" spans="10:29">
      <c r="J1067" s="412">
        <v>42356</v>
      </c>
      <c r="K1067" s="413">
        <v>31.881636</v>
      </c>
      <c r="L1067" s="30">
        <f t="shared" si="44"/>
        <v>-2.3100346346472483E-2</v>
      </c>
      <c r="M1067" s="414">
        <v>2005.5500489999999</v>
      </c>
      <c r="N1067" s="31">
        <f t="shared" si="45"/>
        <v>-7.718365690205729E-3</v>
      </c>
      <c r="Q1067" s="34"/>
      <c r="R1067" s="23"/>
      <c r="S1067" s="34"/>
      <c r="T1067" s="23"/>
      <c r="U1067" s="2"/>
      <c r="W1067" s="34"/>
      <c r="X1067" s="23"/>
      <c r="Y1067" s="34"/>
      <c r="Z1067" s="23"/>
      <c r="AA1067" s="2"/>
      <c r="AC1067" s="244"/>
    </row>
    <row r="1068" spans="10:29">
      <c r="J1068" s="412">
        <v>42359</v>
      </c>
      <c r="K1068" s="413">
        <v>32.635528000000001</v>
      </c>
      <c r="L1068" s="30">
        <f t="shared" si="44"/>
        <v>-9.1099768726963116E-4</v>
      </c>
      <c r="M1068" s="414">
        <v>2021.150024</v>
      </c>
      <c r="N1068" s="31">
        <f t="shared" si="45"/>
        <v>-8.7396809435404659E-3</v>
      </c>
      <c r="Q1068" s="34"/>
      <c r="R1068" s="23"/>
      <c r="S1068" s="34"/>
      <c r="T1068" s="23"/>
      <c r="U1068" s="2"/>
      <c r="W1068" s="34"/>
      <c r="X1068" s="23"/>
      <c r="Y1068" s="34"/>
      <c r="Z1068" s="23"/>
      <c r="AA1068" s="2"/>
      <c r="AC1068" s="244"/>
    </row>
    <row r="1069" spans="10:29">
      <c r="J1069" s="412">
        <v>42360</v>
      </c>
      <c r="K1069" s="413">
        <v>32.665286000000002</v>
      </c>
      <c r="L1069" s="30">
        <f t="shared" si="44"/>
        <v>-3.9322756720522826E-3</v>
      </c>
      <c r="M1069" s="414">
        <v>2038.969971</v>
      </c>
      <c r="N1069" s="31">
        <f t="shared" si="45"/>
        <v>-1.2265751188852194E-2</v>
      </c>
      <c r="Q1069" s="34"/>
      <c r="R1069" s="23"/>
      <c r="S1069" s="34"/>
      <c r="T1069" s="23"/>
      <c r="U1069" s="2"/>
      <c r="W1069" s="34"/>
      <c r="X1069" s="23"/>
      <c r="Y1069" s="34"/>
      <c r="Z1069" s="23"/>
      <c r="AA1069" s="2"/>
      <c r="AC1069" s="244"/>
    </row>
    <row r="1070" spans="10:29">
      <c r="J1070" s="412">
        <v>42361</v>
      </c>
      <c r="K1070" s="413">
        <v>32.794241999999997</v>
      </c>
      <c r="L1070" s="30">
        <f t="shared" si="44"/>
        <v>-3.316166390934927E-3</v>
      </c>
      <c r="M1070" s="414">
        <v>2064.290039</v>
      </c>
      <c r="N1070" s="31">
        <f t="shared" si="45"/>
        <v>1.6011960349210355E-3</v>
      </c>
      <c r="Q1070" s="34"/>
      <c r="R1070" s="23"/>
      <c r="S1070" s="34"/>
      <c r="T1070" s="23"/>
      <c r="U1070" s="2"/>
      <c r="W1070" s="34"/>
      <c r="X1070" s="23"/>
      <c r="Y1070" s="34"/>
      <c r="Z1070" s="23"/>
      <c r="AA1070" s="2"/>
      <c r="AC1070" s="244"/>
    </row>
    <row r="1071" spans="10:29">
      <c r="J1071" s="412">
        <v>42362</v>
      </c>
      <c r="K1071" s="413">
        <v>32.903354999999998</v>
      </c>
      <c r="L1071" s="30">
        <f t="shared" si="44"/>
        <v>9.0522494389649736E-4</v>
      </c>
      <c r="M1071" s="414">
        <v>2060.98999</v>
      </c>
      <c r="N1071" s="31">
        <f t="shared" si="45"/>
        <v>2.183316314125959E-3</v>
      </c>
      <c r="Q1071" s="34"/>
      <c r="R1071" s="23"/>
      <c r="S1071" s="34"/>
      <c r="T1071" s="23"/>
      <c r="U1071" s="2"/>
      <c r="W1071" s="34"/>
      <c r="X1071" s="23"/>
      <c r="Y1071" s="34"/>
      <c r="Z1071" s="23"/>
      <c r="AA1071" s="2"/>
      <c r="AC1071" s="244"/>
    </row>
    <row r="1072" spans="10:29">
      <c r="J1072" s="412">
        <v>42366</v>
      </c>
      <c r="K1072" s="413">
        <v>32.873596999999997</v>
      </c>
      <c r="L1072" s="30">
        <f t="shared" si="44"/>
        <v>-1.6033280835907247E-2</v>
      </c>
      <c r="M1072" s="414">
        <v>2056.5</v>
      </c>
      <c r="N1072" s="31">
        <f t="shared" si="45"/>
        <v>-1.0517959292219985E-2</v>
      </c>
      <c r="Q1072" s="34"/>
      <c r="R1072" s="23"/>
      <c r="S1072" s="34"/>
      <c r="T1072" s="23"/>
      <c r="U1072" s="2"/>
      <c r="W1072" s="34"/>
      <c r="X1072" s="23"/>
      <c r="Y1072" s="34"/>
      <c r="Z1072" s="23"/>
      <c r="AA1072" s="2"/>
      <c r="AC1072" s="244"/>
    </row>
    <row r="1073" spans="10:29">
      <c r="J1073" s="412">
        <v>42367</v>
      </c>
      <c r="K1073" s="413">
        <v>33.409256999999997</v>
      </c>
      <c r="L1073" s="30">
        <f t="shared" si="44"/>
        <v>8.6852722365023914E-3</v>
      </c>
      <c r="M1073" s="414">
        <v>2078.360107</v>
      </c>
      <c r="N1073" s="31">
        <f t="shared" si="45"/>
        <v>7.2696956527908679E-3</v>
      </c>
      <c r="Q1073" s="34"/>
      <c r="R1073" s="23"/>
      <c r="S1073" s="34"/>
      <c r="T1073" s="23"/>
      <c r="U1073" s="2"/>
      <c r="W1073" s="34"/>
      <c r="X1073" s="23"/>
      <c r="Y1073" s="34"/>
      <c r="Z1073" s="23"/>
      <c r="AA1073" s="2"/>
      <c r="AC1073" s="244"/>
    </row>
    <row r="1074" spans="10:29">
      <c r="J1074" s="412">
        <v>42368</v>
      </c>
      <c r="K1074" s="413">
        <v>33.121586999999998</v>
      </c>
      <c r="L1074" s="30">
        <f t="shared" si="44"/>
        <v>1.3046105703359664E-2</v>
      </c>
      <c r="M1074" s="414">
        <v>2063.360107</v>
      </c>
      <c r="N1074" s="31">
        <f t="shared" si="45"/>
        <v>9.5013388654162419E-3</v>
      </c>
      <c r="Q1074" s="34"/>
      <c r="R1074" s="23"/>
      <c r="S1074" s="34"/>
      <c r="T1074" s="23"/>
      <c r="U1074" s="2"/>
      <c r="W1074" s="34"/>
      <c r="X1074" s="23"/>
      <c r="Y1074" s="34"/>
      <c r="Z1074" s="23"/>
      <c r="AA1074" s="2"/>
      <c r="AC1074" s="244"/>
    </row>
    <row r="1075" spans="10:29">
      <c r="J1075" s="412">
        <v>42369</v>
      </c>
      <c r="K1075" s="413">
        <v>32.695044000000003</v>
      </c>
      <c r="L1075" s="30">
        <f t="shared" si="44"/>
        <v>1.822677983590433E-2</v>
      </c>
      <c r="M1075" s="414">
        <v>2043.9399410000001</v>
      </c>
      <c r="N1075" s="31">
        <f t="shared" si="45"/>
        <v>1.5541575065627847E-2</v>
      </c>
      <c r="Q1075" s="34"/>
      <c r="R1075" s="23"/>
      <c r="S1075" s="34"/>
      <c r="T1075" s="23"/>
      <c r="U1075" s="2"/>
      <c r="W1075" s="34"/>
      <c r="X1075" s="23"/>
      <c r="Y1075" s="34"/>
      <c r="Z1075" s="23"/>
      <c r="AA1075" s="2"/>
      <c r="AC1075" s="244"/>
    </row>
    <row r="1076" spans="10:29">
      <c r="J1076" s="412">
        <v>42373</v>
      </c>
      <c r="K1076" s="413">
        <v>32.109786</v>
      </c>
      <c r="L1076" s="30">
        <f t="shared" si="44"/>
        <v>-1.5810311207390026E-2</v>
      </c>
      <c r="M1076" s="414">
        <v>2012.660034</v>
      </c>
      <c r="N1076" s="31">
        <f t="shared" si="45"/>
        <v>-2.0081851522128842E-3</v>
      </c>
      <c r="Q1076" s="34"/>
      <c r="R1076" s="23"/>
      <c r="S1076" s="34"/>
      <c r="T1076" s="23"/>
      <c r="U1076" s="2"/>
      <c r="W1076" s="34"/>
      <c r="X1076" s="23"/>
      <c r="Y1076" s="34"/>
      <c r="Z1076" s="23"/>
      <c r="AA1076" s="2"/>
      <c r="AC1076" s="244"/>
    </row>
    <row r="1077" spans="10:29">
      <c r="J1077" s="412">
        <v>42374</v>
      </c>
      <c r="K1077" s="413">
        <v>32.625607000000002</v>
      </c>
      <c r="L1077" s="30">
        <f t="shared" si="44"/>
        <v>4.3133511571292783E-2</v>
      </c>
      <c r="M1077" s="414">
        <v>2016.709961</v>
      </c>
      <c r="N1077" s="31">
        <f t="shared" si="45"/>
        <v>1.3289696254310037E-2</v>
      </c>
      <c r="Q1077" s="34"/>
      <c r="R1077" s="23"/>
      <c r="S1077" s="34"/>
      <c r="T1077" s="23"/>
      <c r="U1077" s="2"/>
      <c r="W1077" s="34"/>
      <c r="X1077" s="23"/>
      <c r="Y1077" s="34"/>
      <c r="Z1077" s="23"/>
      <c r="AA1077" s="2"/>
      <c r="AC1077" s="244"/>
    </row>
    <row r="1078" spans="10:29">
      <c r="J1078" s="412">
        <v>42375</v>
      </c>
      <c r="K1078" s="413">
        <v>31.276540000000001</v>
      </c>
      <c r="L1078" s="30">
        <f t="shared" si="44"/>
        <v>4.1281351887193361E-2</v>
      </c>
      <c r="M1078" s="414">
        <v>1990.26001</v>
      </c>
      <c r="N1078" s="31">
        <f t="shared" si="45"/>
        <v>2.4275790017640367E-2</v>
      </c>
      <c r="Q1078" s="34"/>
      <c r="R1078" s="23"/>
      <c r="S1078" s="34"/>
      <c r="T1078" s="23"/>
      <c r="U1078" s="2"/>
      <c r="W1078" s="34"/>
      <c r="X1078" s="23"/>
      <c r="Y1078" s="34"/>
      <c r="Z1078" s="23"/>
      <c r="AA1078" s="2"/>
      <c r="AC1078" s="244"/>
    </row>
    <row r="1079" spans="10:29">
      <c r="J1079" s="412">
        <v>42376</v>
      </c>
      <c r="K1079" s="413">
        <v>30.036588999999999</v>
      </c>
      <c r="L1079" s="30">
        <f t="shared" si="44"/>
        <v>2.1937300088881818E-2</v>
      </c>
      <c r="M1079" s="414">
        <v>1943.089966</v>
      </c>
      <c r="N1079" s="31">
        <f t="shared" si="45"/>
        <v>1.0957132137502098E-2</v>
      </c>
      <c r="Q1079" s="34"/>
      <c r="R1079" s="23"/>
      <c r="S1079" s="34"/>
      <c r="T1079" s="23"/>
      <c r="U1079" s="2"/>
      <c r="W1079" s="34"/>
      <c r="X1079" s="23"/>
      <c r="Y1079" s="34"/>
      <c r="Z1079" s="23"/>
      <c r="AA1079" s="2"/>
      <c r="AC1079" s="244"/>
    </row>
    <row r="1080" spans="10:29">
      <c r="J1080" s="412">
        <v>42377</v>
      </c>
      <c r="K1080" s="413">
        <v>29.391812000000002</v>
      </c>
      <c r="L1080" s="30">
        <f t="shared" si="44"/>
        <v>-1.684701807100763E-3</v>
      </c>
      <c r="M1080" s="414">
        <v>1922.030029</v>
      </c>
      <c r="N1080" s="31">
        <f t="shared" si="45"/>
        <v>-8.5254485566026129E-4</v>
      </c>
      <c r="Q1080" s="34"/>
      <c r="R1080" s="23"/>
      <c r="S1080" s="34"/>
      <c r="T1080" s="23"/>
      <c r="U1080" s="2"/>
      <c r="W1080" s="34"/>
      <c r="X1080" s="23"/>
      <c r="Y1080" s="34"/>
      <c r="Z1080" s="23"/>
      <c r="AA1080" s="2"/>
      <c r="AC1080" s="244"/>
    </row>
    <row r="1081" spans="10:29">
      <c r="J1081" s="412">
        <v>42380</v>
      </c>
      <c r="K1081" s="413">
        <v>29.441412</v>
      </c>
      <c r="L1081" s="30">
        <f t="shared" si="44"/>
        <v>-1.6567241394975202E-2</v>
      </c>
      <c r="M1081" s="414">
        <v>1923.670044</v>
      </c>
      <c r="N1081" s="31">
        <f t="shared" si="45"/>
        <v>-7.7423863566504544E-3</v>
      </c>
      <c r="Q1081" s="34"/>
      <c r="R1081" s="23"/>
      <c r="S1081" s="34"/>
      <c r="T1081" s="23"/>
      <c r="U1081" s="2"/>
      <c r="W1081" s="34"/>
      <c r="X1081" s="23"/>
      <c r="Y1081" s="34"/>
      <c r="Z1081" s="23"/>
      <c r="AA1081" s="2"/>
      <c r="AC1081" s="244"/>
    </row>
    <row r="1082" spans="10:29">
      <c r="J1082" s="412">
        <v>42381</v>
      </c>
      <c r="K1082" s="413">
        <v>29.937391999999999</v>
      </c>
      <c r="L1082" s="30">
        <f t="shared" si="44"/>
        <v>3.1442227932896465E-2</v>
      </c>
      <c r="M1082" s="414">
        <v>1938.6800539999999</v>
      </c>
      <c r="N1082" s="31">
        <f t="shared" si="45"/>
        <v>2.5604685156412829E-2</v>
      </c>
      <c r="Q1082" s="34"/>
      <c r="R1082" s="23"/>
      <c r="S1082" s="34"/>
      <c r="T1082" s="23"/>
      <c r="U1082" s="2"/>
      <c r="W1082" s="34"/>
      <c r="X1082" s="23"/>
      <c r="Y1082" s="34"/>
      <c r="Z1082" s="23"/>
      <c r="AA1082" s="2"/>
      <c r="AC1082" s="244"/>
    </row>
    <row r="1083" spans="10:29">
      <c r="J1083" s="412">
        <v>42382</v>
      </c>
      <c r="K1083" s="413">
        <v>29.024788000000001</v>
      </c>
      <c r="L1083" s="30">
        <f t="shared" si="44"/>
        <v>2.0578996186681214E-2</v>
      </c>
      <c r="M1083" s="414">
        <v>1890.280029</v>
      </c>
      <c r="N1083" s="31">
        <f t="shared" si="45"/>
        <v>-1.6421729987063861E-2</v>
      </c>
      <c r="Q1083" s="34"/>
      <c r="R1083" s="23"/>
      <c r="S1083" s="34"/>
      <c r="T1083" s="23"/>
      <c r="U1083" s="2"/>
      <c r="W1083" s="34"/>
      <c r="X1083" s="23"/>
      <c r="Y1083" s="34"/>
      <c r="Z1083" s="23"/>
      <c r="AA1083" s="2"/>
      <c r="AC1083" s="244"/>
    </row>
    <row r="1084" spans="10:29">
      <c r="J1084" s="412">
        <v>42383</v>
      </c>
      <c r="K1084" s="413">
        <v>28.439530999999999</v>
      </c>
      <c r="L1084" s="30">
        <f t="shared" si="44"/>
        <v>5.7543355437370269E-2</v>
      </c>
      <c r="M1084" s="414">
        <v>1921.839966</v>
      </c>
      <c r="N1084" s="31">
        <f t="shared" si="45"/>
        <v>2.2075918041694998E-2</v>
      </c>
      <c r="Q1084" s="34"/>
      <c r="R1084" s="23"/>
      <c r="S1084" s="34"/>
      <c r="T1084" s="23"/>
      <c r="U1084" s="2"/>
      <c r="W1084" s="34"/>
      <c r="X1084" s="23"/>
      <c r="Y1084" s="34"/>
      <c r="Z1084" s="23"/>
      <c r="AA1084" s="2"/>
      <c r="AC1084" s="244"/>
    </row>
    <row r="1085" spans="10:29">
      <c r="J1085" s="412">
        <v>42384</v>
      </c>
      <c r="K1085" s="413">
        <v>26.892071000000001</v>
      </c>
      <c r="L1085" s="30">
        <f t="shared" si="44"/>
        <v>-8.0497443370420359E-3</v>
      </c>
      <c r="M1085" s="414">
        <v>1880.329956</v>
      </c>
      <c r="N1085" s="31">
        <f t="shared" si="45"/>
        <v>-5.3153887057970177E-4</v>
      </c>
      <c r="Q1085" s="34"/>
      <c r="R1085" s="23"/>
      <c r="S1085" s="34"/>
      <c r="T1085" s="23"/>
      <c r="U1085" s="2"/>
      <c r="W1085" s="34"/>
      <c r="X1085" s="23"/>
      <c r="Y1085" s="34"/>
      <c r="Z1085" s="23"/>
      <c r="AA1085" s="2"/>
      <c r="AC1085" s="244"/>
    </row>
    <row r="1086" spans="10:29">
      <c r="J1086" s="412">
        <v>42388</v>
      </c>
      <c r="K1086" s="413">
        <v>27.110302000000001</v>
      </c>
      <c r="L1086" s="30">
        <f t="shared" si="44"/>
        <v>-5.4585082351960154E-3</v>
      </c>
      <c r="M1086" s="414">
        <v>1881.329956</v>
      </c>
      <c r="N1086" s="31">
        <f t="shared" si="45"/>
        <v>1.1832219412701163E-2</v>
      </c>
      <c r="Q1086" s="34"/>
      <c r="R1086" s="23"/>
      <c r="S1086" s="34"/>
      <c r="T1086" s="23"/>
      <c r="U1086" s="2"/>
      <c r="W1086" s="34"/>
      <c r="X1086" s="23"/>
      <c r="Y1086" s="34"/>
      <c r="Z1086" s="23"/>
      <c r="AA1086" s="2"/>
      <c r="AC1086" s="244"/>
    </row>
    <row r="1087" spans="10:29">
      <c r="J1087" s="412">
        <v>42389</v>
      </c>
      <c r="K1087" s="413">
        <v>27.259096</v>
      </c>
      <c r="L1087" s="30">
        <f t="shared" si="44"/>
        <v>-1.1510769504915544E-2</v>
      </c>
      <c r="M1087" s="414">
        <v>1859.329956</v>
      </c>
      <c r="N1087" s="31">
        <f t="shared" si="45"/>
        <v>-5.1685851993246877E-3</v>
      </c>
      <c r="Q1087" s="34"/>
      <c r="R1087" s="23"/>
      <c r="S1087" s="34"/>
      <c r="T1087" s="23"/>
      <c r="U1087" s="2"/>
      <c r="W1087" s="34"/>
      <c r="X1087" s="23"/>
      <c r="Y1087" s="34"/>
      <c r="Z1087" s="23"/>
      <c r="AA1087" s="2"/>
      <c r="AC1087" s="244"/>
    </row>
    <row r="1088" spans="10:29">
      <c r="J1088" s="412">
        <v>42390</v>
      </c>
      <c r="K1088" s="413">
        <v>27.576523000000002</v>
      </c>
      <c r="L1088" s="30">
        <f t="shared" si="44"/>
        <v>-2.28471757147969E-2</v>
      </c>
      <c r="M1088" s="414">
        <v>1868.98999</v>
      </c>
      <c r="N1088" s="31">
        <f t="shared" si="45"/>
        <v>-1.9880451792369372E-2</v>
      </c>
      <c r="Q1088" s="34"/>
      <c r="R1088" s="23"/>
      <c r="S1088" s="34"/>
      <c r="T1088" s="23"/>
      <c r="U1088" s="2"/>
      <c r="W1088" s="34"/>
      <c r="X1088" s="23"/>
      <c r="Y1088" s="34"/>
      <c r="Z1088" s="23"/>
      <c r="AA1088" s="2"/>
      <c r="AC1088" s="244"/>
    </row>
    <row r="1089" spans="10:29">
      <c r="J1089" s="412">
        <v>42391</v>
      </c>
      <c r="K1089" s="413">
        <v>28.221299999999999</v>
      </c>
      <c r="L1089" s="30">
        <f t="shared" si="44"/>
        <v>1.0556358396880611E-3</v>
      </c>
      <c r="M1089" s="414">
        <v>1906.900024</v>
      </c>
      <c r="N1089" s="31">
        <f t="shared" si="45"/>
        <v>1.5886413311634123E-2</v>
      </c>
      <c r="Q1089" s="34"/>
      <c r="R1089" s="23"/>
      <c r="S1089" s="34"/>
      <c r="T1089" s="23"/>
      <c r="U1089" s="2"/>
      <c r="W1089" s="34"/>
      <c r="X1089" s="23"/>
      <c r="Y1089" s="34"/>
      <c r="Z1089" s="23"/>
      <c r="AA1089" s="2"/>
      <c r="AC1089" s="244"/>
    </row>
    <row r="1090" spans="10:29">
      <c r="J1090" s="412">
        <v>42394</v>
      </c>
      <c r="K1090" s="413">
        <v>28.19154</v>
      </c>
      <c r="L1090" s="30">
        <f t="shared" si="44"/>
        <v>-9.7561266894959815E-3</v>
      </c>
      <c r="M1090" s="414">
        <v>1877.079956</v>
      </c>
      <c r="N1090" s="31">
        <f t="shared" si="45"/>
        <v>-1.3947063731011082E-2</v>
      </c>
      <c r="Q1090" s="34"/>
      <c r="R1090" s="23"/>
      <c r="S1090" s="34"/>
      <c r="T1090" s="23"/>
      <c r="U1090" s="2"/>
      <c r="W1090" s="34"/>
      <c r="X1090" s="23"/>
      <c r="Y1090" s="34"/>
      <c r="Z1090" s="23"/>
      <c r="AA1090" s="2"/>
      <c r="AC1090" s="244"/>
    </row>
    <row r="1091" spans="10:29">
      <c r="J1091" s="412">
        <v>42395</v>
      </c>
      <c r="K1091" s="413">
        <v>28.469290000000001</v>
      </c>
      <c r="L1091" s="30">
        <f t="shared" si="44"/>
        <v>1.198872189177439E-2</v>
      </c>
      <c r="M1091" s="414">
        <v>1903.630005</v>
      </c>
      <c r="N1091" s="31">
        <f t="shared" si="45"/>
        <v>1.0982795367990069E-2</v>
      </c>
      <c r="Q1091" s="34"/>
      <c r="R1091" s="23"/>
      <c r="S1091" s="34"/>
      <c r="T1091" s="23"/>
      <c r="U1091" s="2"/>
      <c r="W1091" s="34"/>
      <c r="X1091" s="23"/>
      <c r="Y1091" s="34"/>
      <c r="Z1091" s="23"/>
      <c r="AA1091" s="2"/>
      <c r="AC1091" s="244"/>
    </row>
    <row r="1092" spans="10:29">
      <c r="J1092" s="412">
        <v>42396</v>
      </c>
      <c r="K1092" s="413">
        <v>28.132023</v>
      </c>
      <c r="L1092" s="30">
        <f t="shared" si="44"/>
        <v>1.1051729421042164E-2</v>
      </c>
      <c r="M1092" s="414">
        <v>1882.9499510000001</v>
      </c>
      <c r="N1092" s="31">
        <f t="shared" si="45"/>
        <v>-5.4981799987708071E-3</v>
      </c>
      <c r="Q1092" s="34"/>
      <c r="R1092" s="23"/>
      <c r="S1092" s="34"/>
      <c r="T1092" s="23"/>
      <c r="U1092" s="2"/>
      <c r="W1092" s="34"/>
      <c r="X1092" s="23"/>
      <c r="Y1092" s="34"/>
      <c r="Z1092" s="23"/>
      <c r="AA1092" s="2"/>
      <c r="AC1092" s="244"/>
    </row>
    <row r="1093" spans="10:29">
      <c r="J1093" s="412">
        <v>42397</v>
      </c>
      <c r="K1093" s="413">
        <v>27.824514000000001</v>
      </c>
      <c r="L1093" s="30">
        <f t="shared" si="44"/>
        <v>-4.2335301252502712E-2</v>
      </c>
      <c r="M1093" s="414">
        <v>1893.3599850000001</v>
      </c>
      <c r="N1093" s="31">
        <f t="shared" si="45"/>
        <v>-2.4161962046767207E-2</v>
      </c>
      <c r="Q1093" s="34"/>
      <c r="R1093" s="23"/>
      <c r="S1093" s="34"/>
      <c r="T1093" s="23"/>
      <c r="U1093" s="2"/>
      <c r="W1093" s="34"/>
      <c r="X1093" s="23"/>
      <c r="Y1093" s="34"/>
      <c r="Z1093" s="23"/>
      <c r="AA1093" s="2"/>
      <c r="AC1093" s="244"/>
    </row>
    <row r="1094" spans="10:29">
      <c r="J1094" s="412">
        <v>42398</v>
      </c>
      <c r="K1094" s="413">
        <v>29.054546999999999</v>
      </c>
      <c r="L1094" s="30">
        <f t="shared" si="44"/>
        <v>-3.412414438042807E-4</v>
      </c>
      <c r="M1094" s="414">
        <v>1940.23999</v>
      </c>
      <c r="N1094" s="31">
        <f t="shared" si="45"/>
        <v>4.4343295165614099E-4</v>
      </c>
      <c r="Q1094" s="34"/>
      <c r="R1094" s="23"/>
      <c r="S1094" s="34"/>
      <c r="T1094" s="23"/>
      <c r="U1094" s="2"/>
      <c r="W1094" s="34"/>
      <c r="X1094" s="23"/>
      <c r="Y1094" s="34"/>
      <c r="Z1094" s="23"/>
      <c r="AA1094" s="2"/>
      <c r="AC1094" s="244"/>
    </row>
    <row r="1095" spans="10:29">
      <c r="J1095" s="412">
        <v>42401</v>
      </c>
      <c r="K1095" s="413">
        <v>29.064464999999998</v>
      </c>
      <c r="L1095" s="30">
        <f t="shared" si="44"/>
        <v>4.4190983010468136E-2</v>
      </c>
      <c r="M1095" s="414">
        <v>1939.380005</v>
      </c>
      <c r="N1095" s="31">
        <f t="shared" si="45"/>
        <v>1.9101104788714802E-2</v>
      </c>
      <c r="Q1095" s="34"/>
      <c r="R1095" s="23"/>
      <c r="S1095" s="34"/>
      <c r="T1095" s="23"/>
      <c r="U1095" s="2"/>
      <c r="W1095" s="34"/>
      <c r="X1095" s="23"/>
      <c r="Y1095" s="34"/>
      <c r="Z1095" s="23"/>
      <c r="AA1095" s="2"/>
      <c r="AC1095" s="244"/>
    </row>
    <row r="1096" spans="10:29">
      <c r="J1096" s="412">
        <v>42402</v>
      </c>
      <c r="K1096" s="413">
        <v>27.834434000000002</v>
      </c>
      <c r="L1096" s="30">
        <f t="shared" ref="L1096:L1159" si="46">(K1096-K1097)/K1097</f>
        <v>-4.9645538895666131E-3</v>
      </c>
      <c r="M1096" s="414">
        <v>1903.030029</v>
      </c>
      <c r="N1096" s="31">
        <f t="shared" si="45"/>
        <v>-4.9672422685918521E-3</v>
      </c>
      <c r="Q1096" s="34"/>
      <c r="R1096" s="23"/>
      <c r="S1096" s="34"/>
      <c r="T1096" s="23"/>
      <c r="U1096" s="2"/>
      <c r="W1096" s="34"/>
      <c r="X1096" s="23"/>
      <c r="Y1096" s="34"/>
      <c r="Z1096" s="23"/>
      <c r="AA1096" s="2"/>
      <c r="AC1096" s="244"/>
    </row>
    <row r="1097" spans="10:29">
      <c r="J1097" s="412">
        <v>42403</v>
      </c>
      <c r="K1097" s="413">
        <v>27.973309</v>
      </c>
      <c r="L1097" s="30">
        <f t="shared" si="46"/>
        <v>-3.5442659990568575E-4</v>
      </c>
      <c r="M1097" s="414">
        <v>1912.530029</v>
      </c>
      <c r="N1097" s="31">
        <f t="shared" si="45"/>
        <v>-1.5244052701432564E-3</v>
      </c>
      <c r="Q1097" s="34"/>
      <c r="R1097" s="23"/>
      <c r="S1097" s="34"/>
      <c r="T1097" s="23"/>
      <c r="U1097" s="2"/>
      <c r="W1097" s="34"/>
      <c r="X1097" s="23"/>
      <c r="Y1097" s="34"/>
      <c r="Z1097" s="23"/>
      <c r="AA1097" s="2"/>
      <c r="AC1097" s="244"/>
    </row>
    <row r="1098" spans="10:29">
      <c r="J1098" s="412">
        <v>42404</v>
      </c>
      <c r="K1098" s="413">
        <v>27.983226999999999</v>
      </c>
      <c r="L1098" s="30">
        <f t="shared" si="46"/>
        <v>6.7347668852341058E-2</v>
      </c>
      <c r="M1098" s="414">
        <v>1915.4499510000001</v>
      </c>
      <c r="N1098" s="31">
        <f t="shared" ref="N1098:N1161" si="47">(M1098-M1099)/M1099</f>
        <v>1.8829233838125396E-2</v>
      </c>
      <c r="Q1098" s="34"/>
      <c r="R1098" s="23"/>
      <c r="S1098" s="34"/>
      <c r="T1098" s="23"/>
      <c r="U1098" s="2"/>
      <c r="W1098" s="34"/>
      <c r="X1098" s="23"/>
      <c r="Y1098" s="34"/>
      <c r="Z1098" s="23"/>
      <c r="AA1098" s="2"/>
      <c r="AC1098" s="244"/>
    </row>
    <row r="1099" spans="10:29">
      <c r="J1099" s="412">
        <v>42405</v>
      </c>
      <c r="K1099" s="413">
        <v>26.217537</v>
      </c>
      <c r="L1099" s="30">
        <f t="shared" si="46"/>
        <v>4.7977830348587706E-2</v>
      </c>
      <c r="M1099" s="414">
        <v>1880.0500489999999</v>
      </c>
      <c r="N1099" s="31">
        <f t="shared" si="47"/>
        <v>1.4357146088932727E-2</v>
      </c>
      <c r="Q1099" s="34"/>
      <c r="R1099" s="23"/>
      <c r="S1099" s="34"/>
      <c r="T1099" s="23"/>
      <c r="U1099" s="2"/>
      <c r="W1099" s="34"/>
      <c r="X1099" s="23"/>
      <c r="Y1099" s="34"/>
      <c r="Z1099" s="23"/>
      <c r="AA1099" s="2"/>
      <c r="AC1099" s="244"/>
    </row>
    <row r="1100" spans="10:29">
      <c r="J1100" s="412">
        <v>42408</v>
      </c>
      <c r="K1100" s="413">
        <v>25.017263</v>
      </c>
      <c r="L1100" s="30">
        <f t="shared" si="46"/>
        <v>-1.059240715468201E-2</v>
      </c>
      <c r="M1100" s="414">
        <v>1853.4399410000001</v>
      </c>
      <c r="N1100" s="31">
        <f t="shared" si="47"/>
        <v>6.640607846294099E-4</v>
      </c>
      <c r="Q1100" s="34"/>
      <c r="R1100" s="23"/>
      <c r="S1100" s="34"/>
      <c r="T1100" s="23"/>
      <c r="U1100" s="2"/>
      <c r="W1100" s="34"/>
      <c r="X1100" s="23"/>
      <c r="Y1100" s="34"/>
      <c r="Z1100" s="23"/>
      <c r="AA1100" s="2"/>
      <c r="AC1100" s="244"/>
    </row>
    <row r="1101" spans="10:29">
      <c r="J1101" s="412">
        <v>42409</v>
      </c>
      <c r="K1101" s="413">
        <v>25.285093</v>
      </c>
      <c r="L1101" s="30">
        <f t="shared" si="46"/>
        <v>2.3593911195526158E-3</v>
      </c>
      <c r="M1101" s="414">
        <v>1852.209961</v>
      </c>
      <c r="N1101" s="31">
        <f t="shared" si="47"/>
        <v>1.8898620999144793E-4</v>
      </c>
      <c r="Q1101" s="34"/>
      <c r="R1101" s="23"/>
      <c r="S1101" s="34"/>
      <c r="T1101" s="23"/>
      <c r="U1101" s="2"/>
      <c r="W1101" s="34"/>
      <c r="X1101" s="23"/>
      <c r="Y1101" s="34"/>
      <c r="Z1101" s="23"/>
      <c r="AA1101" s="2"/>
      <c r="AC1101" s="244"/>
    </row>
    <row r="1102" spans="10:29">
      <c r="J1102" s="412">
        <v>42410</v>
      </c>
      <c r="K1102" s="413">
        <v>25.225576</v>
      </c>
      <c r="L1102" s="30">
        <f t="shared" si="46"/>
        <v>5.1383811843984861E-3</v>
      </c>
      <c r="M1102" s="414">
        <v>1851.8599850000001</v>
      </c>
      <c r="N1102" s="31">
        <f t="shared" si="47"/>
        <v>1.2454364788851261E-2</v>
      </c>
      <c r="Q1102" s="34"/>
      <c r="R1102" s="23"/>
      <c r="S1102" s="34"/>
      <c r="T1102" s="23"/>
      <c r="U1102" s="2"/>
      <c r="W1102" s="34"/>
      <c r="X1102" s="23"/>
      <c r="Y1102" s="34"/>
      <c r="Z1102" s="23"/>
      <c r="AA1102" s="2"/>
      <c r="AC1102" s="244"/>
    </row>
    <row r="1103" spans="10:29">
      <c r="J1103" s="412">
        <v>42411</v>
      </c>
      <c r="K1103" s="413">
        <v>25.096620000000001</v>
      </c>
      <c r="L1103" s="30">
        <f t="shared" si="46"/>
        <v>-1.6712034605113998E-2</v>
      </c>
      <c r="M1103" s="414">
        <v>1829.079956</v>
      </c>
      <c r="N1103" s="31">
        <f t="shared" si="47"/>
        <v>-1.9144388316483827E-2</v>
      </c>
      <c r="Q1103" s="34"/>
      <c r="R1103" s="23"/>
      <c r="S1103" s="34"/>
      <c r="T1103" s="23"/>
      <c r="U1103" s="2"/>
      <c r="W1103" s="34"/>
      <c r="X1103" s="23"/>
      <c r="Y1103" s="34"/>
      <c r="Z1103" s="23"/>
      <c r="AA1103" s="2"/>
      <c r="AC1103" s="244"/>
    </row>
    <row r="1104" spans="10:29">
      <c r="J1104" s="412">
        <v>42412</v>
      </c>
      <c r="K1104" s="413">
        <v>25.523164000000001</v>
      </c>
      <c r="L1104" s="30">
        <f t="shared" si="46"/>
        <v>-4.6683948980756153E-2</v>
      </c>
      <c r="M1104" s="414">
        <v>1864.780029</v>
      </c>
      <c r="N1104" s="31">
        <f t="shared" si="47"/>
        <v>-1.6248286917420869E-2</v>
      </c>
      <c r="Q1104" s="34"/>
      <c r="R1104" s="23"/>
      <c r="S1104" s="34"/>
      <c r="T1104" s="23"/>
      <c r="U1104" s="2"/>
      <c r="W1104" s="34"/>
      <c r="X1104" s="23"/>
      <c r="Y1104" s="34"/>
      <c r="Z1104" s="23"/>
      <c r="AA1104" s="2"/>
      <c r="AC1104" s="244"/>
    </row>
    <row r="1105" spans="10:29">
      <c r="J1105" s="412">
        <v>42416</v>
      </c>
      <c r="K1105" s="413">
        <v>26.773035</v>
      </c>
      <c r="L1105" s="30">
        <f t="shared" si="46"/>
        <v>-2.4222702171020564E-2</v>
      </c>
      <c r="M1105" s="414">
        <v>1895.579956</v>
      </c>
      <c r="N1105" s="31">
        <f t="shared" si="47"/>
        <v>-1.6213237809195917E-2</v>
      </c>
      <c r="Q1105" s="34"/>
      <c r="R1105" s="23"/>
      <c r="S1105" s="34"/>
      <c r="T1105" s="23"/>
      <c r="U1105" s="2"/>
      <c r="W1105" s="34"/>
      <c r="X1105" s="23"/>
      <c r="Y1105" s="34"/>
      <c r="Z1105" s="23"/>
      <c r="AA1105" s="2"/>
      <c r="AC1105" s="244"/>
    </row>
    <row r="1106" spans="10:29">
      <c r="J1106" s="412">
        <v>42417</v>
      </c>
      <c r="K1106" s="413">
        <v>27.437649</v>
      </c>
      <c r="L1106" s="30">
        <f t="shared" si="46"/>
        <v>-7.922773206372212E-2</v>
      </c>
      <c r="M1106" s="414">
        <v>1926.8199460000001</v>
      </c>
      <c r="N1106" s="31">
        <f t="shared" si="47"/>
        <v>4.6875845128367755E-3</v>
      </c>
      <c r="Q1106" s="34"/>
      <c r="R1106" s="23"/>
      <c r="S1106" s="34"/>
      <c r="T1106" s="23"/>
      <c r="U1106" s="2"/>
      <c r="W1106" s="34"/>
      <c r="X1106" s="23"/>
      <c r="Y1106" s="34"/>
      <c r="Z1106" s="23"/>
      <c r="AA1106" s="2"/>
      <c r="AC1106" s="244"/>
    </row>
    <row r="1107" spans="10:29">
      <c r="J1107" s="412">
        <v>42418</v>
      </c>
      <c r="K1107" s="413">
        <v>29.798518000000001</v>
      </c>
      <c r="L1107" s="30">
        <f t="shared" si="46"/>
        <v>-1.3140619916945286E-2</v>
      </c>
      <c r="M1107" s="414">
        <v>1917.829956</v>
      </c>
      <c r="N1107" s="31">
        <f t="shared" si="47"/>
        <v>2.6033746960050934E-5</v>
      </c>
      <c r="Q1107" s="34"/>
      <c r="R1107" s="23"/>
      <c r="S1107" s="34"/>
      <c r="T1107" s="23"/>
      <c r="U1107" s="2"/>
      <c r="W1107" s="34"/>
      <c r="X1107" s="23"/>
      <c r="Y1107" s="34"/>
      <c r="Z1107" s="23"/>
      <c r="AA1107" s="2"/>
      <c r="AC1107" s="244"/>
    </row>
    <row r="1108" spans="10:29">
      <c r="J1108" s="412">
        <v>42419</v>
      </c>
      <c r="K1108" s="413">
        <v>30.195302999999999</v>
      </c>
      <c r="L1108" s="30">
        <f t="shared" si="46"/>
        <v>-3.4263951963341401E-2</v>
      </c>
      <c r="M1108" s="414">
        <v>1917.780029</v>
      </c>
      <c r="N1108" s="31">
        <f t="shared" si="47"/>
        <v>-1.424825032125417E-2</v>
      </c>
      <c r="Q1108" s="34"/>
      <c r="R1108" s="23"/>
      <c r="S1108" s="34"/>
      <c r="T1108" s="23"/>
      <c r="U1108" s="2"/>
      <c r="W1108" s="34"/>
      <c r="X1108" s="23"/>
      <c r="Y1108" s="34"/>
      <c r="Z1108" s="23"/>
      <c r="AA1108" s="2"/>
      <c r="AC1108" s="244"/>
    </row>
    <row r="1109" spans="10:29">
      <c r="J1109" s="412">
        <v>42422</v>
      </c>
      <c r="K1109" s="413">
        <v>31.266621000000001</v>
      </c>
      <c r="L1109" s="30">
        <f t="shared" si="46"/>
        <v>-2.531616736654935E-3</v>
      </c>
      <c r="M1109" s="414">
        <v>1945.5</v>
      </c>
      <c r="N1109" s="31">
        <f t="shared" si="47"/>
        <v>1.2611439177091864E-2</v>
      </c>
      <c r="Q1109" s="34"/>
      <c r="R1109" s="23"/>
      <c r="S1109" s="34"/>
      <c r="T1109" s="23"/>
      <c r="U1109" s="2"/>
      <c r="W1109" s="34"/>
      <c r="X1109" s="23"/>
      <c r="Y1109" s="34"/>
      <c r="Z1109" s="23"/>
      <c r="AA1109" s="2"/>
      <c r="AC1109" s="244"/>
    </row>
    <row r="1110" spans="10:29">
      <c r="J1110" s="412">
        <v>42423</v>
      </c>
      <c r="K1110" s="413">
        <v>31.345977000000001</v>
      </c>
      <c r="L1110" s="30">
        <f t="shared" si="46"/>
        <v>-6.9138753616120952E-3</v>
      </c>
      <c r="M1110" s="414">
        <v>1921.2700199999999</v>
      </c>
      <c r="N1110" s="31">
        <f t="shared" si="47"/>
        <v>-4.4201620807400102E-3</v>
      </c>
      <c r="Q1110" s="34"/>
      <c r="R1110" s="23"/>
      <c r="S1110" s="34"/>
      <c r="T1110" s="23"/>
      <c r="U1110" s="2"/>
      <c r="W1110" s="34"/>
      <c r="X1110" s="23"/>
      <c r="Y1110" s="34"/>
      <c r="Z1110" s="23"/>
      <c r="AA1110" s="2"/>
      <c r="AC1110" s="244"/>
    </row>
    <row r="1111" spans="10:29">
      <c r="J1111" s="412">
        <v>42424</v>
      </c>
      <c r="K1111" s="413">
        <v>31.564208000000001</v>
      </c>
      <c r="L1111" s="30">
        <f t="shared" si="46"/>
        <v>-2.1950363291995162E-3</v>
      </c>
      <c r="M1111" s="414">
        <v>1929.8000489999999</v>
      </c>
      <c r="N1111" s="31">
        <f t="shared" si="47"/>
        <v>-1.1220936901073945E-2</v>
      </c>
      <c r="Q1111" s="34"/>
      <c r="R1111" s="23"/>
      <c r="S1111" s="34"/>
      <c r="T1111" s="23"/>
      <c r="U1111" s="2"/>
      <c r="W1111" s="34"/>
      <c r="X1111" s="23"/>
      <c r="Y1111" s="34"/>
      <c r="Z1111" s="23"/>
      <c r="AA1111" s="2"/>
      <c r="AC1111" s="244"/>
    </row>
    <row r="1112" spans="10:29">
      <c r="J1112" s="412">
        <v>42425</v>
      </c>
      <c r="K1112" s="413">
        <v>31.633645000000001</v>
      </c>
      <c r="L1112" s="30">
        <f t="shared" si="46"/>
        <v>6.6287600952786028E-3</v>
      </c>
      <c r="M1112" s="414">
        <v>1951.6999510000001</v>
      </c>
      <c r="N1112" s="31">
        <f t="shared" si="47"/>
        <v>1.8736181864905008E-3</v>
      </c>
      <c r="Q1112" s="34"/>
      <c r="R1112" s="23"/>
      <c r="S1112" s="34"/>
      <c r="T1112" s="23"/>
      <c r="U1112" s="2"/>
      <c r="W1112" s="34"/>
      <c r="X1112" s="23"/>
      <c r="Y1112" s="34"/>
      <c r="Z1112" s="23"/>
      <c r="AA1112" s="2"/>
      <c r="AC1112" s="244"/>
    </row>
    <row r="1113" spans="10:29">
      <c r="J1113" s="412">
        <v>42426</v>
      </c>
      <c r="K1113" s="413">
        <v>31.425333999999999</v>
      </c>
      <c r="L1113" s="30">
        <f t="shared" si="46"/>
        <v>6.537024154069402E-3</v>
      </c>
      <c r="M1113" s="414">
        <v>1948.0500489999999</v>
      </c>
      <c r="N1113" s="31">
        <f t="shared" si="47"/>
        <v>8.1874668977032824E-3</v>
      </c>
      <c r="Q1113" s="34"/>
      <c r="R1113" s="23"/>
      <c r="S1113" s="34"/>
      <c r="T1113" s="23"/>
      <c r="U1113" s="2"/>
      <c r="W1113" s="34"/>
      <c r="X1113" s="23"/>
      <c r="Y1113" s="34"/>
      <c r="Z1113" s="23"/>
      <c r="AA1113" s="2"/>
      <c r="AC1113" s="244"/>
    </row>
    <row r="1114" spans="10:29">
      <c r="J1114" s="412">
        <v>42429</v>
      </c>
      <c r="K1114" s="413">
        <v>31.221240000000002</v>
      </c>
      <c r="L1114" s="30">
        <f t="shared" si="46"/>
        <v>-4.2442730335745991E-2</v>
      </c>
      <c r="M1114" s="414">
        <v>1932.2299800000001</v>
      </c>
      <c r="N1114" s="31">
        <f t="shared" si="47"/>
        <v>-2.3312354517399051E-2</v>
      </c>
      <c r="Q1114" s="34"/>
      <c r="R1114" s="23"/>
      <c r="S1114" s="34"/>
      <c r="T1114" s="23"/>
      <c r="U1114" s="2"/>
      <c r="W1114" s="34"/>
      <c r="X1114" s="23"/>
      <c r="Y1114" s="34"/>
      <c r="Z1114" s="23"/>
      <c r="AA1114" s="2"/>
      <c r="AC1114" s="244"/>
    </row>
    <row r="1115" spans="10:29">
      <c r="J1115" s="412">
        <v>42430</v>
      </c>
      <c r="K1115" s="413">
        <v>32.605089</v>
      </c>
      <c r="L1115" s="30">
        <f t="shared" si="46"/>
        <v>-5.768023885408897E-3</v>
      </c>
      <c r="M1115" s="414">
        <v>1978.349976</v>
      </c>
      <c r="N1115" s="31">
        <f t="shared" si="47"/>
        <v>-4.0776134308958918E-3</v>
      </c>
      <c r="Q1115" s="34"/>
      <c r="R1115" s="23"/>
      <c r="S1115" s="34"/>
      <c r="T1115" s="23"/>
      <c r="U1115" s="2"/>
      <c r="W1115" s="34"/>
      <c r="X1115" s="23"/>
      <c r="Y1115" s="34"/>
      <c r="Z1115" s="23"/>
      <c r="AA1115" s="2"/>
      <c r="AC1115" s="244"/>
    </row>
    <row r="1116" spans="10:29">
      <c r="J1116" s="412">
        <v>42431</v>
      </c>
      <c r="K1116" s="413">
        <v>32.794246999999999</v>
      </c>
      <c r="L1116" s="30">
        <f t="shared" si="46"/>
        <v>8.8819955667239422E-3</v>
      </c>
      <c r="M1116" s="414">
        <v>1986.4499510000001</v>
      </c>
      <c r="N1116" s="31">
        <f t="shared" si="47"/>
        <v>-3.4865420469163068E-3</v>
      </c>
      <c r="Q1116" s="34"/>
      <c r="R1116" s="23"/>
      <c r="S1116" s="34"/>
      <c r="T1116" s="23"/>
      <c r="U1116" s="2"/>
      <c r="W1116" s="34"/>
      <c r="X1116" s="23"/>
      <c r="Y1116" s="34"/>
      <c r="Z1116" s="23"/>
      <c r="AA1116" s="2"/>
      <c r="AC1116" s="244"/>
    </row>
    <row r="1117" spans="10:29">
      <c r="J1117" s="412">
        <v>42432</v>
      </c>
      <c r="K1117" s="413">
        <v>32.505533</v>
      </c>
      <c r="L1117" s="30">
        <f t="shared" si="46"/>
        <v>3.0722421736189532E-3</v>
      </c>
      <c r="M1117" s="414">
        <v>1993.400024</v>
      </c>
      <c r="N1117" s="31">
        <f t="shared" si="47"/>
        <v>-3.2949994914724568E-3</v>
      </c>
      <c r="Q1117" s="34"/>
      <c r="R1117" s="23"/>
      <c r="S1117" s="34"/>
      <c r="T1117" s="23"/>
      <c r="U1117" s="2"/>
      <c r="W1117" s="34"/>
      <c r="X1117" s="23"/>
      <c r="Y1117" s="34"/>
      <c r="Z1117" s="23"/>
      <c r="AA1117" s="2"/>
      <c r="AC1117" s="244"/>
    </row>
    <row r="1118" spans="10:29">
      <c r="J1118" s="412">
        <v>42433</v>
      </c>
      <c r="K1118" s="413">
        <v>32.405974000000001</v>
      </c>
      <c r="L1118" s="30">
        <f t="shared" si="46"/>
        <v>6.4934814850520087E-3</v>
      </c>
      <c r="M1118" s="414">
        <v>1999.98999</v>
      </c>
      <c r="N1118" s="31">
        <f t="shared" si="47"/>
        <v>-8.8423187153185826E-4</v>
      </c>
      <c r="Q1118" s="34"/>
      <c r="R1118" s="23"/>
      <c r="S1118" s="34"/>
      <c r="T1118" s="23"/>
      <c r="U1118" s="2"/>
      <c r="W1118" s="34"/>
      <c r="X1118" s="23"/>
      <c r="Y1118" s="34"/>
      <c r="Z1118" s="23"/>
      <c r="AA1118" s="2"/>
      <c r="AC1118" s="244"/>
    </row>
    <row r="1119" spans="10:29">
      <c r="J1119" s="412">
        <v>42436</v>
      </c>
      <c r="K1119" s="413">
        <v>32.196904000000004</v>
      </c>
      <c r="L1119" s="30">
        <f t="shared" si="46"/>
        <v>1.8582696336299342E-2</v>
      </c>
      <c r="M1119" s="414">
        <v>2001.76001</v>
      </c>
      <c r="N1119" s="31">
        <f t="shared" si="47"/>
        <v>1.1367884909673893E-2</v>
      </c>
      <c r="Q1119" s="34"/>
      <c r="R1119" s="23"/>
      <c r="S1119" s="34"/>
      <c r="T1119" s="23"/>
      <c r="U1119" s="2"/>
      <c r="W1119" s="34"/>
      <c r="X1119" s="23"/>
      <c r="Y1119" s="34"/>
      <c r="Z1119" s="23"/>
      <c r="AA1119" s="2"/>
      <c r="AC1119" s="244"/>
    </row>
    <row r="1120" spans="10:29">
      <c r="J1120" s="412">
        <v>42437</v>
      </c>
      <c r="K1120" s="413">
        <v>31.609514000000001</v>
      </c>
      <c r="L1120" s="30">
        <f t="shared" si="46"/>
        <v>6.3033399407822497E-4</v>
      </c>
      <c r="M1120" s="414">
        <v>1979.26001</v>
      </c>
      <c r="N1120" s="31">
        <f t="shared" si="47"/>
        <v>-5.026994937680369E-3</v>
      </c>
      <c r="Q1120" s="34"/>
      <c r="R1120" s="23"/>
      <c r="S1120" s="34"/>
      <c r="T1120" s="23"/>
      <c r="U1120" s="2"/>
      <c r="W1120" s="34"/>
      <c r="X1120" s="23"/>
      <c r="Y1120" s="34"/>
      <c r="Z1120" s="23"/>
      <c r="AA1120" s="2"/>
      <c r="AC1120" s="244"/>
    </row>
    <row r="1121" spans="10:29">
      <c r="J1121" s="412">
        <v>42438</v>
      </c>
      <c r="K1121" s="413">
        <v>31.589601999999999</v>
      </c>
      <c r="L1121" s="30">
        <f t="shared" si="46"/>
        <v>1.5782586484946739E-3</v>
      </c>
      <c r="M1121" s="414">
        <v>1989.26001</v>
      </c>
      <c r="N1121" s="31">
        <f t="shared" si="47"/>
        <v>-1.5578039898684064E-4</v>
      </c>
      <c r="Q1121" s="34"/>
      <c r="R1121" s="23"/>
      <c r="S1121" s="34"/>
      <c r="T1121" s="23"/>
      <c r="U1121" s="2"/>
      <c r="W1121" s="34"/>
      <c r="X1121" s="23"/>
      <c r="Y1121" s="34"/>
      <c r="Z1121" s="23"/>
      <c r="AA1121" s="2"/>
      <c r="AC1121" s="244"/>
    </row>
    <row r="1122" spans="10:29">
      <c r="J1122" s="412">
        <v>42439</v>
      </c>
      <c r="K1122" s="413">
        <v>31.539823999999999</v>
      </c>
      <c r="L1122" s="30">
        <f t="shared" si="46"/>
        <v>-1.6759818334607521E-2</v>
      </c>
      <c r="M1122" s="414">
        <v>1989.5699460000001</v>
      </c>
      <c r="N1122" s="31">
        <f t="shared" si="47"/>
        <v>-1.6131024261681864E-2</v>
      </c>
      <c r="Q1122" s="34"/>
      <c r="R1122" s="23"/>
      <c r="S1122" s="34"/>
      <c r="T1122" s="23"/>
      <c r="U1122" s="2"/>
      <c r="W1122" s="34"/>
      <c r="X1122" s="23"/>
      <c r="Y1122" s="34"/>
      <c r="Z1122" s="23"/>
      <c r="AA1122" s="2"/>
      <c r="AC1122" s="244"/>
    </row>
    <row r="1123" spans="10:29">
      <c r="J1123" s="412">
        <v>42440</v>
      </c>
      <c r="K1123" s="413">
        <v>32.077435999999999</v>
      </c>
      <c r="L1123" s="30">
        <f t="shared" si="46"/>
        <v>-2.4767174133970443E-3</v>
      </c>
      <c r="M1123" s="414">
        <v>2022.1899410000001</v>
      </c>
      <c r="N1123" s="31">
        <f t="shared" si="47"/>
        <v>1.2625646060989446E-3</v>
      </c>
      <c r="Q1123" s="34"/>
      <c r="R1123" s="23"/>
      <c r="S1123" s="34"/>
      <c r="T1123" s="23"/>
      <c r="U1123" s="2"/>
      <c r="W1123" s="34"/>
      <c r="X1123" s="23"/>
      <c r="Y1123" s="34"/>
      <c r="Z1123" s="23"/>
      <c r="AA1123" s="2"/>
      <c r="AC1123" s="244"/>
    </row>
    <row r="1124" spans="10:29">
      <c r="J1124" s="412">
        <v>42443</v>
      </c>
      <c r="K1124" s="413">
        <v>32.157080000000001</v>
      </c>
      <c r="L1124" s="30">
        <f t="shared" si="46"/>
        <v>4.9782191193966487E-3</v>
      </c>
      <c r="M1124" s="414">
        <v>2019.6400149999999</v>
      </c>
      <c r="N1124" s="31">
        <f t="shared" si="47"/>
        <v>1.8403222833246284E-3</v>
      </c>
      <c r="Q1124" s="34"/>
      <c r="R1124" s="23"/>
      <c r="S1124" s="34"/>
      <c r="T1124" s="23"/>
      <c r="U1124" s="2"/>
      <c r="W1124" s="34"/>
      <c r="X1124" s="23"/>
      <c r="Y1124" s="34"/>
      <c r="Z1124" s="23"/>
      <c r="AA1124" s="2"/>
      <c r="AC1124" s="244"/>
    </row>
    <row r="1125" spans="10:29">
      <c r="J1125" s="412">
        <v>42444</v>
      </c>
      <c r="K1125" s="413">
        <v>31.997788</v>
      </c>
      <c r="L1125" s="30">
        <f t="shared" si="46"/>
        <v>-2.9002985081511258E-2</v>
      </c>
      <c r="M1125" s="414">
        <v>2015.9300539999999</v>
      </c>
      <c r="N1125" s="31">
        <f t="shared" si="47"/>
        <v>-5.5691622820935888E-3</v>
      </c>
      <c r="Q1125" s="34"/>
      <c r="R1125" s="23"/>
      <c r="S1125" s="34"/>
      <c r="T1125" s="23"/>
      <c r="U1125" s="2"/>
      <c r="W1125" s="34"/>
      <c r="X1125" s="23"/>
      <c r="Y1125" s="34"/>
      <c r="Z1125" s="23"/>
      <c r="AA1125" s="2"/>
      <c r="AC1125" s="244"/>
    </row>
    <row r="1126" spans="10:29">
      <c r="J1126" s="412">
        <v>42445</v>
      </c>
      <c r="K1126" s="413">
        <v>32.953538999999999</v>
      </c>
      <c r="L1126" s="30">
        <f t="shared" si="46"/>
        <v>8.5313507399697591E-3</v>
      </c>
      <c r="M1126" s="414">
        <v>2027.219971</v>
      </c>
      <c r="N1126" s="31">
        <f t="shared" si="47"/>
        <v>-6.5520242786492348E-3</v>
      </c>
      <c r="Q1126" s="34"/>
      <c r="R1126" s="23"/>
      <c r="S1126" s="34"/>
      <c r="T1126" s="23"/>
      <c r="U1126" s="2"/>
      <c r="W1126" s="34"/>
      <c r="X1126" s="23"/>
      <c r="Y1126" s="34"/>
      <c r="Z1126" s="23"/>
      <c r="AA1126" s="2"/>
      <c r="AC1126" s="244"/>
    </row>
    <row r="1127" spans="10:29">
      <c r="J1127" s="412">
        <v>42446</v>
      </c>
      <c r="K1127" s="413">
        <v>32.674779000000001</v>
      </c>
      <c r="L1127" s="30">
        <f t="shared" si="46"/>
        <v>-2.928135051035189E-2</v>
      </c>
      <c r="M1127" s="414">
        <v>2040.589966</v>
      </c>
      <c r="N1127" s="31">
        <f t="shared" si="47"/>
        <v>-4.3863189813850021E-3</v>
      </c>
      <c r="Q1127" s="34"/>
      <c r="R1127" s="23"/>
      <c r="S1127" s="34"/>
      <c r="T1127" s="23"/>
      <c r="U1127" s="2"/>
      <c r="W1127" s="34"/>
      <c r="X1127" s="23"/>
      <c r="Y1127" s="34"/>
      <c r="Z1127" s="23"/>
      <c r="AA1127" s="2"/>
      <c r="AC1127" s="244"/>
    </row>
    <row r="1128" spans="10:29">
      <c r="J1128" s="412">
        <v>42447</v>
      </c>
      <c r="K1128" s="413">
        <v>33.660401</v>
      </c>
      <c r="L1128" s="30">
        <f t="shared" si="46"/>
        <v>-2.9489374053408824E-3</v>
      </c>
      <c r="M1128" s="414">
        <v>2049.580078</v>
      </c>
      <c r="N1128" s="31">
        <f t="shared" si="47"/>
        <v>-9.8460708886158928E-4</v>
      </c>
      <c r="Q1128" s="34"/>
      <c r="R1128" s="23"/>
      <c r="S1128" s="34"/>
      <c r="T1128" s="23"/>
      <c r="U1128" s="2"/>
      <c r="W1128" s="34"/>
      <c r="X1128" s="23"/>
      <c r="Y1128" s="34"/>
      <c r="Z1128" s="23"/>
      <c r="AA1128" s="2"/>
      <c r="AC1128" s="244"/>
    </row>
    <row r="1129" spans="10:29">
      <c r="J1129" s="412">
        <v>42450</v>
      </c>
      <c r="K1129" s="413">
        <v>33.759957</v>
      </c>
      <c r="L1129" s="30">
        <f t="shared" si="46"/>
        <v>1.7725699781019507E-3</v>
      </c>
      <c r="M1129" s="414">
        <v>2051.6000979999999</v>
      </c>
      <c r="N1129" s="31">
        <f t="shared" si="47"/>
        <v>8.7815833592066843E-4</v>
      </c>
      <c r="Q1129" s="34"/>
      <c r="R1129" s="23"/>
      <c r="S1129" s="34"/>
      <c r="T1129" s="23"/>
      <c r="U1129" s="2"/>
      <c r="W1129" s="34"/>
      <c r="X1129" s="23"/>
      <c r="Y1129" s="34"/>
      <c r="Z1129" s="23"/>
      <c r="AA1129" s="2"/>
      <c r="AC1129" s="244"/>
    </row>
    <row r="1130" spans="10:29">
      <c r="J1130" s="412">
        <v>42451</v>
      </c>
      <c r="K1130" s="413">
        <v>33.700220999999999</v>
      </c>
      <c r="L1130" s="30">
        <f t="shared" si="46"/>
        <v>-1.6845813494364995E-2</v>
      </c>
      <c r="M1130" s="414">
        <v>2049.8000489999999</v>
      </c>
      <c r="N1130" s="31">
        <f t="shared" si="47"/>
        <v>6.4270751607523186E-3</v>
      </c>
      <c r="Q1130" s="34"/>
      <c r="R1130" s="23"/>
      <c r="S1130" s="34"/>
      <c r="T1130" s="23"/>
      <c r="U1130" s="2"/>
      <c r="W1130" s="34"/>
      <c r="X1130" s="23"/>
      <c r="Y1130" s="34"/>
      <c r="Z1130" s="23"/>
      <c r="AA1130" s="2"/>
      <c r="AC1130" s="244"/>
    </row>
    <row r="1131" spans="10:29">
      <c r="J1131" s="412">
        <v>42452</v>
      </c>
      <c r="K1131" s="413">
        <v>34.277656</v>
      </c>
      <c r="L1131" s="30">
        <f t="shared" si="46"/>
        <v>-1.4500938229171552E-3</v>
      </c>
      <c r="M1131" s="414">
        <v>2036.709961</v>
      </c>
      <c r="N1131" s="31">
        <f t="shared" si="47"/>
        <v>3.7821351430519985E-4</v>
      </c>
      <c r="Q1131" s="34"/>
      <c r="R1131" s="23"/>
      <c r="S1131" s="34"/>
      <c r="T1131" s="23"/>
      <c r="U1131" s="2"/>
      <c r="W1131" s="34"/>
      <c r="X1131" s="23"/>
      <c r="Y1131" s="34"/>
      <c r="Z1131" s="23"/>
      <c r="AA1131" s="2"/>
      <c r="AC1131" s="244"/>
    </row>
    <row r="1132" spans="10:29">
      <c r="J1132" s="412">
        <v>42453</v>
      </c>
      <c r="K1132" s="413">
        <v>34.327433999999997</v>
      </c>
      <c r="L1132" s="30">
        <f t="shared" si="46"/>
        <v>-1.0048884688980533E-2</v>
      </c>
      <c r="M1132" s="414">
        <v>2035.9399410000001</v>
      </c>
      <c r="N1132" s="31">
        <f t="shared" si="47"/>
        <v>-5.4495862806356341E-4</v>
      </c>
      <c r="Q1132" s="34"/>
      <c r="R1132" s="23"/>
      <c r="S1132" s="34"/>
      <c r="T1132" s="23"/>
      <c r="U1132" s="2"/>
      <c r="W1132" s="34"/>
      <c r="X1132" s="23"/>
      <c r="Y1132" s="34"/>
      <c r="Z1132" s="23"/>
      <c r="AA1132" s="2"/>
      <c r="AC1132" s="244"/>
    </row>
    <row r="1133" spans="10:29">
      <c r="J1133" s="412">
        <v>42457</v>
      </c>
      <c r="K1133" s="413">
        <v>34.675888</v>
      </c>
      <c r="L1133" s="30">
        <f t="shared" si="46"/>
        <v>-1.5823590378302024E-2</v>
      </c>
      <c r="M1133" s="414">
        <v>2037.0500489999999</v>
      </c>
      <c r="N1133" s="31">
        <f t="shared" si="47"/>
        <v>-8.7395978183094202E-3</v>
      </c>
      <c r="Q1133" s="34"/>
      <c r="R1133" s="23"/>
      <c r="S1133" s="34"/>
      <c r="T1133" s="23"/>
      <c r="U1133" s="2"/>
      <c r="W1133" s="34"/>
      <c r="X1133" s="23"/>
      <c r="Y1133" s="34"/>
      <c r="Z1133" s="23"/>
      <c r="AA1133" s="2"/>
      <c r="AC1133" s="244"/>
    </row>
    <row r="1134" spans="10:29">
      <c r="J1134" s="412">
        <v>42458</v>
      </c>
      <c r="K1134" s="413">
        <v>35.233407</v>
      </c>
      <c r="L1134" s="30">
        <f t="shared" si="46"/>
        <v>-1.0346733051382858E-2</v>
      </c>
      <c r="M1134" s="414">
        <v>2055.01001</v>
      </c>
      <c r="N1134" s="31">
        <f t="shared" si="47"/>
        <v>-4.3314717954612307E-3</v>
      </c>
      <c r="Q1134" s="34"/>
      <c r="R1134" s="23"/>
      <c r="S1134" s="34"/>
      <c r="T1134" s="23"/>
      <c r="U1134" s="2"/>
      <c r="W1134" s="34"/>
      <c r="X1134" s="23"/>
      <c r="Y1134" s="34"/>
      <c r="Z1134" s="23"/>
      <c r="AA1134" s="2"/>
      <c r="AC1134" s="244"/>
    </row>
    <row r="1135" spans="10:29">
      <c r="J1135" s="412">
        <v>42459</v>
      </c>
      <c r="K1135" s="413">
        <v>35.601768999999997</v>
      </c>
      <c r="L1135" s="30">
        <f t="shared" si="46"/>
        <v>3.6485321932602358E-3</v>
      </c>
      <c r="M1135" s="414">
        <v>2063.9499510000001</v>
      </c>
      <c r="N1135" s="31">
        <f t="shared" si="47"/>
        <v>2.0439283698133284E-3</v>
      </c>
      <c r="Q1135" s="34"/>
      <c r="R1135" s="23"/>
      <c r="S1135" s="34"/>
      <c r="T1135" s="23"/>
      <c r="U1135" s="2"/>
      <c r="W1135" s="34"/>
      <c r="X1135" s="23"/>
      <c r="Y1135" s="34"/>
      <c r="Z1135" s="23"/>
      <c r="AA1135" s="2"/>
      <c r="AC1135" s="244"/>
    </row>
    <row r="1136" spans="10:29">
      <c r="J1136" s="412">
        <v>42460</v>
      </c>
      <c r="K1136" s="413">
        <v>35.472346999999999</v>
      </c>
      <c r="L1136" s="30">
        <f t="shared" si="46"/>
        <v>-1.4384532479215653E-2</v>
      </c>
      <c r="M1136" s="414">
        <v>2059.73999</v>
      </c>
      <c r="N1136" s="31">
        <f t="shared" si="47"/>
        <v>-6.2910867615272549E-3</v>
      </c>
      <c r="Q1136" s="34"/>
      <c r="R1136" s="23"/>
      <c r="S1136" s="34"/>
      <c r="T1136" s="23"/>
      <c r="U1136" s="2"/>
      <c r="W1136" s="34"/>
      <c r="X1136" s="23"/>
      <c r="Y1136" s="34"/>
      <c r="Z1136" s="23"/>
      <c r="AA1136" s="2"/>
      <c r="AC1136" s="244"/>
    </row>
    <row r="1137" spans="10:29">
      <c r="J1137" s="412">
        <v>42461</v>
      </c>
      <c r="K1137" s="413">
        <v>35.990046999999997</v>
      </c>
      <c r="L1137" s="30">
        <f t="shared" si="46"/>
        <v>9.7766112754835814E-3</v>
      </c>
      <c r="M1137" s="414">
        <v>2072.780029</v>
      </c>
      <c r="N1137" s="31">
        <f t="shared" si="47"/>
        <v>3.2186485732174802E-3</v>
      </c>
      <c r="Q1137" s="34"/>
      <c r="R1137" s="23"/>
      <c r="S1137" s="34"/>
      <c r="T1137" s="23"/>
      <c r="U1137" s="2"/>
      <c r="W1137" s="34"/>
      <c r="X1137" s="23"/>
      <c r="Y1137" s="34"/>
      <c r="Z1137" s="23"/>
      <c r="AA1137" s="2"/>
      <c r="AC1137" s="244"/>
    </row>
    <row r="1138" spans="10:29">
      <c r="J1138" s="412">
        <v>42464</v>
      </c>
      <c r="K1138" s="413">
        <v>35.641593</v>
      </c>
      <c r="L1138" s="30">
        <f t="shared" si="46"/>
        <v>1.398579982504501E-3</v>
      </c>
      <c r="M1138" s="414">
        <v>2066.1298830000001</v>
      </c>
      <c r="N1138" s="31">
        <f t="shared" si="47"/>
        <v>1.0248457853903567E-2</v>
      </c>
      <c r="Q1138" s="34"/>
      <c r="R1138" s="23"/>
      <c r="S1138" s="34"/>
      <c r="T1138" s="23"/>
      <c r="U1138" s="2"/>
      <c r="W1138" s="34"/>
      <c r="X1138" s="23"/>
      <c r="Y1138" s="34"/>
      <c r="Z1138" s="23"/>
      <c r="AA1138" s="2"/>
      <c r="AC1138" s="244"/>
    </row>
    <row r="1139" spans="10:29">
      <c r="J1139" s="412">
        <v>42465</v>
      </c>
      <c r="K1139" s="413">
        <v>35.591814999999997</v>
      </c>
      <c r="L1139" s="30">
        <f t="shared" si="46"/>
        <v>-1.396626688375108E-3</v>
      </c>
      <c r="M1139" s="414">
        <v>2045.170044</v>
      </c>
      <c r="N1139" s="31">
        <f t="shared" si="47"/>
        <v>-1.0398357211663045E-2</v>
      </c>
      <c r="Q1139" s="34"/>
      <c r="R1139" s="23"/>
      <c r="S1139" s="34"/>
      <c r="T1139" s="23"/>
      <c r="U1139" s="2"/>
      <c r="W1139" s="34"/>
      <c r="X1139" s="23"/>
      <c r="Y1139" s="34"/>
      <c r="Z1139" s="23"/>
      <c r="AA1139" s="2"/>
      <c r="AC1139" s="244"/>
    </row>
    <row r="1140" spans="10:29">
      <c r="J1140" s="412">
        <v>42466</v>
      </c>
      <c r="K1140" s="413">
        <v>35.641593</v>
      </c>
      <c r="L1140" s="30">
        <f t="shared" si="46"/>
        <v>1.0443103440112917E-2</v>
      </c>
      <c r="M1140" s="414">
        <v>2066.6599120000001</v>
      </c>
      <c r="N1140" s="31">
        <f t="shared" si="47"/>
        <v>1.2120944403959024E-2</v>
      </c>
      <c r="Q1140" s="34"/>
      <c r="R1140" s="23"/>
      <c r="S1140" s="34"/>
      <c r="T1140" s="23"/>
      <c r="U1140" s="2"/>
      <c r="W1140" s="34"/>
      <c r="X1140" s="23"/>
      <c r="Y1140" s="34"/>
      <c r="Z1140" s="23"/>
      <c r="AA1140" s="2"/>
      <c r="AC1140" s="244"/>
    </row>
    <row r="1141" spans="10:29">
      <c r="J1141" s="412">
        <v>42467</v>
      </c>
      <c r="K1141" s="413">
        <v>35.273231000000003</v>
      </c>
      <c r="L1141" s="30">
        <f t="shared" si="46"/>
        <v>-6.4497951155888487E-3</v>
      </c>
      <c r="M1141" s="414">
        <v>2041.910034</v>
      </c>
      <c r="N1141" s="31">
        <f t="shared" si="47"/>
        <v>-2.7788347659171752E-3</v>
      </c>
      <c r="Q1141" s="34"/>
      <c r="R1141" s="23"/>
      <c r="S1141" s="34"/>
      <c r="T1141" s="23"/>
      <c r="U1141" s="2"/>
      <c r="W1141" s="34"/>
      <c r="X1141" s="23"/>
      <c r="Y1141" s="34"/>
      <c r="Z1141" s="23"/>
      <c r="AA1141" s="2"/>
      <c r="AC1141" s="244"/>
    </row>
    <row r="1142" spans="10:29">
      <c r="J1142" s="412">
        <v>42468</v>
      </c>
      <c r="K1142" s="413">
        <v>35.502212999999998</v>
      </c>
      <c r="L1142" s="30">
        <f t="shared" si="46"/>
        <v>-6.1315898851330942E-3</v>
      </c>
      <c r="M1142" s="414">
        <v>2047.599976</v>
      </c>
      <c r="N1142" s="31">
        <f t="shared" si="47"/>
        <v>2.7473131736556336E-3</v>
      </c>
      <c r="Q1142" s="34"/>
      <c r="R1142" s="23"/>
      <c r="S1142" s="34"/>
      <c r="T1142" s="23"/>
      <c r="U1142" s="2"/>
      <c r="W1142" s="34"/>
      <c r="X1142" s="23"/>
      <c r="Y1142" s="34"/>
      <c r="Z1142" s="23"/>
      <c r="AA1142" s="2"/>
      <c r="AC1142" s="244"/>
    </row>
    <row r="1143" spans="10:29">
      <c r="J1143" s="412">
        <v>42471</v>
      </c>
      <c r="K1143" s="413">
        <v>35.721240999999999</v>
      </c>
      <c r="L1143" s="30">
        <f t="shared" si="46"/>
        <v>1.1160991728550427E-3</v>
      </c>
      <c r="M1143" s="414">
        <v>2041.98999</v>
      </c>
      <c r="N1143" s="31">
        <f t="shared" si="47"/>
        <v>-9.5696706039231326E-3</v>
      </c>
      <c r="Q1143" s="34"/>
      <c r="R1143" s="23"/>
      <c r="S1143" s="34"/>
      <c r="T1143" s="23"/>
      <c r="U1143" s="2"/>
      <c r="W1143" s="34"/>
      <c r="X1143" s="23"/>
      <c r="Y1143" s="34"/>
      <c r="Z1143" s="23"/>
      <c r="AA1143" s="2"/>
      <c r="AC1143" s="244"/>
    </row>
    <row r="1144" spans="10:29">
      <c r="J1144" s="412">
        <v>42472</v>
      </c>
      <c r="K1144" s="413">
        <v>35.681417000000003</v>
      </c>
      <c r="L1144" s="30">
        <f t="shared" si="46"/>
        <v>-2.4496495599089983E-2</v>
      </c>
      <c r="M1144" s="414">
        <v>2061.719971</v>
      </c>
      <c r="N1144" s="31">
        <f t="shared" si="47"/>
        <v>-9.9403346948963994E-3</v>
      </c>
      <c r="Q1144" s="34"/>
      <c r="R1144" s="23"/>
      <c r="S1144" s="34"/>
      <c r="T1144" s="23"/>
      <c r="U1144" s="2"/>
      <c r="W1144" s="34"/>
      <c r="X1144" s="23"/>
      <c r="Y1144" s="34"/>
      <c r="Z1144" s="23"/>
      <c r="AA1144" s="2"/>
      <c r="AC1144" s="244"/>
    </row>
    <row r="1145" spans="10:29">
      <c r="J1145" s="412">
        <v>42473</v>
      </c>
      <c r="K1145" s="413">
        <v>36.577435999999999</v>
      </c>
      <c r="L1145" s="30">
        <f t="shared" si="46"/>
        <v>-2.7143992615315826E-3</v>
      </c>
      <c r="M1145" s="414">
        <v>2082.419922</v>
      </c>
      <c r="N1145" s="31">
        <f t="shared" si="47"/>
        <v>-1.7289727911058765E-4</v>
      </c>
      <c r="Q1145" s="34"/>
      <c r="R1145" s="23"/>
      <c r="S1145" s="34"/>
      <c r="T1145" s="23"/>
      <c r="U1145" s="2"/>
      <c r="W1145" s="34"/>
      <c r="X1145" s="23"/>
      <c r="Y1145" s="34"/>
      <c r="Z1145" s="23"/>
      <c r="AA1145" s="2"/>
      <c r="AC1145" s="244"/>
    </row>
    <row r="1146" spans="10:29">
      <c r="J1146" s="412">
        <v>42474</v>
      </c>
      <c r="K1146" s="413">
        <v>36.676991999999998</v>
      </c>
      <c r="L1146" s="30">
        <f t="shared" si="46"/>
        <v>-7.8104275556996712E-3</v>
      </c>
      <c r="M1146" s="414">
        <v>2082.780029</v>
      </c>
      <c r="N1146" s="31">
        <f t="shared" si="47"/>
        <v>9.8525470373620719E-4</v>
      </c>
      <c r="Q1146" s="34"/>
      <c r="R1146" s="23"/>
      <c r="S1146" s="34"/>
      <c r="T1146" s="23"/>
      <c r="U1146" s="2"/>
      <c r="W1146" s="34"/>
      <c r="X1146" s="23"/>
      <c r="Y1146" s="34"/>
      <c r="Z1146" s="23"/>
      <c r="AA1146" s="2"/>
      <c r="AC1146" s="244"/>
    </row>
    <row r="1147" spans="10:29">
      <c r="J1147" s="412">
        <v>42475</v>
      </c>
      <c r="K1147" s="413">
        <v>36.965710000000001</v>
      </c>
      <c r="L1147" s="30">
        <f t="shared" si="46"/>
        <v>4.3278321731824226E-3</v>
      </c>
      <c r="M1147" s="414">
        <v>2080.7299800000001</v>
      </c>
      <c r="N1147" s="31">
        <f t="shared" si="47"/>
        <v>-6.498518592076845E-3</v>
      </c>
      <c r="Q1147" s="34"/>
      <c r="R1147" s="23"/>
      <c r="S1147" s="34"/>
      <c r="T1147" s="23"/>
      <c r="U1147" s="2"/>
      <c r="W1147" s="34"/>
      <c r="X1147" s="23"/>
      <c r="Y1147" s="34"/>
      <c r="Z1147" s="23"/>
      <c r="AA1147" s="2"/>
      <c r="AC1147" s="244"/>
    </row>
    <row r="1148" spans="10:29">
      <c r="J1148" s="412">
        <v>42478</v>
      </c>
      <c r="K1148" s="413">
        <v>36.806418000000001</v>
      </c>
      <c r="L1148" s="30">
        <f t="shared" si="46"/>
        <v>1.8176791559037998E-2</v>
      </c>
      <c r="M1148" s="414">
        <v>2094.3400879999999</v>
      </c>
      <c r="N1148" s="31">
        <f t="shared" si="47"/>
        <v>-3.0750004042864629E-3</v>
      </c>
      <c r="Q1148" s="34"/>
      <c r="R1148" s="23"/>
      <c r="S1148" s="34"/>
      <c r="T1148" s="23"/>
      <c r="U1148" s="2"/>
      <c r="W1148" s="34"/>
      <c r="X1148" s="23"/>
      <c r="Y1148" s="34"/>
      <c r="Z1148" s="23"/>
      <c r="AA1148" s="2"/>
      <c r="AC1148" s="244"/>
    </row>
    <row r="1149" spans="10:29">
      <c r="J1149" s="412">
        <v>42479</v>
      </c>
      <c r="K1149" s="413">
        <v>36.149338999999998</v>
      </c>
      <c r="L1149" s="30">
        <f t="shared" si="46"/>
        <v>-3.8408630516828858E-3</v>
      </c>
      <c r="M1149" s="414">
        <v>2100.8000489999999</v>
      </c>
      <c r="N1149" s="31">
        <f t="shared" si="47"/>
        <v>-7.6096512299027232E-4</v>
      </c>
      <c r="Q1149" s="34"/>
      <c r="R1149" s="23"/>
      <c r="S1149" s="34"/>
      <c r="T1149" s="23"/>
      <c r="U1149" s="2"/>
      <c r="W1149" s="34"/>
      <c r="X1149" s="23"/>
      <c r="Y1149" s="34"/>
      <c r="Z1149" s="23"/>
      <c r="AA1149" s="2"/>
      <c r="AC1149" s="244"/>
    </row>
    <row r="1150" spans="10:29">
      <c r="J1150" s="412">
        <v>42480</v>
      </c>
      <c r="K1150" s="413">
        <v>36.288719</v>
      </c>
      <c r="L1150" s="30">
        <f t="shared" si="46"/>
        <v>1.0986265926175949E-3</v>
      </c>
      <c r="M1150" s="414">
        <v>2102.3999020000001</v>
      </c>
      <c r="N1150" s="31">
        <f t="shared" si="47"/>
        <v>5.2211458414247128E-3</v>
      </c>
      <c r="Q1150" s="34"/>
      <c r="R1150" s="23"/>
      <c r="S1150" s="34"/>
      <c r="T1150" s="23"/>
      <c r="U1150" s="2"/>
      <c r="W1150" s="34"/>
      <c r="X1150" s="23"/>
      <c r="Y1150" s="34"/>
      <c r="Z1150" s="23"/>
      <c r="AA1150" s="2"/>
      <c r="AC1150" s="244"/>
    </row>
    <row r="1151" spans="10:29">
      <c r="J1151" s="412">
        <v>42481</v>
      </c>
      <c r="K1151" s="413">
        <v>36.248894999999997</v>
      </c>
      <c r="L1151" s="30">
        <f t="shared" si="46"/>
        <v>3.8599244548146276E-3</v>
      </c>
      <c r="M1151" s="414">
        <v>2091.4799800000001</v>
      </c>
      <c r="N1151" s="31">
        <f t="shared" si="47"/>
        <v>-4.7857598689505685E-5</v>
      </c>
      <c r="Q1151" s="34"/>
      <c r="R1151" s="23"/>
      <c r="S1151" s="34"/>
      <c r="T1151" s="23"/>
      <c r="U1151" s="2"/>
      <c r="W1151" s="34"/>
      <c r="X1151" s="23"/>
      <c r="Y1151" s="34"/>
      <c r="Z1151" s="23"/>
      <c r="AA1151" s="2"/>
      <c r="AC1151" s="244"/>
    </row>
    <row r="1152" spans="10:29">
      <c r="J1152" s="412">
        <v>42482</v>
      </c>
      <c r="K1152" s="413">
        <v>36.109515000000002</v>
      </c>
      <c r="L1152" s="30">
        <f t="shared" si="46"/>
        <v>-4.9382839884758289E-3</v>
      </c>
      <c r="M1152" s="414">
        <v>2091.580078</v>
      </c>
      <c r="N1152" s="31">
        <f t="shared" si="47"/>
        <v>1.8153353206988737E-3</v>
      </c>
      <c r="Q1152" s="34"/>
      <c r="R1152" s="23"/>
      <c r="S1152" s="34"/>
      <c r="T1152" s="23"/>
      <c r="U1152" s="2"/>
      <c r="W1152" s="34"/>
      <c r="X1152" s="23"/>
      <c r="Y1152" s="34"/>
      <c r="Z1152" s="23"/>
      <c r="AA1152" s="2"/>
      <c r="AC1152" s="244"/>
    </row>
    <row r="1153" spans="10:29">
      <c r="J1153" s="412">
        <v>42485</v>
      </c>
      <c r="K1153" s="413">
        <v>36.288719</v>
      </c>
      <c r="L1153" s="30">
        <f t="shared" si="46"/>
        <v>-8.2233379962348186E-4</v>
      </c>
      <c r="M1153" s="414">
        <v>2087.790039</v>
      </c>
      <c r="N1153" s="31">
        <f t="shared" si="47"/>
        <v>-1.8692508923810155E-3</v>
      </c>
      <c r="Q1153" s="34"/>
      <c r="R1153" s="23"/>
      <c r="S1153" s="34"/>
      <c r="T1153" s="23"/>
      <c r="U1153" s="2"/>
      <c r="W1153" s="34"/>
      <c r="X1153" s="23"/>
      <c r="Y1153" s="34"/>
      <c r="Z1153" s="23"/>
      <c r="AA1153" s="2"/>
      <c r="AC1153" s="244"/>
    </row>
    <row r="1154" spans="10:29">
      <c r="J1154" s="412">
        <v>42486</v>
      </c>
      <c r="K1154" s="413">
        <v>36.318584999999999</v>
      </c>
      <c r="L1154" s="30">
        <f t="shared" si="46"/>
        <v>-2.2246087310903485E-2</v>
      </c>
      <c r="M1154" s="414">
        <v>2091.6999510000001</v>
      </c>
      <c r="N1154" s="31">
        <f t="shared" si="47"/>
        <v>-1.6466368333391238E-3</v>
      </c>
      <c r="Q1154" s="34"/>
      <c r="R1154" s="23"/>
      <c r="S1154" s="34"/>
      <c r="T1154" s="23"/>
      <c r="U1154" s="2"/>
      <c r="W1154" s="34"/>
      <c r="X1154" s="23"/>
      <c r="Y1154" s="34"/>
      <c r="Z1154" s="23"/>
      <c r="AA1154" s="2"/>
      <c r="AC1154" s="244"/>
    </row>
    <row r="1155" spans="10:29">
      <c r="J1155" s="412">
        <v>42487</v>
      </c>
      <c r="K1155" s="413">
        <v>37.144914</v>
      </c>
      <c r="L1155" s="30">
        <f t="shared" si="46"/>
        <v>3.0662995727642948E-2</v>
      </c>
      <c r="M1155" s="414">
        <v>2095.1499020000001</v>
      </c>
      <c r="N1155" s="31">
        <f t="shared" si="47"/>
        <v>9.3167690926967434E-3</v>
      </c>
      <c r="Q1155" s="34"/>
      <c r="R1155" s="23"/>
      <c r="S1155" s="34"/>
      <c r="T1155" s="23"/>
      <c r="U1155" s="2"/>
      <c r="W1155" s="34"/>
      <c r="X1155" s="23"/>
      <c r="Y1155" s="34"/>
      <c r="Z1155" s="23"/>
      <c r="AA1155" s="2"/>
      <c r="AC1155" s="244"/>
    </row>
    <row r="1156" spans="10:29">
      <c r="J1156" s="412">
        <v>42488</v>
      </c>
      <c r="K1156" s="413">
        <v>36.039825</v>
      </c>
      <c r="L1156" s="30">
        <f t="shared" si="46"/>
        <v>1.8857377565414848E-2</v>
      </c>
      <c r="M1156" s="414">
        <v>2075.8100589999999</v>
      </c>
      <c r="N1156" s="31">
        <f t="shared" si="47"/>
        <v>5.0888537987924904E-3</v>
      </c>
      <c r="Q1156" s="34"/>
      <c r="R1156" s="23"/>
      <c r="S1156" s="34"/>
      <c r="T1156" s="23"/>
      <c r="U1156" s="2"/>
      <c r="W1156" s="34"/>
      <c r="X1156" s="23"/>
      <c r="Y1156" s="34"/>
      <c r="Z1156" s="23"/>
      <c r="AA1156" s="2"/>
      <c r="AC1156" s="244"/>
    </row>
    <row r="1157" spans="10:29">
      <c r="J1157" s="412">
        <v>42489</v>
      </c>
      <c r="K1157" s="413">
        <v>35.372787000000002</v>
      </c>
      <c r="L1157" s="30">
        <f t="shared" si="46"/>
        <v>-1.3055601104319517E-2</v>
      </c>
      <c r="M1157" s="414">
        <v>2065.3000489999999</v>
      </c>
      <c r="N1157" s="31">
        <f t="shared" si="47"/>
        <v>-7.7494239666771846E-3</v>
      </c>
      <c r="Q1157" s="34"/>
      <c r="R1157" s="23"/>
      <c r="S1157" s="34"/>
      <c r="T1157" s="23"/>
      <c r="U1157" s="2"/>
      <c r="W1157" s="34"/>
      <c r="X1157" s="23"/>
      <c r="Y1157" s="34"/>
      <c r="Z1157" s="23"/>
      <c r="AA1157" s="2"/>
      <c r="AC1157" s="244"/>
    </row>
    <row r="1158" spans="10:29">
      <c r="J1158" s="412">
        <v>42492</v>
      </c>
      <c r="K1158" s="413">
        <v>35.840708999999997</v>
      </c>
      <c r="L1158" s="30">
        <f t="shared" si="46"/>
        <v>1.2088857271778084E-2</v>
      </c>
      <c r="M1158" s="414">
        <v>2081.429932</v>
      </c>
      <c r="N1158" s="31">
        <f t="shared" si="47"/>
        <v>8.7525814448925991E-3</v>
      </c>
      <c r="Q1158" s="34"/>
      <c r="R1158" s="23"/>
      <c r="S1158" s="34"/>
      <c r="T1158" s="23"/>
      <c r="U1158" s="2"/>
      <c r="W1158" s="34"/>
      <c r="X1158" s="23"/>
      <c r="Y1158" s="34"/>
      <c r="Z1158" s="23"/>
      <c r="AA1158" s="2"/>
      <c r="AC1158" s="244"/>
    </row>
    <row r="1159" spans="10:29">
      <c r="J1159" s="412">
        <v>42493</v>
      </c>
      <c r="K1159" s="413">
        <v>35.412610999999998</v>
      </c>
      <c r="L1159" s="30">
        <f t="shared" si="46"/>
        <v>2.3302678127505038E-2</v>
      </c>
      <c r="M1159" s="414">
        <v>2063.3701169999999</v>
      </c>
      <c r="N1159" s="31">
        <f t="shared" si="47"/>
        <v>5.9723464747237914E-3</v>
      </c>
      <c r="Q1159" s="34"/>
      <c r="R1159" s="23"/>
      <c r="S1159" s="34"/>
      <c r="T1159" s="23"/>
      <c r="U1159" s="2"/>
      <c r="W1159" s="34"/>
      <c r="X1159" s="23"/>
      <c r="Y1159" s="34"/>
      <c r="Z1159" s="23"/>
      <c r="AA1159" s="2"/>
      <c r="AC1159" s="244"/>
    </row>
    <row r="1160" spans="10:29">
      <c r="J1160" s="412">
        <v>42494</v>
      </c>
      <c r="K1160" s="413">
        <v>34.606194000000002</v>
      </c>
      <c r="L1160" s="30">
        <f t="shared" ref="L1160:L1215" si="48">(K1160-K1161)/K1161</f>
        <v>-6.0052388509547324E-3</v>
      </c>
      <c r="M1160" s="414">
        <v>2051.1201169999999</v>
      </c>
      <c r="N1160" s="31">
        <f t="shared" si="47"/>
        <v>2.390650814483781E-4</v>
      </c>
      <c r="Q1160" s="34"/>
      <c r="R1160" s="23"/>
      <c r="S1160" s="34"/>
      <c r="T1160" s="23"/>
      <c r="U1160" s="2"/>
      <c r="W1160" s="34"/>
      <c r="X1160" s="23"/>
      <c r="Y1160" s="34"/>
      <c r="Z1160" s="23"/>
      <c r="AA1160" s="2"/>
      <c r="AC1160" s="244"/>
    </row>
    <row r="1161" spans="10:29">
      <c r="J1161" s="412">
        <v>42495</v>
      </c>
      <c r="K1161" s="413">
        <v>34.815268000000003</v>
      </c>
      <c r="L1161" s="30">
        <f t="shared" si="48"/>
        <v>-1.0189637562751111E-2</v>
      </c>
      <c r="M1161" s="414">
        <v>2050.6298830000001</v>
      </c>
      <c r="N1161" s="31">
        <f t="shared" si="47"/>
        <v>-3.1645927543149177E-3</v>
      </c>
      <c r="Q1161" s="34"/>
      <c r="R1161" s="23"/>
      <c r="S1161" s="34"/>
      <c r="T1161" s="23"/>
      <c r="U1161" s="2"/>
      <c r="W1161" s="34"/>
      <c r="X1161" s="23"/>
      <c r="Y1161" s="34"/>
      <c r="Z1161" s="23"/>
      <c r="AA1161" s="2"/>
      <c r="AC1161" s="244"/>
    </row>
    <row r="1162" spans="10:29">
      <c r="J1162" s="412">
        <v>42496</v>
      </c>
      <c r="K1162" s="413">
        <v>35.173675000000003</v>
      </c>
      <c r="L1162" s="30">
        <f t="shared" si="48"/>
        <v>1.417297296250893E-3</v>
      </c>
      <c r="M1162" s="414">
        <v>2057.139893</v>
      </c>
      <c r="N1162" s="31">
        <f t="shared" ref="N1162:N1224" si="49">(M1162-M1163)/M1163</f>
        <v>-7.529293115636109E-4</v>
      </c>
      <c r="Q1162" s="34"/>
      <c r="R1162" s="23"/>
      <c r="S1162" s="34"/>
      <c r="T1162" s="23"/>
      <c r="U1162" s="2"/>
      <c r="W1162" s="34"/>
      <c r="X1162" s="23"/>
      <c r="Y1162" s="34"/>
      <c r="Z1162" s="23"/>
      <c r="AA1162" s="2"/>
      <c r="AC1162" s="244"/>
    </row>
    <row r="1163" spans="10:29">
      <c r="J1163" s="412">
        <v>42499</v>
      </c>
      <c r="K1163" s="413">
        <v>35.123894</v>
      </c>
      <c r="L1163" s="30">
        <f t="shared" si="48"/>
        <v>-1.8909895663193829E-2</v>
      </c>
      <c r="M1163" s="414">
        <v>2058.6899410000001</v>
      </c>
      <c r="N1163" s="31">
        <f t="shared" si="49"/>
        <v>-1.2329723957263469E-2</v>
      </c>
      <c r="Q1163" s="34"/>
      <c r="R1163" s="23"/>
      <c r="S1163" s="34"/>
      <c r="T1163" s="23"/>
      <c r="U1163" s="2"/>
      <c r="W1163" s="34"/>
      <c r="X1163" s="23"/>
      <c r="Y1163" s="34"/>
      <c r="Z1163" s="23"/>
      <c r="AA1163" s="2"/>
      <c r="AC1163" s="244"/>
    </row>
    <row r="1164" spans="10:29">
      <c r="J1164" s="412">
        <v>42500</v>
      </c>
      <c r="K1164" s="413">
        <v>35.800885000000001</v>
      </c>
      <c r="L1164" s="30">
        <f t="shared" si="48"/>
        <v>-2.7732246772984785E-3</v>
      </c>
      <c r="M1164" s="414">
        <v>2084.389893</v>
      </c>
      <c r="N1164" s="31">
        <f t="shared" si="49"/>
        <v>9.6538234581920318E-3</v>
      </c>
      <c r="Q1164" s="34"/>
      <c r="R1164" s="23"/>
      <c r="S1164" s="34"/>
      <c r="T1164" s="23"/>
      <c r="U1164" s="2"/>
      <c r="W1164" s="34"/>
      <c r="X1164" s="23"/>
      <c r="Y1164" s="34"/>
      <c r="Z1164" s="23"/>
      <c r="AA1164" s="2"/>
      <c r="AC1164" s="244"/>
    </row>
    <row r="1165" spans="10:29">
      <c r="J1165" s="412">
        <v>42501</v>
      </c>
      <c r="K1165" s="413">
        <v>35.900444999999998</v>
      </c>
      <c r="L1165" s="30">
        <f t="shared" si="48"/>
        <v>1.3775713968111515E-2</v>
      </c>
      <c r="M1165" s="414">
        <v>2064.459961</v>
      </c>
      <c r="N1165" s="31">
        <f t="shared" si="49"/>
        <v>1.6949386508674768E-4</v>
      </c>
      <c r="Q1165" s="34"/>
      <c r="R1165" s="23"/>
      <c r="S1165" s="34"/>
      <c r="T1165" s="23"/>
      <c r="U1165" s="2"/>
      <c r="W1165" s="34"/>
      <c r="X1165" s="23"/>
      <c r="Y1165" s="34"/>
      <c r="Z1165" s="23"/>
      <c r="AA1165" s="2"/>
      <c r="AC1165" s="244"/>
    </row>
    <row r="1166" spans="10:29">
      <c r="J1166" s="412">
        <v>42502</v>
      </c>
      <c r="K1166" s="413">
        <v>35.412610999999998</v>
      </c>
      <c r="L1166" s="30">
        <f t="shared" si="48"/>
        <v>-0.13201561727265007</v>
      </c>
      <c r="M1166" s="414">
        <v>2064.110107</v>
      </c>
      <c r="N1166" s="31">
        <f t="shared" si="49"/>
        <v>8.5507850192570612E-3</v>
      </c>
      <c r="Q1166" s="34"/>
      <c r="R1166" s="23"/>
      <c r="S1166" s="34"/>
      <c r="T1166" s="23"/>
      <c r="U1166" s="2"/>
      <c r="W1166" s="34"/>
      <c r="X1166" s="23"/>
      <c r="Y1166" s="34"/>
      <c r="Z1166" s="23"/>
      <c r="AA1166" s="2"/>
      <c r="AC1166" s="244"/>
    </row>
    <row r="1167" spans="10:29">
      <c r="J1167" s="412">
        <v>42503</v>
      </c>
      <c r="K1167" s="413">
        <v>40.798673000000001</v>
      </c>
      <c r="L1167" s="30">
        <f t="shared" si="48"/>
        <v>-2.867975810863321E-2</v>
      </c>
      <c r="M1167" s="414">
        <v>2046.6099850000001</v>
      </c>
      <c r="N1167" s="31">
        <f t="shared" si="49"/>
        <v>-9.7016092892597914E-3</v>
      </c>
      <c r="Q1167" s="34"/>
      <c r="R1167" s="23"/>
      <c r="S1167" s="34"/>
      <c r="T1167" s="23"/>
      <c r="U1167" s="2"/>
      <c r="W1167" s="34"/>
      <c r="X1167" s="23"/>
      <c r="Y1167" s="34"/>
      <c r="Z1167" s="23"/>
      <c r="AA1167" s="2"/>
      <c r="AC1167" s="244"/>
    </row>
    <row r="1168" spans="10:29">
      <c r="J1168" s="412">
        <v>42506</v>
      </c>
      <c r="K1168" s="413">
        <v>42.003318</v>
      </c>
      <c r="L1168" s="30">
        <f t="shared" si="48"/>
        <v>-2.1286715200560876E-3</v>
      </c>
      <c r="M1168" s="414">
        <v>2066.6599120000001</v>
      </c>
      <c r="N1168" s="31">
        <f t="shared" si="49"/>
        <v>9.5007113928360053E-3</v>
      </c>
      <c r="Q1168" s="34"/>
      <c r="R1168" s="23"/>
      <c r="S1168" s="34"/>
      <c r="T1168" s="23"/>
      <c r="U1168" s="2"/>
      <c r="W1168" s="34"/>
      <c r="X1168" s="23"/>
      <c r="Y1168" s="34"/>
      <c r="Z1168" s="23"/>
      <c r="AA1168" s="2"/>
      <c r="AC1168" s="244"/>
    </row>
    <row r="1169" spans="10:29">
      <c r="J1169" s="412">
        <v>42507</v>
      </c>
      <c r="K1169" s="413">
        <v>42.092919999999999</v>
      </c>
      <c r="L1169" s="30">
        <f t="shared" si="48"/>
        <v>-2.4907789061021254E-2</v>
      </c>
      <c r="M1169" s="414">
        <v>2047.209961</v>
      </c>
      <c r="N1169" s="31">
        <f t="shared" si="49"/>
        <v>-2.0513666969827475E-4</v>
      </c>
      <c r="Q1169" s="34"/>
      <c r="R1169" s="23"/>
      <c r="S1169" s="34"/>
      <c r="T1169" s="23"/>
      <c r="U1169" s="2"/>
      <c r="W1169" s="34"/>
      <c r="X1169" s="23"/>
      <c r="Y1169" s="34"/>
      <c r="Z1169" s="23"/>
      <c r="AA1169" s="2"/>
      <c r="AC1169" s="244"/>
    </row>
    <row r="1170" spans="10:29">
      <c r="J1170" s="412">
        <v>42508</v>
      </c>
      <c r="K1170" s="413">
        <v>43.168143000000001</v>
      </c>
      <c r="L1170" s="30">
        <f t="shared" si="48"/>
        <v>-4.3627715664312002E-3</v>
      </c>
      <c r="M1170" s="414">
        <v>2047.630005</v>
      </c>
      <c r="N1170" s="31">
        <f t="shared" si="49"/>
        <v>3.7204985465483817E-3</v>
      </c>
      <c r="Q1170" s="34"/>
      <c r="R1170" s="23"/>
      <c r="S1170" s="34"/>
      <c r="T1170" s="23"/>
      <c r="U1170" s="2"/>
      <c r="W1170" s="34"/>
      <c r="X1170" s="23"/>
      <c r="Y1170" s="34"/>
      <c r="Z1170" s="23"/>
      <c r="AA1170" s="2"/>
      <c r="AC1170" s="244"/>
    </row>
    <row r="1171" spans="10:29">
      <c r="J1171" s="412">
        <v>42509</v>
      </c>
      <c r="K1171" s="413">
        <v>43.357301</v>
      </c>
      <c r="L1171" s="30">
        <f t="shared" si="48"/>
        <v>-1.7595381939573738E-2</v>
      </c>
      <c r="M1171" s="414">
        <v>2040.040039</v>
      </c>
      <c r="N1171" s="31">
        <f t="shared" si="49"/>
        <v>-5.9834862950821242E-3</v>
      </c>
      <c r="Q1171" s="34"/>
      <c r="R1171" s="23"/>
      <c r="S1171" s="34"/>
      <c r="T1171" s="23"/>
      <c r="U1171" s="2"/>
      <c r="W1171" s="34"/>
      <c r="X1171" s="23"/>
      <c r="Y1171" s="34"/>
      <c r="Z1171" s="23"/>
      <c r="AA1171" s="2"/>
      <c r="AC1171" s="244"/>
    </row>
    <row r="1172" spans="10:29">
      <c r="J1172" s="412">
        <v>42510</v>
      </c>
      <c r="K1172" s="413">
        <v>44.133853000000002</v>
      </c>
      <c r="L1172" s="30">
        <f t="shared" si="48"/>
        <v>-1.5765704572595315E-3</v>
      </c>
      <c r="M1172" s="414">
        <v>2052.320068</v>
      </c>
      <c r="N1172" s="31">
        <f t="shared" si="49"/>
        <v>2.089817053620607E-3</v>
      </c>
      <c r="Q1172" s="34"/>
      <c r="R1172" s="23"/>
      <c r="S1172" s="34"/>
      <c r="T1172" s="23"/>
      <c r="U1172" s="2"/>
      <c r="W1172" s="34"/>
      <c r="X1172" s="23"/>
      <c r="Y1172" s="34"/>
      <c r="Z1172" s="23"/>
      <c r="AA1172" s="2"/>
      <c r="AC1172" s="244"/>
    </row>
    <row r="1173" spans="10:29">
      <c r="J1173" s="412">
        <v>42513</v>
      </c>
      <c r="K1173" s="413">
        <v>44.203543000000003</v>
      </c>
      <c r="L1173" s="30">
        <f t="shared" si="48"/>
        <v>-2.3699280190535538E-2</v>
      </c>
      <c r="M1173" s="414">
        <v>2048.040039</v>
      </c>
      <c r="N1173" s="31">
        <f t="shared" si="49"/>
        <v>-1.3496728998050597E-2</v>
      </c>
      <c r="Q1173" s="34"/>
      <c r="R1173" s="23"/>
      <c r="S1173" s="34"/>
      <c r="T1173" s="23"/>
      <c r="U1173" s="2"/>
      <c r="W1173" s="34"/>
      <c r="X1173" s="23"/>
      <c r="Y1173" s="34"/>
      <c r="Z1173" s="23"/>
      <c r="AA1173" s="2"/>
      <c r="AC1173" s="244"/>
    </row>
    <row r="1174" spans="10:29">
      <c r="J1174" s="412">
        <v>42514</v>
      </c>
      <c r="K1174" s="413">
        <v>45.276564999999998</v>
      </c>
      <c r="L1174" s="30">
        <f t="shared" si="48"/>
        <v>4.2063647160761539E-3</v>
      </c>
      <c r="M1174" s="414">
        <v>2076.0600589999999</v>
      </c>
      <c r="N1174" s="31">
        <f t="shared" si="49"/>
        <v>-6.9264303624275471E-3</v>
      </c>
      <c r="Q1174" s="34"/>
      <c r="R1174" s="23"/>
      <c r="S1174" s="34"/>
      <c r="T1174" s="23"/>
      <c r="U1174" s="2"/>
      <c r="W1174" s="34"/>
      <c r="X1174" s="23"/>
      <c r="Y1174" s="34"/>
      <c r="Z1174" s="23"/>
      <c r="AA1174" s="2"/>
      <c r="AC1174" s="244"/>
    </row>
    <row r="1175" spans="10:29">
      <c r="J1175" s="412">
        <v>42515</v>
      </c>
      <c r="K1175" s="413">
        <v>45.086913000000003</v>
      </c>
      <c r="L1175" s="30">
        <f t="shared" si="48"/>
        <v>-1.0514849954131286E-2</v>
      </c>
      <c r="M1175" s="414">
        <v>2090.540039</v>
      </c>
      <c r="N1175" s="31">
        <f t="shared" si="49"/>
        <v>2.1048800505825817E-4</v>
      </c>
      <c r="Q1175" s="34"/>
      <c r="R1175" s="23"/>
      <c r="S1175" s="34"/>
      <c r="T1175" s="23"/>
      <c r="U1175" s="2"/>
      <c r="W1175" s="34"/>
      <c r="X1175" s="23"/>
      <c r="Y1175" s="34"/>
      <c r="Z1175" s="23"/>
      <c r="AA1175" s="2"/>
      <c r="AC1175" s="244"/>
    </row>
    <row r="1176" spans="10:29">
      <c r="J1176" s="412">
        <v>42516</v>
      </c>
      <c r="K1176" s="413">
        <v>45.566032999999997</v>
      </c>
      <c r="L1176" s="30">
        <f t="shared" si="48"/>
        <v>-5.4466196461190868E-3</v>
      </c>
      <c r="M1176" s="414">
        <v>2090.1000979999999</v>
      </c>
      <c r="N1176" s="31">
        <f t="shared" si="49"/>
        <v>-4.2685586634755848E-3</v>
      </c>
      <c r="Q1176" s="34"/>
      <c r="R1176" s="23"/>
      <c r="S1176" s="34"/>
      <c r="T1176" s="23"/>
      <c r="U1176" s="2"/>
      <c r="W1176" s="34"/>
      <c r="X1176" s="23"/>
      <c r="Y1176" s="34"/>
      <c r="Z1176" s="23"/>
      <c r="AA1176" s="2"/>
      <c r="AC1176" s="244"/>
    </row>
    <row r="1177" spans="10:29">
      <c r="J1177" s="412">
        <v>42517</v>
      </c>
      <c r="K1177" s="413">
        <v>45.815573000000001</v>
      </c>
      <c r="L1177" s="30">
        <f t="shared" si="48"/>
        <v>-1.7551354735028061E-2</v>
      </c>
      <c r="M1177" s="414">
        <v>2099.0600589999999</v>
      </c>
      <c r="N1177" s="31">
        <f t="shared" si="49"/>
        <v>1.0062748512398112E-3</v>
      </c>
      <c r="Q1177" s="34"/>
      <c r="R1177" s="23"/>
      <c r="S1177" s="34"/>
      <c r="T1177" s="23"/>
      <c r="U1177" s="2"/>
      <c r="W1177" s="34"/>
      <c r="X1177" s="23"/>
      <c r="Y1177" s="34"/>
      <c r="Z1177" s="23"/>
      <c r="AA1177" s="2"/>
      <c r="AC1177" s="244"/>
    </row>
    <row r="1178" spans="10:29">
      <c r="J1178" s="412">
        <v>42521</v>
      </c>
      <c r="K1178" s="413">
        <v>46.634064000000002</v>
      </c>
      <c r="L1178" s="30">
        <f t="shared" si="48"/>
        <v>-1.9226777285859806E-3</v>
      </c>
      <c r="M1178" s="414">
        <v>2096.9499510000001</v>
      </c>
      <c r="N1178" s="31">
        <f t="shared" si="49"/>
        <v>-1.1337554894023207E-3</v>
      </c>
      <c r="Q1178" s="34"/>
      <c r="R1178" s="23"/>
      <c r="S1178" s="34"/>
      <c r="T1178" s="23"/>
      <c r="U1178" s="2"/>
      <c r="W1178" s="34"/>
      <c r="X1178" s="23"/>
      <c r="Y1178" s="34"/>
      <c r="Z1178" s="23"/>
      <c r="AA1178" s="2"/>
      <c r="AC1178" s="244"/>
    </row>
    <row r="1179" spans="10:29">
      <c r="J1179" s="412">
        <v>42522</v>
      </c>
      <c r="K1179" s="413">
        <v>46.723899000000003</v>
      </c>
      <c r="L1179" s="30">
        <f t="shared" si="48"/>
        <v>-7.0003819074074105E-3</v>
      </c>
      <c r="M1179" s="414">
        <v>2099.330078</v>
      </c>
      <c r="N1179" s="31">
        <f t="shared" si="49"/>
        <v>-2.8167219117034422E-3</v>
      </c>
      <c r="Q1179" s="34"/>
      <c r="R1179" s="23"/>
      <c r="S1179" s="34"/>
      <c r="T1179" s="23"/>
      <c r="U1179" s="2"/>
      <c r="W1179" s="34"/>
      <c r="X1179" s="23"/>
      <c r="Y1179" s="34"/>
      <c r="Z1179" s="23"/>
      <c r="AA1179" s="2"/>
      <c r="AC1179" s="244"/>
    </row>
    <row r="1180" spans="10:29">
      <c r="J1180" s="412">
        <v>42523</v>
      </c>
      <c r="K1180" s="413">
        <v>47.053289999999997</v>
      </c>
      <c r="L1180" s="30">
        <f t="shared" si="48"/>
        <v>1.419965606270948E-2</v>
      </c>
      <c r="M1180" s="414">
        <v>2105.26001</v>
      </c>
      <c r="N1180" s="31">
        <f t="shared" si="49"/>
        <v>2.9203181040131482E-3</v>
      </c>
      <c r="Q1180" s="34"/>
      <c r="R1180" s="23"/>
      <c r="S1180" s="34"/>
      <c r="T1180" s="23"/>
      <c r="U1180" s="2"/>
      <c r="W1180" s="34"/>
      <c r="X1180" s="23"/>
      <c r="Y1180" s="34"/>
      <c r="Z1180" s="23"/>
      <c r="AA1180" s="2"/>
      <c r="AC1180" s="244"/>
    </row>
    <row r="1181" spans="10:29">
      <c r="J1181" s="412">
        <v>42524</v>
      </c>
      <c r="K1181" s="413">
        <v>46.394503999999998</v>
      </c>
      <c r="L1181" s="30">
        <f t="shared" si="48"/>
        <v>5.1902560912862545E-3</v>
      </c>
      <c r="M1181" s="414">
        <v>2099.1298830000001</v>
      </c>
      <c r="N1181" s="31">
        <f t="shared" si="49"/>
        <v>-4.873414570358771E-3</v>
      </c>
      <c r="Q1181" s="34"/>
      <c r="R1181" s="23"/>
      <c r="S1181" s="34"/>
      <c r="T1181" s="23"/>
      <c r="U1181" s="2"/>
      <c r="W1181" s="34"/>
      <c r="X1181" s="23"/>
      <c r="Y1181" s="34"/>
      <c r="Z1181" s="23"/>
      <c r="AA1181" s="2"/>
      <c r="AC1181" s="244"/>
    </row>
    <row r="1182" spans="10:29">
      <c r="J1182" s="412">
        <v>42527</v>
      </c>
      <c r="K1182" s="413">
        <v>46.154947999999997</v>
      </c>
      <c r="L1182" s="30">
        <f t="shared" si="48"/>
        <v>-1.9425759213223949E-3</v>
      </c>
      <c r="M1182" s="414">
        <v>2109.4099120000001</v>
      </c>
      <c r="N1182" s="31">
        <f t="shared" si="49"/>
        <v>-1.2877858610364573E-3</v>
      </c>
      <c r="Q1182" s="34"/>
      <c r="R1182" s="23"/>
      <c r="S1182" s="34"/>
      <c r="T1182" s="23"/>
      <c r="U1182" s="2"/>
      <c r="W1182" s="34"/>
      <c r="X1182" s="23"/>
      <c r="Y1182" s="34"/>
      <c r="Z1182" s="23"/>
      <c r="AA1182" s="2"/>
      <c r="AC1182" s="244"/>
    </row>
    <row r="1183" spans="10:29">
      <c r="J1183" s="412">
        <v>42528</v>
      </c>
      <c r="K1183" s="413">
        <v>46.244782000000001</v>
      </c>
      <c r="L1183" s="30">
        <f t="shared" si="48"/>
        <v>3.2481790834970369E-3</v>
      </c>
      <c r="M1183" s="414">
        <v>2112.1298830000001</v>
      </c>
      <c r="N1183" s="31">
        <f t="shared" si="49"/>
        <v>-3.2986492572661813E-3</v>
      </c>
      <c r="Q1183" s="34"/>
      <c r="R1183" s="23"/>
      <c r="S1183" s="34"/>
      <c r="T1183" s="23"/>
      <c r="U1183" s="2"/>
      <c r="W1183" s="34"/>
      <c r="X1183" s="23"/>
      <c r="Y1183" s="34"/>
      <c r="Z1183" s="23"/>
      <c r="AA1183" s="2"/>
      <c r="AC1183" s="244"/>
    </row>
    <row r="1184" spans="10:29">
      <c r="J1184" s="412">
        <v>42529</v>
      </c>
      <c r="K1184" s="413">
        <v>46.095056999999997</v>
      </c>
      <c r="L1184" s="30">
        <f t="shared" si="48"/>
        <v>-2.5327147761236724E-2</v>
      </c>
      <c r="M1184" s="414">
        <v>2119.1201169999999</v>
      </c>
      <c r="N1184" s="31">
        <f t="shared" si="49"/>
        <v>1.7207144640526769E-3</v>
      </c>
      <c r="Q1184" s="34"/>
      <c r="R1184" s="23"/>
      <c r="S1184" s="34"/>
      <c r="T1184" s="23"/>
      <c r="U1184" s="2"/>
      <c r="W1184" s="34"/>
      <c r="X1184" s="23"/>
      <c r="Y1184" s="34"/>
      <c r="Z1184" s="23"/>
      <c r="AA1184" s="2"/>
      <c r="AC1184" s="244"/>
    </row>
    <row r="1185" spans="10:29">
      <c r="J1185" s="412">
        <v>42530</v>
      </c>
      <c r="K1185" s="413">
        <v>47.292850000000001</v>
      </c>
      <c r="L1185" s="30">
        <f t="shared" si="48"/>
        <v>2.5541113816255286E-2</v>
      </c>
      <c r="M1185" s="414">
        <v>2115.4799800000001</v>
      </c>
      <c r="N1185" s="31">
        <f t="shared" si="49"/>
        <v>9.2601446374931378E-3</v>
      </c>
      <c r="Q1185" s="34"/>
      <c r="R1185" s="23"/>
      <c r="S1185" s="34"/>
      <c r="T1185" s="23"/>
      <c r="U1185" s="2"/>
      <c r="W1185" s="34"/>
      <c r="X1185" s="23"/>
      <c r="Y1185" s="34"/>
      <c r="Z1185" s="23"/>
      <c r="AA1185" s="2"/>
      <c r="AC1185" s="244"/>
    </row>
    <row r="1186" spans="10:29">
      <c r="J1186" s="412">
        <v>42531</v>
      </c>
      <c r="K1186" s="413">
        <v>46.115020999999999</v>
      </c>
      <c r="L1186" s="30">
        <f t="shared" si="48"/>
        <v>-1.2609515665007726E-2</v>
      </c>
      <c r="M1186" s="414">
        <v>2096.070068</v>
      </c>
      <c r="N1186" s="31">
        <f t="shared" si="49"/>
        <v>8.1815861578244491E-3</v>
      </c>
      <c r="Q1186" s="34"/>
      <c r="R1186" s="23"/>
      <c r="S1186" s="34"/>
      <c r="T1186" s="23"/>
      <c r="U1186" s="2"/>
      <c r="W1186" s="34"/>
      <c r="X1186" s="23"/>
      <c r="Y1186" s="34"/>
      <c r="Z1186" s="23"/>
      <c r="AA1186" s="2"/>
      <c r="AC1186" s="244"/>
    </row>
    <row r="1187" spans="10:29">
      <c r="J1187" s="412">
        <v>42534</v>
      </c>
      <c r="K1187" s="413">
        <v>46.703935000000001</v>
      </c>
      <c r="L1187" s="30">
        <f t="shared" si="48"/>
        <v>-1.9198068460823047E-3</v>
      </c>
      <c r="M1187" s="414">
        <v>2079.0600589999999</v>
      </c>
      <c r="N1187" s="31">
        <f t="shared" si="49"/>
        <v>1.8021273237164679E-3</v>
      </c>
      <c r="Q1187" s="34"/>
      <c r="R1187" s="23"/>
      <c r="S1187" s="34"/>
      <c r="T1187" s="23"/>
      <c r="U1187" s="2"/>
      <c r="W1187" s="34"/>
      <c r="X1187" s="23"/>
      <c r="Y1187" s="34"/>
      <c r="Z1187" s="23"/>
      <c r="AA1187" s="2"/>
      <c r="AC1187" s="244"/>
    </row>
    <row r="1188" spans="10:29">
      <c r="J1188" s="412">
        <v>42535</v>
      </c>
      <c r="K1188" s="413">
        <v>46.793770000000002</v>
      </c>
      <c r="L1188" s="30">
        <f t="shared" si="48"/>
        <v>-1.0135133062636838E-2</v>
      </c>
      <c r="M1188" s="414">
        <v>2075.320068</v>
      </c>
      <c r="N1188" s="31">
        <f t="shared" si="49"/>
        <v>1.8441071687183162E-3</v>
      </c>
      <c r="Q1188" s="34"/>
      <c r="R1188" s="23"/>
      <c r="S1188" s="34"/>
      <c r="T1188" s="23"/>
      <c r="U1188" s="2"/>
      <c r="W1188" s="34"/>
      <c r="X1188" s="23"/>
      <c r="Y1188" s="34"/>
      <c r="Z1188" s="23"/>
      <c r="AA1188" s="2"/>
      <c r="AC1188" s="244"/>
    </row>
    <row r="1189" spans="10:29">
      <c r="J1189" s="412">
        <v>42536</v>
      </c>
      <c r="K1189" s="413">
        <v>47.272886999999997</v>
      </c>
      <c r="L1189" s="30">
        <f t="shared" si="48"/>
        <v>-3.9957620469332454E-3</v>
      </c>
      <c r="M1189" s="414">
        <v>2071.5</v>
      </c>
      <c r="N1189" s="31">
        <f t="shared" si="49"/>
        <v>-3.1232056127469768E-3</v>
      </c>
      <c r="Q1189" s="34"/>
      <c r="R1189" s="23"/>
      <c r="S1189" s="34"/>
      <c r="T1189" s="23"/>
      <c r="U1189" s="2"/>
      <c r="W1189" s="34"/>
      <c r="X1189" s="23"/>
      <c r="Y1189" s="34"/>
      <c r="Z1189" s="23"/>
      <c r="AA1189" s="2"/>
      <c r="AC1189" s="244"/>
    </row>
    <row r="1190" spans="10:29">
      <c r="J1190" s="412">
        <v>42537</v>
      </c>
      <c r="K1190" s="413">
        <v>47.462536</v>
      </c>
      <c r="L1190" s="30">
        <f t="shared" si="48"/>
        <v>1.7765382832600603E-2</v>
      </c>
      <c r="M1190" s="414">
        <v>2077.98999</v>
      </c>
      <c r="N1190" s="31">
        <f t="shared" si="49"/>
        <v>3.2686141958796549E-3</v>
      </c>
      <c r="Q1190" s="34"/>
      <c r="R1190" s="23"/>
      <c r="S1190" s="34"/>
      <c r="T1190" s="23"/>
      <c r="U1190" s="2"/>
      <c r="W1190" s="34"/>
      <c r="X1190" s="23"/>
      <c r="Y1190" s="34"/>
      <c r="Z1190" s="23"/>
      <c r="AA1190" s="2"/>
      <c r="AC1190" s="244"/>
    </row>
    <row r="1191" spans="10:29">
      <c r="J1191" s="412">
        <v>42538</v>
      </c>
      <c r="K1191" s="413">
        <v>46.634064000000002</v>
      </c>
      <c r="L1191" s="30">
        <f t="shared" si="48"/>
        <v>-1.7661923150487917E-2</v>
      </c>
      <c r="M1191" s="414">
        <v>2071.219971</v>
      </c>
      <c r="N1191" s="31">
        <f t="shared" si="49"/>
        <v>-5.7746449057962381E-3</v>
      </c>
      <c r="Q1191" s="34"/>
      <c r="R1191" s="23"/>
      <c r="S1191" s="34"/>
      <c r="T1191" s="23"/>
      <c r="U1191" s="2"/>
      <c r="W1191" s="34"/>
      <c r="X1191" s="23"/>
      <c r="Y1191" s="34"/>
      <c r="Z1191" s="23"/>
      <c r="AA1191" s="2"/>
      <c r="AC1191" s="244"/>
    </row>
    <row r="1192" spans="10:29">
      <c r="J1192" s="412">
        <v>42541</v>
      </c>
      <c r="K1192" s="413">
        <v>47.472520000000003</v>
      </c>
      <c r="L1192" s="30">
        <f t="shared" si="48"/>
        <v>6.1349994909188866E-3</v>
      </c>
      <c r="M1192" s="414">
        <v>2083.25</v>
      </c>
      <c r="N1192" s="31">
        <f t="shared" si="49"/>
        <v>-2.704726059200184E-3</v>
      </c>
      <c r="Q1192" s="34"/>
      <c r="R1192" s="23"/>
      <c r="S1192" s="34"/>
      <c r="T1192" s="23"/>
      <c r="U1192" s="2"/>
      <c r="W1192" s="34"/>
      <c r="X1192" s="23"/>
      <c r="Y1192" s="34"/>
      <c r="Z1192" s="23"/>
      <c r="AA1192" s="2"/>
      <c r="AC1192" s="244"/>
    </row>
    <row r="1193" spans="10:29">
      <c r="J1193" s="412">
        <v>42542</v>
      </c>
      <c r="K1193" s="413">
        <v>47.183052000000004</v>
      </c>
      <c r="L1193" s="30">
        <f t="shared" si="48"/>
        <v>8.469315515253989E-4</v>
      </c>
      <c r="M1193" s="414">
        <v>2088.8999020000001</v>
      </c>
      <c r="N1193" s="31">
        <f t="shared" si="49"/>
        <v>1.6542957544225694E-3</v>
      </c>
      <c r="Q1193" s="34"/>
      <c r="R1193" s="23"/>
      <c r="S1193" s="34"/>
      <c r="T1193" s="23"/>
      <c r="U1193" s="2"/>
      <c r="W1193" s="34"/>
      <c r="X1193" s="23"/>
      <c r="Y1193" s="34"/>
      <c r="Z1193" s="23"/>
      <c r="AA1193" s="2"/>
      <c r="AC1193" s="244"/>
    </row>
    <row r="1194" spans="10:29">
      <c r="J1194" s="412">
        <v>42543</v>
      </c>
      <c r="K1194" s="413">
        <v>47.143124999999998</v>
      </c>
      <c r="L1194" s="30">
        <f t="shared" si="48"/>
        <v>-2.5984772279322946E-2</v>
      </c>
      <c r="M1194" s="414">
        <v>2085.4499510000001</v>
      </c>
      <c r="N1194" s="31">
        <f t="shared" si="49"/>
        <v>-1.3187835303327056E-2</v>
      </c>
      <c r="Q1194" s="34"/>
      <c r="R1194" s="23"/>
      <c r="S1194" s="34"/>
      <c r="T1194" s="23"/>
      <c r="U1194" s="2"/>
      <c r="W1194" s="34"/>
      <c r="X1194" s="23"/>
      <c r="Y1194" s="34"/>
      <c r="Z1194" s="23"/>
      <c r="AA1194" s="2"/>
      <c r="AC1194" s="244"/>
    </row>
    <row r="1195" spans="10:29">
      <c r="J1195" s="412">
        <v>42544</v>
      </c>
      <c r="K1195" s="413">
        <v>48.400809000000002</v>
      </c>
      <c r="L1195" s="30">
        <f t="shared" si="48"/>
        <v>6.0354291747312855E-2</v>
      </c>
      <c r="M1195" s="414">
        <v>2113.320068</v>
      </c>
      <c r="N1195" s="31">
        <f t="shared" si="49"/>
        <v>3.7258103539898439E-2</v>
      </c>
      <c r="Q1195" s="34"/>
      <c r="R1195" s="23"/>
      <c r="S1195" s="34"/>
      <c r="T1195" s="23"/>
      <c r="U1195" s="2"/>
      <c r="W1195" s="34"/>
      <c r="X1195" s="23"/>
      <c r="Y1195" s="34"/>
      <c r="Z1195" s="23"/>
      <c r="AA1195" s="2"/>
      <c r="AC1195" s="244"/>
    </row>
    <row r="1196" spans="10:29">
      <c r="J1196" s="412">
        <v>42545</v>
      </c>
      <c r="K1196" s="413">
        <v>45.645884000000002</v>
      </c>
      <c r="L1196" s="30">
        <f t="shared" si="48"/>
        <v>1.0831085037117476E-2</v>
      </c>
      <c r="M1196" s="414">
        <v>2037.410034</v>
      </c>
      <c r="N1196" s="31">
        <f t="shared" si="49"/>
        <v>1.8430021034935167E-2</v>
      </c>
      <c r="Q1196" s="34"/>
      <c r="R1196" s="23"/>
      <c r="S1196" s="34"/>
      <c r="T1196" s="23"/>
      <c r="U1196" s="2"/>
      <c r="W1196" s="34"/>
      <c r="X1196" s="23"/>
      <c r="Y1196" s="34"/>
      <c r="Z1196" s="23"/>
      <c r="AA1196" s="2"/>
      <c r="AC1196" s="244"/>
    </row>
    <row r="1197" spans="10:29">
      <c r="J1197" s="412">
        <v>42548</v>
      </c>
      <c r="K1197" s="413">
        <v>45.156787000000001</v>
      </c>
      <c r="L1197" s="30">
        <f t="shared" si="48"/>
        <v>-1.4379084596410029E-2</v>
      </c>
      <c r="M1197" s="414">
        <v>2000.540039</v>
      </c>
      <c r="N1197" s="31">
        <f t="shared" si="49"/>
        <v>-1.7459899903067459E-2</v>
      </c>
      <c r="Q1197" s="34"/>
      <c r="R1197" s="23"/>
      <c r="S1197" s="34"/>
      <c r="T1197" s="23"/>
      <c r="U1197" s="2"/>
      <c r="W1197" s="34"/>
      <c r="X1197" s="23"/>
      <c r="Y1197" s="34"/>
      <c r="Z1197" s="23"/>
      <c r="AA1197" s="2"/>
      <c r="AC1197" s="244"/>
    </row>
    <row r="1198" spans="10:29">
      <c r="J1198" s="412">
        <v>42549</v>
      </c>
      <c r="K1198" s="413">
        <v>45.815573000000001</v>
      </c>
      <c r="L1198" s="30">
        <f t="shared" si="48"/>
        <v>-1.6077181535666653E-2</v>
      </c>
      <c r="M1198" s="414">
        <v>2036.089966</v>
      </c>
      <c r="N1198" s="31">
        <f t="shared" si="49"/>
        <v>-1.6747419397157359E-2</v>
      </c>
      <c r="Q1198" s="34"/>
      <c r="R1198" s="23"/>
      <c r="S1198" s="34"/>
      <c r="T1198" s="23"/>
      <c r="U1198" s="2"/>
      <c r="W1198" s="34"/>
      <c r="X1198" s="23"/>
      <c r="Y1198" s="34"/>
      <c r="Z1198" s="23"/>
      <c r="AA1198" s="2"/>
      <c r="AC1198" s="244"/>
    </row>
    <row r="1199" spans="10:29">
      <c r="J1199" s="412">
        <v>42550</v>
      </c>
      <c r="K1199" s="413">
        <v>46.564194000000001</v>
      </c>
      <c r="L1199" s="30">
        <f t="shared" si="48"/>
        <v>-7.6578640889917093E-3</v>
      </c>
      <c r="M1199" s="414">
        <v>2070.7700199999999</v>
      </c>
      <c r="N1199" s="31">
        <f t="shared" si="49"/>
        <v>-1.338349654953923E-2</v>
      </c>
      <c r="Q1199" s="34"/>
      <c r="R1199" s="23"/>
      <c r="S1199" s="34"/>
      <c r="T1199" s="23"/>
      <c r="U1199" s="2"/>
      <c r="W1199" s="34"/>
      <c r="X1199" s="23"/>
      <c r="Y1199" s="34"/>
      <c r="Z1199" s="23"/>
      <c r="AA1199" s="2"/>
      <c r="AC1199" s="244"/>
    </row>
    <row r="1200" spans="10:29">
      <c r="J1200" s="412">
        <v>42551</v>
      </c>
      <c r="K1200" s="413">
        <v>46.923527999999997</v>
      </c>
      <c r="L1200" s="30">
        <f t="shared" si="48"/>
        <v>7.5010456975799795E-3</v>
      </c>
      <c r="M1200" s="414">
        <v>2098.860107</v>
      </c>
      <c r="N1200" s="31">
        <f t="shared" si="49"/>
        <v>-1.9448128083387204E-3</v>
      </c>
      <c r="Q1200" s="34"/>
      <c r="R1200" s="23"/>
      <c r="S1200" s="34"/>
      <c r="T1200" s="23"/>
      <c r="U1200" s="2"/>
      <c r="W1200" s="34"/>
      <c r="X1200" s="23"/>
      <c r="Y1200" s="34"/>
      <c r="Z1200" s="23"/>
      <c r="AA1200" s="2"/>
      <c r="AC1200" s="244"/>
    </row>
    <row r="1201" spans="10:29">
      <c r="J1201" s="412">
        <v>42552</v>
      </c>
      <c r="K1201" s="413">
        <v>46.574173000000002</v>
      </c>
      <c r="L1201" s="30">
        <f t="shared" si="48"/>
        <v>-1.4572316897250252E-2</v>
      </c>
      <c r="M1201" s="414">
        <v>2102.9499510000001</v>
      </c>
      <c r="N1201" s="31">
        <f t="shared" si="49"/>
        <v>6.8946884978383924E-3</v>
      </c>
      <c r="Q1201" s="34"/>
      <c r="R1201" s="23"/>
      <c r="S1201" s="34"/>
      <c r="T1201" s="23"/>
      <c r="U1201" s="2"/>
      <c r="W1201" s="34"/>
      <c r="X1201" s="23"/>
      <c r="Y1201" s="34"/>
      <c r="Z1201" s="23"/>
      <c r="AA1201" s="2"/>
      <c r="AC1201" s="244"/>
    </row>
    <row r="1202" spans="10:29">
      <c r="J1202" s="412">
        <v>42556</v>
      </c>
      <c r="K1202" s="413">
        <v>47.262903000000001</v>
      </c>
      <c r="L1202" s="30">
        <f t="shared" si="48"/>
        <v>-6.2959667639662601E-3</v>
      </c>
      <c r="M1202" s="414">
        <v>2088.5500489999999</v>
      </c>
      <c r="N1202" s="31">
        <f t="shared" si="49"/>
        <v>-5.3244612909704343E-3</v>
      </c>
      <c r="Q1202" s="34"/>
      <c r="R1202" s="23"/>
      <c r="S1202" s="34"/>
      <c r="T1202" s="23"/>
      <c r="U1202" s="2"/>
      <c r="W1202" s="34"/>
      <c r="X1202" s="23"/>
      <c r="Y1202" s="34"/>
      <c r="Z1202" s="23"/>
      <c r="AA1202" s="2"/>
      <c r="AC1202" s="244"/>
    </row>
    <row r="1203" spans="10:29">
      <c r="J1203" s="412">
        <v>42557</v>
      </c>
      <c r="K1203" s="413">
        <v>47.562353999999999</v>
      </c>
      <c r="L1203" s="30">
        <f t="shared" si="48"/>
        <v>-2.5363016377578703E-2</v>
      </c>
      <c r="M1203" s="414">
        <v>2099.7299800000001</v>
      </c>
      <c r="N1203" s="31">
        <f t="shared" si="49"/>
        <v>8.7233809308789303E-4</v>
      </c>
      <c r="Q1203" s="34"/>
      <c r="R1203" s="23"/>
      <c r="S1203" s="34"/>
      <c r="T1203" s="23"/>
      <c r="U1203" s="2"/>
      <c r="W1203" s="34"/>
      <c r="X1203" s="23"/>
      <c r="Y1203" s="34"/>
      <c r="Z1203" s="23"/>
      <c r="AA1203" s="2"/>
      <c r="AC1203" s="244"/>
    </row>
    <row r="1204" spans="10:29">
      <c r="J1204" s="412">
        <v>42558</v>
      </c>
      <c r="K1204" s="413">
        <v>48.800071000000003</v>
      </c>
      <c r="L1204" s="30">
        <f t="shared" si="48"/>
        <v>-3.8544725287704654E-2</v>
      </c>
      <c r="M1204" s="414">
        <v>2097.8999020000001</v>
      </c>
      <c r="N1204" s="31">
        <f t="shared" si="49"/>
        <v>-1.5024180230231308E-2</v>
      </c>
      <c r="Q1204" s="34"/>
      <c r="R1204" s="23"/>
      <c r="S1204" s="34"/>
      <c r="T1204" s="23"/>
      <c r="U1204" s="2"/>
      <c r="W1204" s="34"/>
      <c r="X1204" s="23"/>
      <c r="Y1204" s="34"/>
      <c r="Z1204" s="23"/>
      <c r="AA1204" s="2"/>
      <c r="AC1204" s="244"/>
    </row>
    <row r="1205" spans="10:29">
      <c r="J1205" s="412">
        <v>42559</v>
      </c>
      <c r="K1205" s="413">
        <v>50.756464999999999</v>
      </c>
      <c r="L1205" s="30">
        <f t="shared" si="48"/>
        <v>-2.2491389631235412E-2</v>
      </c>
      <c r="M1205" s="414">
        <v>2129.8999020000001</v>
      </c>
      <c r="N1205" s="31">
        <f t="shared" si="49"/>
        <v>-3.3970363935967207E-3</v>
      </c>
      <c r="Q1205" s="34"/>
      <c r="R1205" s="23"/>
      <c r="S1205" s="34"/>
      <c r="T1205" s="23"/>
      <c r="U1205" s="2"/>
      <c r="W1205" s="34"/>
      <c r="X1205" s="23"/>
      <c r="Y1205" s="34"/>
      <c r="Z1205" s="23"/>
      <c r="AA1205" s="2"/>
      <c r="AC1205" s="244"/>
    </row>
    <row r="1206" spans="10:29">
      <c r="J1206" s="412">
        <v>42562</v>
      </c>
      <c r="K1206" s="413">
        <v>51.924315</v>
      </c>
      <c r="L1206" s="30">
        <f t="shared" si="48"/>
        <v>-1.4772703403926052E-2</v>
      </c>
      <c r="M1206" s="414">
        <v>2137.1599120000001</v>
      </c>
      <c r="N1206" s="31">
        <f t="shared" si="49"/>
        <v>-6.9605052388664367E-3</v>
      </c>
      <c r="Q1206" s="34"/>
      <c r="R1206" s="23"/>
      <c r="S1206" s="34"/>
      <c r="T1206" s="23"/>
      <c r="U1206" s="2"/>
      <c r="W1206" s="34"/>
      <c r="X1206" s="23"/>
      <c r="Y1206" s="34"/>
      <c r="Z1206" s="23"/>
      <c r="AA1206" s="2"/>
      <c r="AC1206" s="244"/>
    </row>
    <row r="1207" spans="10:29">
      <c r="J1207" s="412">
        <v>42563</v>
      </c>
      <c r="K1207" s="413">
        <v>52.702879000000003</v>
      </c>
      <c r="L1207" s="30">
        <f t="shared" si="48"/>
        <v>3.789463813838252E-4</v>
      </c>
      <c r="M1207" s="414">
        <v>2152.139893</v>
      </c>
      <c r="N1207" s="31">
        <f t="shared" si="49"/>
        <v>-1.3474956637983551E-4</v>
      </c>
      <c r="Q1207" s="34"/>
      <c r="R1207" s="23"/>
      <c r="S1207" s="34"/>
      <c r="T1207" s="23"/>
      <c r="U1207" s="2"/>
      <c r="W1207" s="34"/>
      <c r="X1207" s="23"/>
      <c r="Y1207" s="34"/>
      <c r="Z1207" s="23"/>
      <c r="AA1207" s="2"/>
      <c r="AC1207" s="244"/>
    </row>
    <row r="1208" spans="10:29">
      <c r="J1208" s="412">
        <v>42564</v>
      </c>
      <c r="K1208" s="413">
        <v>52.682915000000001</v>
      </c>
      <c r="L1208" s="30">
        <f t="shared" si="48"/>
        <v>-1.0127555894588693E-2</v>
      </c>
      <c r="M1208" s="414">
        <v>2152.429932</v>
      </c>
      <c r="N1208" s="31">
        <f t="shared" si="49"/>
        <v>-5.2316894280762527E-3</v>
      </c>
      <c r="Q1208" s="34"/>
      <c r="R1208" s="23"/>
      <c r="S1208" s="34"/>
      <c r="T1208" s="23"/>
      <c r="U1208" s="2"/>
      <c r="W1208" s="34"/>
      <c r="X1208" s="23"/>
      <c r="Y1208" s="34"/>
      <c r="Z1208" s="23"/>
      <c r="AA1208" s="2"/>
      <c r="AC1208" s="244"/>
    </row>
    <row r="1209" spans="10:29">
      <c r="J1209" s="412">
        <v>42565</v>
      </c>
      <c r="K1209" s="413">
        <v>53.221922999999997</v>
      </c>
      <c r="L1209" s="30">
        <f t="shared" si="48"/>
        <v>1.1764694923474293E-2</v>
      </c>
      <c r="M1209" s="414">
        <v>2163.75</v>
      </c>
      <c r="N1209" s="31">
        <f t="shared" si="49"/>
        <v>9.2981117493226627E-4</v>
      </c>
      <c r="Q1209" s="34"/>
      <c r="R1209" s="23"/>
      <c r="S1209" s="34"/>
      <c r="T1209" s="23"/>
      <c r="U1209" s="2"/>
      <c r="W1209" s="34"/>
      <c r="X1209" s="23"/>
      <c r="Y1209" s="34"/>
      <c r="Z1209" s="23"/>
      <c r="AA1209" s="2"/>
      <c r="AC1209" s="244"/>
    </row>
    <row r="1210" spans="10:29">
      <c r="J1210" s="412">
        <v>42566</v>
      </c>
      <c r="K1210" s="413">
        <v>52.603064000000003</v>
      </c>
      <c r="L1210" s="30">
        <f t="shared" si="48"/>
        <v>-5.0972368128591322E-3</v>
      </c>
      <c r="M1210" s="414">
        <v>2161.73999</v>
      </c>
      <c r="N1210" s="31">
        <f t="shared" si="49"/>
        <v>-2.3766334489982296E-3</v>
      </c>
      <c r="Q1210" s="34"/>
      <c r="R1210" s="23"/>
      <c r="S1210" s="34"/>
      <c r="T1210" s="23"/>
      <c r="U1210" s="2"/>
      <c r="W1210" s="34"/>
      <c r="X1210" s="23"/>
      <c r="Y1210" s="34"/>
      <c r="Z1210" s="23"/>
      <c r="AA1210" s="2"/>
      <c r="AC1210" s="244"/>
    </row>
    <row r="1211" spans="10:29">
      <c r="J1211" s="412">
        <v>42569</v>
      </c>
      <c r="K1211" s="413">
        <v>52.872568000000001</v>
      </c>
      <c r="L1211" s="30">
        <f t="shared" si="48"/>
        <v>-1.0276525827888678E-2</v>
      </c>
      <c r="M1211" s="414">
        <v>2166.889893</v>
      </c>
      <c r="N1211" s="31">
        <f t="shared" si="49"/>
        <v>1.4372366683859507E-3</v>
      </c>
      <c r="Q1211" s="34"/>
      <c r="R1211" s="23"/>
      <c r="S1211" s="34"/>
      <c r="T1211" s="23"/>
      <c r="U1211" s="2"/>
      <c r="W1211" s="34"/>
      <c r="X1211" s="23"/>
      <c r="Y1211" s="34"/>
      <c r="Z1211" s="23"/>
      <c r="AA1211" s="2"/>
      <c r="AC1211" s="244"/>
    </row>
    <row r="1212" spans="10:29">
      <c r="J1212" s="412">
        <v>42570</v>
      </c>
      <c r="K1212" s="413">
        <v>53.421556000000002</v>
      </c>
      <c r="L1212" s="30">
        <f t="shared" si="48"/>
        <v>-1.2910375593292006E-2</v>
      </c>
      <c r="M1212" s="414">
        <v>2163.780029</v>
      </c>
      <c r="N1212" s="31">
        <f t="shared" si="49"/>
        <v>-4.2521426010607667E-3</v>
      </c>
      <c r="Q1212" s="34"/>
      <c r="R1212" s="23"/>
      <c r="S1212" s="34"/>
      <c r="T1212" s="23"/>
      <c r="U1212" s="2"/>
      <c r="W1212" s="34"/>
      <c r="X1212" s="23"/>
      <c r="Y1212" s="34"/>
      <c r="Z1212" s="23"/>
      <c r="AA1212" s="2"/>
      <c r="AC1212" s="244"/>
    </row>
    <row r="1213" spans="10:29">
      <c r="J1213" s="412">
        <v>42571</v>
      </c>
      <c r="K1213" s="413">
        <v>54.120269</v>
      </c>
      <c r="L1213" s="30">
        <f t="shared" si="48"/>
        <v>1.8789935821071017E-2</v>
      </c>
      <c r="M1213" s="414">
        <v>2173.0200199999999</v>
      </c>
      <c r="N1213" s="31">
        <f t="shared" si="49"/>
        <v>3.625626755773808E-3</v>
      </c>
      <c r="Q1213" s="34"/>
      <c r="R1213" s="23"/>
      <c r="S1213" s="34"/>
      <c r="T1213" s="23"/>
      <c r="U1213" s="2"/>
      <c r="W1213" s="34"/>
      <c r="X1213" s="23"/>
      <c r="Y1213" s="34"/>
      <c r="Z1213" s="23"/>
      <c r="AA1213" s="2"/>
      <c r="AC1213" s="244"/>
    </row>
    <row r="1214" spans="10:29">
      <c r="J1214" s="412">
        <v>42572</v>
      </c>
      <c r="K1214" s="413">
        <v>53.122107999999997</v>
      </c>
      <c r="L1214" s="30">
        <f t="shared" si="48"/>
        <v>-2.6522721381151131E-2</v>
      </c>
      <c r="M1214" s="414">
        <v>2165.169922</v>
      </c>
      <c r="N1214" s="31">
        <f t="shared" si="49"/>
        <v>-4.53331993974046E-3</v>
      </c>
      <c r="Q1214" s="34"/>
      <c r="R1214" s="23"/>
      <c r="S1214" s="34"/>
      <c r="T1214" s="23"/>
      <c r="U1214" s="2"/>
      <c r="W1214" s="34"/>
      <c r="X1214" s="23"/>
      <c r="Y1214" s="34"/>
      <c r="Z1214" s="23"/>
      <c r="AA1214" s="2"/>
      <c r="AC1214" s="244"/>
    </row>
    <row r="1215" spans="10:29">
      <c r="J1215" s="412">
        <v>42573</v>
      </c>
      <c r="K1215" s="413">
        <v>54.569437999999998</v>
      </c>
      <c r="L1215" s="30">
        <f t="shared" si="48"/>
        <v>-1.8139417829667027E-2</v>
      </c>
      <c r="M1215" s="414">
        <v>2175.030029</v>
      </c>
      <c r="N1215" s="31">
        <f t="shared" si="49"/>
        <v>3.0205715802826753E-3</v>
      </c>
      <c r="Q1215" s="34"/>
      <c r="R1215" s="23"/>
      <c r="S1215" s="34"/>
      <c r="T1215" s="23"/>
      <c r="U1215" s="2"/>
      <c r="W1215" s="34"/>
      <c r="X1215" s="23"/>
      <c r="Y1215" s="34"/>
      <c r="Z1215" s="23"/>
      <c r="AA1215" s="2"/>
      <c r="AC1215" s="244"/>
    </row>
    <row r="1216" spans="10:29">
      <c r="J1216" s="412">
        <v>42576</v>
      </c>
      <c r="K1216" s="413">
        <v>55.577582999999997</v>
      </c>
      <c r="L1216" s="30">
        <f>(K1216-K1217)/K1217</f>
        <v>-1.6775567901375243E-2</v>
      </c>
      <c r="M1216" s="414">
        <v>2168.4799800000001</v>
      </c>
      <c r="N1216" s="31">
        <f t="shared" si="49"/>
        <v>-3.2268047001272887E-4</v>
      </c>
      <c r="Q1216" s="34"/>
      <c r="R1216" s="23"/>
      <c r="S1216" s="34"/>
      <c r="T1216" s="23"/>
      <c r="U1216" s="2"/>
      <c r="W1216" s="34"/>
      <c r="X1216" s="23"/>
      <c r="Y1216" s="34"/>
      <c r="Z1216" s="23"/>
      <c r="AA1216" s="2"/>
      <c r="AC1216" s="244"/>
    </row>
    <row r="1217" spans="1:31">
      <c r="J1217" s="412">
        <v>42577</v>
      </c>
      <c r="K1217" s="413">
        <v>56.525835999999998</v>
      </c>
      <c r="L1217" s="30">
        <f t="shared" ref="L1217:L1264" si="50">(K1217-K1218)/K1218</f>
        <v>1.0167667481847827E-2</v>
      </c>
      <c r="M1217" s="414">
        <v>2169.179932</v>
      </c>
      <c r="N1217" s="31">
        <f t="shared" si="49"/>
        <v>1.1999805714081944E-3</v>
      </c>
      <c r="Q1217" s="34"/>
      <c r="R1217" s="23"/>
      <c r="S1217" s="34"/>
      <c r="T1217" s="23"/>
      <c r="U1217" s="2"/>
      <c r="W1217" s="34"/>
      <c r="X1217" s="23"/>
      <c r="Y1217" s="34"/>
      <c r="Z1217" s="23"/>
      <c r="AA1217" s="2"/>
      <c r="AC1217" s="244"/>
    </row>
    <row r="1218" spans="1:31">
      <c r="J1218" s="412">
        <v>42578</v>
      </c>
      <c r="K1218" s="413">
        <v>55.956885</v>
      </c>
      <c r="L1218" s="30">
        <f t="shared" si="50"/>
        <v>-2.1359687540609133E-3</v>
      </c>
      <c r="M1218" s="414">
        <v>2166.580078</v>
      </c>
      <c r="N1218" s="31">
        <f t="shared" si="49"/>
        <v>-1.6036334964865378E-3</v>
      </c>
      <c r="Q1218" s="34"/>
      <c r="R1218" s="23"/>
      <c r="S1218" s="34"/>
      <c r="T1218" s="23"/>
      <c r="U1218" s="2"/>
      <c r="W1218" s="34"/>
      <c r="X1218" s="23"/>
      <c r="Y1218" s="34"/>
      <c r="Z1218" s="23"/>
      <c r="AA1218" s="2"/>
      <c r="AC1218" s="244"/>
    </row>
    <row r="1219" spans="1:31">
      <c r="J1219" s="412">
        <v>42579</v>
      </c>
      <c r="K1219" s="413">
        <v>56.076663000000003</v>
      </c>
      <c r="L1219" s="30">
        <f t="shared" si="50"/>
        <v>-1.6112053679685205E-2</v>
      </c>
      <c r="M1219" s="414">
        <v>2170.0600589999999</v>
      </c>
      <c r="N1219" s="31">
        <f t="shared" si="49"/>
        <v>-1.6286523925248641E-3</v>
      </c>
      <c r="Q1219" s="34"/>
      <c r="R1219" s="23"/>
      <c r="S1219" s="34"/>
      <c r="T1219" s="23"/>
      <c r="U1219" s="2"/>
      <c r="W1219" s="34"/>
      <c r="X1219" s="23"/>
      <c r="Y1219" s="34"/>
      <c r="Z1219" s="23"/>
      <c r="AA1219" s="2"/>
      <c r="AC1219" s="244"/>
    </row>
    <row r="1220" spans="1:31">
      <c r="J1220" s="412">
        <v>42580</v>
      </c>
      <c r="K1220" s="413">
        <v>56.994968999999998</v>
      </c>
      <c r="L1220" s="30">
        <f t="shared" si="50"/>
        <v>6.5221149779295653E-3</v>
      </c>
      <c r="M1220" s="414">
        <v>2173.6000979999999</v>
      </c>
      <c r="N1220" s="31">
        <f>(M1220-M1221)/M1221</f>
        <v>1.2714018021211177E-3</v>
      </c>
      <c r="Q1220" s="34"/>
      <c r="R1220" s="23"/>
      <c r="S1220" s="34"/>
      <c r="T1220" s="23"/>
      <c r="U1220" s="2"/>
      <c r="W1220" s="34"/>
      <c r="X1220" s="23"/>
      <c r="Y1220" s="34"/>
      <c r="Z1220" s="23"/>
      <c r="AA1220" s="2"/>
      <c r="AC1220" s="244"/>
    </row>
    <row r="1221" spans="1:31">
      <c r="J1221" s="412">
        <v>42583</v>
      </c>
      <c r="K1221" s="413">
        <v>56.62565</v>
      </c>
      <c r="L1221" s="30">
        <f t="shared" si="50"/>
        <v>1.2312601188756924E-2</v>
      </c>
      <c r="M1221" s="414">
        <v>2170.8400879999999</v>
      </c>
      <c r="N1221" s="31">
        <f t="shared" si="49"/>
        <v>6.4023489772195054E-3</v>
      </c>
      <c r="Q1221" s="34"/>
      <c r="R1221" s="23"/>
      <c r="S1221" s="34"/>
      <c r="T1221" s="23"/>
      <c r="U1221" s="2"/>
      <c r="W1221" s="34"/>
      <c r="X1221" s="23"/>
      <c r="Y1221" s="34"/>
      <c r="Z1221" s="23"/>
      <c r="AA1221" s="2"/>
      <c r="AC1221" s="244"/>
    </row>
    <row r="1222" spans="1:31">
      <c r="J1222" s="412">
        <v>42584</v>
      </c>
      <c r="K1222" s="413">
        <v>55.936920999999998</v>
      </c>
      <c r="L1222" s="30">
        <f t="shared" si="50"/>
        <v>-2.669476937673095E-3</v>
      </c>
      <c r="M1222" s="414">
        <v>2157.030029</v>
      </c>
      <c r="N1222" s="31">
        <f t="shared" si="49"/>
        <v>-3.1241524723554593E-3</v>
      </c>
      <c r="Q1222" s="34"/>
      <c r="R1222" s="23"/>
      <c r="S1222" s="34"/>
      <c r="T1222" s="23"/>
      <c r="U1222" s="2"/>
      <c r="W1222" s="34"/>
      <c r="X1222" s="23"/>
      <c r="Y1222" s="34"/>
      <c r="Z1222" s="23"/>
      <c r="AA1222" s="2"/>
      <c r="AC1222" s="244"/>
    </row>
    <row r="1223" spans="1:31">
      <c r="J1223" s="412">
        <v>42585</v>
      </c>
      <c r="K1223" s="413">
        <v>56.086643000000002</v>
      </c>
      <c r="L1223" s="30">
        <f t="shared" si="50"/>
        <v>-1.8172304391245096E-2</v>
      </c>
      <c r="M1223" s="414">
        <v>2163.790039</v>
      </c>
      <c r="N1223" s="31">
        <f t="shared" si="49"/>
        <v>-2.1252674136537885E-4</v>
      </c>
      <c r="Q1223" s="34"/>
      <c r="R1223" s="23"/>
      <c r="S1223" s="34"/>
      <c r="T1223" s="23"/>
      <c r="U1223" s="2"/>
      <c r="W1223" s="34"/>
      <c r="X1223" s="23"/>
      <c r="Y1223" s="34"/>
      <c r="Z1223" s="23"/>
      <c r="AA1223" s="2"/>
      <c r="AC1223" s="244"/>
    </row>
    <row r="1224" spans="1:31">
      <c r="J1224" s="412">
        <v>42586</v>
      </c>
      <c r="K1224" s="413">
        <v>57.124730999999997</v>
      </c>
      <c r="L1224" s="30">
        <f t="shared" si="50"/>
        <v>-1.6666687323218694E-2</v>
      </c>
      <c r="M1224" s="414">
        <v>2164.25</v>
      </c>
      <c r="N1224" s="31">
        <f t="shared" si="49"/>
        <v>-8.530107611528559E-3</v>
      </c>
      <c r="Q1224" s="34"/>
      <c r="R1224" s="23"/>
      <c r="S1224" s="34"/>
      <c r="T1224" s="23"/>
      <c r="U1224" s="2"/>
      <c r="W1224" s="34"/>
      <c r="X1224" s="23"/>
      <c r="Y1224" s="34"/>
      <c r="Z1224" s="23"/>
      <c r="AA1224" s="2"/>
      <c r="AC1224" s="244"/>
    </row>
    <row r="1225" spans="1:31">
      <c r="J1225" s="412">
        <v>42587</v>
      </c>
      <c r="K1225" s="413">
        <v>58.092948</v>
      </c>
      <c r="L1225" s="30">
        <f t="shared" si="50"/>
        <v>-9.1930586315942912E-3</v>
      </c>
      <c r="M1225" s="414">
        <v>2182.8701169999999</v>
      </c>
      <c r="N1225" s="31">
        <f>(M1225-M1226)/M1226</f>
        <v>9.0798898484321944E-4</v>
      </c>
      <c r="Q1225" s="34"/>
      <c r="R1225" s="23"/>
      <c r="S1225" s="34"/>
      <c r="T1225" s="23"/>
      <c r="U1225" s="2"/>
      <c r="W1225" s="34"/>
      <c r="X1225" s="23"/>
      <c r="Y1225" s="34"/>
      <c r="Z1225" s="23"/>
      <c r="AA1225" s="2"/>
      <c r="AC1225" s="244"/>
    </row>
    <row r="1226" spans="1:31">
      <c r="J1226" s="412">
        <v>42590</v>
      </c>
      <c r="K1226" s="413">
        <v>58.631954999999998</v>
      </c>
      <c r="L1226" s="30">
        <f t="shared" si="50"/>
        <v>-2.5470862289281764E-3</v>
      </c>
      <c r="M1226" s="414">
        <v>2180.889893</v>
      </c>
      <c r="N1226" s="31">
        <f t="shared" ref="N1226:N1264" si="51">(M1226-M1227)/M1227</f>
        <v>-3.8964175561543663E-4</v>
      </c>
      <c r="Q1226" s="34"/>
      <c r="R1226" s="23"/>
      <c r="S1226" s="34"/>
      <c r="T1226" s="23"/>
      <c r="U1226" s="2"/>
      <c r="W1226" s="34"/>
      <c r="X1226" s="23"/>
      <c r="Y1226" s="34"/>
      <c r="Z1226" s="23"/>
      <c r="AA1226" s="2"/>
      <c r="AC1226" s="244"/>
    </row>
    <row r="1227" spans="1:31" ht="12.75" customHeight="1">
      <c r="J1227" s="412">
        <v>42591</v>
      </c>
      <c r="K1227" s="413">
        <v>58.781677000000002</v>
      </c>
      <c r="L1227" s="30">
        <f t="shared" si="50"/>
        <v>6.4946331377791176E-3</v>
      </c>
      <c r="M1227" s="414">
        <v>2181.73999</v>
      </c>
      <c r="N1227" s="31">
        <f t="shared" si="51"/>
        <v>2.8729159999490504E-3</v>
      </c>
      <c r="O1227" s="170"/>
      <c r="Q1227" s="184"/>
      <c r="R1227" s="183"/>
      <c r="S1227" s="184"/>
      <c r="T1227" s="23"/>
      <c r="U1227" s="2"/>
      <c r="W1227" s="34"/>
      <c r="X1227" s="23"/>
      <c r="Y1227" s="239"/>
      <c r="Z1227" s="23"/>
      <c r="AA1227" s="2"/>
    </row>
    <row r="1228" spans="1:31" s="175" customFormat="1" ht="17.25" customHeight="1">
      <c r="A1228" s="365"/>
      <c r="B1228" s="172"/>
      <c r="C1228" s="172"/>
      <c r="J1228" s="477">
        <v>42592</v>
      </c>
      <c r="K1228" s="175">
        <v>58.402374999999999</v>
      </c>
      <c r="L1228" s="478">
        <f t="shared" si="50"/>
        <v>-1.9933046361037772E-2</v>
      </c>
      <c r="M1228" s="175">
        <v>2175.48999</v>
      </c>
      <c r="N1228" s="479">
        <f t="shared" si="51"/>
        <v>-4.7122773991193695E-3</v>
      </c>
      <c r="O1228" s="172"/>
      <c r="P1228" s="480"/>
      <c r="Q1228" s="239"/>
      <c r="R1228" s="241"/>
      <c r="S1228" s="239"/>
      <c r="T1228" s="241"/>
      <c r="U1228" s="172"/>
      <c r="V1228" s="480"/>
      <c r="W1228" s="239"/>
      <c r="X1228" s="241"/>
      <c r="Y1228" s="239"/>
      <c r="Z1228" s="241"/>
      <c r="AA1228" s="172"/>
      <c r="AB1228" s="455"/>
      <c r="AC1228" s="172"/>
      <c r="AD1228" s="172"/>
      <c r="AE1228" s="172"/>
    </row>
    <row r="1229" spans="1:31">
      <c r="J1229" s="412">
        <v>42593</v>
      </c>
      <c r="K1229" s="413">
        <v>59.590189000000002</v>
      </c>
      <c r="L1229" s="30">
        <f t="shared" si="50"/>
        <v>-5.2982226428704593E-2</v>
      </c>
      <c r="M1229" s="414">
        <v>2185.790039</v>
      </c>
      <c r="N1229" s="31">
        <f t="shared" si="51"/>
        <v>7.9668046105294834E-4</v>
      </c>
      <c r="O1229" s="170"/>
      <c r="Q1229" s="184"/>
      <c r="R1229" s="183"/>
      <c r="S1229" s="184"/>
      <c r="T1229" s="23"/>
      <c r="U1229" s="2"/>
      <c r="W1229" s="34"/>
      <c r="X1229" s="23"/>
      <c r="Y1229" s="34"/>
      <c r="Z1229" s="23"/>
      <c r="AA1229" s="2"/>
    </row>
    <row r="1230" spans="1:31">
      <c r="J1230" s="412">
        <v>42594</v>
      </c>
      <c r="K1230" s="413">
        <v>62.924045</v>
      </c>
      <c r="L1230" s="30">
        <f t="shared" si="50"/>
        <v>9.5270509804363808E-4</v>
      </c>
      <c r="M1230" s="414">
        <v>2184.0500489999999</v>
      </c>
      <c r="N1230" s="31">
        <f t="shared" si="51"/>
        <v>-2.7851303668437969E-3</v>
      </c>
      <c r="O1230" s="170"/>
      <c r="Q1230" s="184"/>
      <c r="R1230" s="183"/>
      <c r="S1230" s="184"/>
      <c r="T1230" s="23"/>
      <c r="U1230" s="2"/>
      <c r="W1230" s="34"/>
      <c r="X1230" s="23"/>
      <c r="Y1230" s="34"/>
      <c r="Z1230" s="23"/>
      <c r="AA1230" s="2"/>
    </row>
    <row r="1231" spans="1:31">
      <c r="J1231" s="412">
        <v>42597</v>
      </c>
      <c r="K1231" s="413">
        <v>62.864153999999999</v>
      </c>
      <c r="L1231" s="30">
        <f t="shared" si="50"/>
        <v>6.0703032472574749E-3</v>
      </c>
      <c r="M1231" s="414">
        <v>2190.1499020000001</v>
      </c>
      <c r="N1231" s="31">
        <f t="shared" si="51"/>
        <v>5.5092626953642974E-3</v>
      </c>
      <c r="O1231" s="170"/>
      <c r="Q1231" s="184"/>
      <c r="R1231" s="183"/>
      <c r="S1231" s="184"/>
      <c r="T1231" s="23"/>
      <c r="U1231" s="2"/>
      <c r="W1231" s="34"/>
      <c r="X1231" s="23"/>
      <c r="Y1231" s="34"/>
      <c r="Z1231" s="23"/>
      <c r="AA1231" s="2"/>
    </row>
    <row r="1232" spans="1:31">
      <c r="J1232" s="412">
        <v>42598</v>
      </c>
      <c r="K1232" s="413">
        <v>62.484851999999997</v>
      </c>
      <c r="L1232" s="30">
        <f t="shared" si="50"/>
        <v>2.3712135626999958E-2</v>
      </c>
      <c r="M1232" s="414">
        <v>2178.1499020000001</v>
      </c>
      <c r="N1232" s="31">
        <f t="shared" si="51"/>
        <v>-1.8651048263181144E-3</v>
      </c>
      <c r="O1232" s="170"/>
      <c r="Q1232" s="184"/>
      <c r="R1232" s="183"/>
      <c r="S1232" s="184"/>
      <c r="T1232" s="23"/>
      <c r="U1232" s="2"/>
      <c r="W1232" s="34"/>
      <c r="X1232" s="23"/>
      <c r="Y1232" s="34"/>
      <c r="Z1232" s="23"/>
      <c r="AA1232" s="2"/>
    </row>
    <row r="1233" spans="10:27">
      <c r="J1233" s="412">
        <v>42599</v>
      </c>
      <c r="K1233" s="413">
        <v>61.037522000000003</v>
      </c>
      <c r="L1233" s="30">
        <f t="shared" si="50"/>
        <v>-1.5297865452091079E-2</v>
      </c>
      <c r="M1233" s="414">
        <v>2182.219971</v>
      </c>
      <c r="N1233" s="31">
        <f t="shared" si="51"/>
        <v>-2.194789693786134E-3</v>
      </c>
      <c r="O1233" s="170"/>
      <c r="Q1233" s="184"/>
      <c r="R1233" s="183"/>
      <c r="S1233" s="184"/>
      <c r="T1233" s="23"/>
      <c r="U1233" s="2"/>
      <c r="W1233" s="34"/>
      <c r="X1233" s="23"/>
      <c r="Y1233" s="34"/>
      <c r="Z1233" s="23"/>
      <c r="AA1233" s="2"/>
    </row>
    <row r="1234" spans="10:27">
      <c r="J1234" s="412">
        <v>42600</v>
      </c>
      <c r="K1234" s="413">
        <v>61.985771999999997</v>
      </c>
      <c r="L1234" s="30">
        <f t="shared" si="50"/>
        <v>-2.5698571756075255E-3</v>
      </c>
      <c r="M1234" s="414">
        <v>2187.0200199999999</v>
      </c>
      <c r="N1234" s="31">
        <f t="shared" si="51"/>
        <v>1.4423490552300071E-3</v>
      </c>
      <c r="O1234" s="170"/>
      <c r="Q1234" s="184"/>
      <c r="R1234" s="183"/>
      <c r="S1234" s="184"/>
      <c r="T1234" s="23"/>
      <c r="U1234" s="2"/>
      <c r="W1234" s="34"/>
      <c r="X1234" s="23"/>
      <c r="Y1234" s="2"/>
      <c r="Z1234" s="23"/>
      <c r="AA1234" s="2"/>
    </row>
    <row r="1235" spans="10:27">
      <c r="J1235" s="412">
        <v>42601</v>
      </c>
      <c r="K1235" s="413">
        <v>62.145477</v>
      </c>
      <c r="L1235" s="30">
        <f t="shared" si="50"/>
        <v>-4.1587051653119754E-3</v>
      </c>
      <c r="M1235" s="414">
        <v>2183.8701169999999</v>
      </c>
      <c r="N1235" s="31">
        <f t="shared" si="51"/>
        <v>5.6364038976167814E-4</v>
      </c>
      <c r="O1235" s="170"/>
      <c r="Q1235" s="184"/>
      <c r="R1235" s="183"/>
      <c r="S1235" s="184"/>
      <c r="T1235" s="23"/>
      <c r="U1235" s="2"/>
      <c r="W1235" s="34"/>
      <c r="X1235" s="23"/>
      <c r="Z1235" s="23"/>
      <c r="AA1235" s="2"/>
    </row>
    <row r="1236" spans="10:27">
      <c r="J1236" s="412">
        <v>42604</v>
      </c>
      <c r="K1236" s="413">
        <v>62.405000999999999</v>
      </c>
      <c r="L1236" s="30">
        <f t="shared" si="50"/>
        <v>-8.0273247496423141E-3</v>
      </c>
      <c r="M1236" s="414">
        <v>2182.639893</v>
      </c>
      <c r="N1236" s="31">
        <f t="shared" si="51"/>
        <v>-1.9479670725231399E-3</v>
      </c>
      <c r="O1236" s="170"/>
      <c r="Q1236" s="184"/>
      <c r="R1236" s="183"/>
      <c r="S1236" s="184"/>
      <c r="T1236" s="23"/>
      <c r="U1236" s="2"/>
      <c r="W1236" s="34"/>
      <c r="X1236" s="23"/>
      <c r="Z1236" s="23"/>
      <c r="AA1236" s="2"/>
    </row>
    <row r="1237" spans="10:27">
      <c r="J1237" s="412">
        <v>42605</v>
      </c>
      <c r="K1237" s="413">
        <v>62.91</v>
      </c>
      <c r="L1237" s="30">
        <f t="shared" si="50"/>
        <v>1.5660332832746676E-2</v>
      </c>
      <c r="M1237" s="414">
        <v>2186.8999020000001</v>
      </c>
      <c r="N1237" s="31">
        <f t="shared" si="51"/>
        <v>5.2678820426235893E-3</v>
      </c>
      <c r="O1237" s="170"/>
      <c r="Q1237" s="184"/>
      <c r="R1237" s="183"/>
      <c r="S1237" s="184"/>
      <c r="T1237" s="23"/>
      <c r="U1237" s="2"/>
      <c r="W1237" s="34"/>
      <c r="X1237" s="23"/>
      <c r="Z1237" s="23"/>
      <c r="AA1237" s="2"/>
    </row>
    <row r="1238" spans="10:27">
      <c r="J1238" s="412">
        <v>42606</v>
      </c>
      <c r="K1238" s="413">
        <v>61.939999</v>
      </c>
      <c r="L1238" s="30">
        <f t="shared" si="50"/>
        <v>6.6634163280256797E-3</v>
      </c>
      <c r="M1238" s="414">
        <v>2175.4399410000001</v>
      </c>
      <c r="N1238" s="31">
        <f t="shared" si="51"/>
        <v>1.3670936950318394E-3</v>
      </c>
      <c r="O1238" s="170"/>
      <c r="Q1238" s="184"/>
      <c r="R1238" s="183"/>
      <c r="S1238" s="184"/>
      <c r="T1238" s="23"/>
      <c r="U1238" s="2"/>
      <c r="W1238" s="34"/>
      <c r="X1238" s="23"/>
      <c r="Z1238" s="23"/>
      <c r="AA1238" s="2"/>
    </row>
    <row r="1239" spans="10:27">
      <c r="J1239" s="412">
        <v>42607</v>
      </c>
      <c r="K1239" s="413">
        <v>61.529998999999997</v>
      </c>
      <c r="L1239" s="30">
        <f t="shared" si="50"/>
        <v>-8.0606159609965498E-3</v>
      </c>
      <c r="M1239" s="414">
        <v>2172.469971</v>
      </c>
      <c r="N1239" s="31">
        <f t="shared" si="51"/>
        <v>1.5813133636672385E-3</v>
      </c>
      <c r="O1239" s="170"/>
      <c r="Q1239" s="184"/>
      <c r="R1239" s="183"/>
      <c r="S1239" s="184"/>
      <c r="T1239" s="23"/>
      <c r="U1239" s="2"/>
      <c r="W1239" s="34"/>
      <c r="X1239" s="23"/>
      <c r="Z1239" s="23"/>
      <c r="AA1239" s="2"/>
    </row>
    <row r="1240" spans="10:27">
      <c r="J1240" s="412">
        <v>42608</v>
      </c>
      <c r="K1240" s="413">
        <v>62.029998999999997</v>
      </c>
      <c r="L1240" s="30">
        <f t="shared" si="50"/>
        <v>6.4521694966229585E-4</v>
      </c>
      <c r="M1240" s="414">
        <v>2169.040039</v>
      </c>
      <c r="N1240" s="31">
        <f t="shared" si="51"/>
        <v>-5.2008570104754006E-3</v>
      </c>
      <c r="O1240" s="170"/>
      <c r="Q1240" s="184"/>
      <c r="R1240" s="183"/>
      <c r="S1240" s="184"/>
      <c r="T1240" s="23"/>
      <c r="U1240" s="2"/>
      <c r="W1240" s="34"/>
      <c r="X1240" s="23"/>
      <c r="Z1240" s="23"/>
      <c r="AA1240" s="2"/>
    </row>
    <row r="1241" spans="10:27">
      <c r="J1241" s="412">
        <v>42611</v>
      </c>
      <c r="K1241" s="413">
        <v>61.990001999999997</v>
      </c>
      <c r="L1241" s="30">
        <f t="shared" si="50"/>
        <v>5.8413271808967987E-3</v>
      </c>
      <c r="M1241" s="414">
        <v>2180.3798830000001</v>
      </c>
      <c r="N1241" s="31">
        <f t="shared" si="51"/>
        <v>1.9575049955756312E-3</v>
      </c>
      <c r="O1241" s="170"/>
      <c r="Q1241" s="184"/>
      <c r="R1241" s="183"/>
      <c r="S1241" s="184"/>
      <c r="T1241" s="23"/>
      <c r="U1241" s="2"/>
      <c r="W1241" s="34"/>
      <c r="X1241" s="23"/>
      <c r="Z1241" s="23"/>
      <c r="AA1241" s="2"/>
    </row>
    <row r="1242" spans="10:27">
      <c r="J1242" s="412">
        <v>42612</v>
      </c>
      <c r="K1242" s="413">
        <v>61.630001</v>
      </c>
      <c r="L1242" s="30">
        <f t="shared" si="50"/>
        <v>4.7277632865992273E-3</v>
      </c>
      <c r="M1242" s="414">
        <v>2176.1201169999999</v>
      </c>
      <c r="N1242" s="31">
        <f t="shared" si="51"/>
        <v>2.3815224287498469E-3</v>
      </c>
      <c r="O1242" s="170"/>
      <c r="Q1242" s="184"/>
      <c r="R1242" s="183"/>
      <c r="S1242" s="184"/>
      <c r="T1242" s="23"/>
      <c r="U1242" s="2"/>
      <c r="W1242" s="34"/>
      <c r="X1242" s="23"/>
      <c r="Z1242" s="23"/>
      <c r="AA1242" s="2"/>
    </row>
    <row r="1243" spans="10:27">
      <c r="J1243" s="412">
        <v>42613</v>
      </c>
      <c r="K1243" s="413">
        <v>61.34</v>
      </c>
      <c r="L1243" s="30">
        <f t="shared" si="50"/>
        <v>-2.8661946835726104E-2</v>
      </c>
      <c r="M1243" s="414">
        <v>2170.9499510000001</v>
      </c>
      <c r="N1243" s="31">
        <f t="shared" si="51"/>
        <v>4.138636096834619E-5</v>
      </c>
      <c r="O1243" s="170"/>
      <c r="Q1243" s="184"/>
      <c r="R1243" s="183"/>
      <c r="S1243" s="184"/>
      <c r="T1243" s="23"/>
      <c r="U1243" s="2"/>
      <c r="W1243" s="34"/>
      <c r="X1243" s="23"/>
      <c r="Z1243" s="23"/>
      <c r="AA1243" s="2"/>
    </row>
    <row r="1244" spans="10:27">
      <c r="J1244" s="412">
        <v>42614</v>
      </c>
      <c r="K1244" s="413">
        <v>63.150002000000001</v>
      </c>
      <c r="L1244" s="30">
        <f t="shared" si="50"/>
        <v>9.9152888200110811E-3</v>
      </c>
      <c r="M1244" s="414">
        <v>2170.860107</v>
      </c>
      <c r="N1244" s="31">
        <f t="shared" si="51"/>
        <v>-4.1834664004575389E-3</v>
      </c>
      <c r="O1244" s="170"/>
      <c r="Q1244" s="184"/>
      <c r="R1244" s="183"/>
      <c r="S1244" s="184"/>
      <c r="T1244" s="23"/>
      <c r="U1244" s="2"/>
      <c r="W1244" s="34"/>
      <c r="X1244" s="23"/>
      <c r="Z1244" s="23"/>
      <c r="AA1244" s="2"/>
    </row>
    <row r="1245" spans="10:27">
      <c r="J1245" s="412">
        <v>42615</v>
      </c>
      <c r="K1245" s="413">
        <v>62.529998999999997</v>
      </c>
      <c r="L1245" s="30">
        <f t="shared" si="50"/>
        <v>-9.3472751797731082E-3</v>
      </c>
      <c r="M1245" s="414">
        <v>2179.9799800000001</v>
      </c>
      <c r="N1245" s="31">
        <f t="shared" si="51"/>
        <v>-2.9728147796715706E-3</v>
      </c>
      <c r="O1245" s="170"/>
      <c r="Q1245" s="184"/>
      <c r="R1245" s="183"/>
      <c r="S1245" s="184"/>
      <c r="T1245" s="23"/>
      <c r="U1245" s="2"/>
      <c r="W1245" s="34"/>
      <c r="X1245" s="23"/>
      <c r="Z1245" s="23"/>
      <c r="AA1245" s="2"/>
    </row>
    <row r="1246" spans="10:27">
      <c r="J1246" s="412">
        <v>42619</v>
      </c>
      <c r="K1246" s="413">
        <v>63.119999</v>
      </c>
      <c r="L1246" s="30">
        <f t="shared" si="50"/>
        <v>1.4954172937034453E-2</v>
      </c>
      <c r="M1246" s="414">
        <v>2186.4799800000001</v>
      </c>
      <c r="N1246" s="31">
        <f t="shared" si="51"/>
        <v>1.4640649032264937E-4</v>
      </c>
      <c r="O1246" s="170"/>
      <c r="Q1246" s="184"/>
      <c r="R1246" s="183"/>
      <c r="S1246" s="184"/>
      <c r="T1246" s="23"/>
      <c r="U1246" s="2"/>
      <c r="W1246" s="34"/>
      <c r="X1246" s="23"/>
      <c r="Z1246" s="23"/>
      <c r="AA1246" s="2"/>
    </row>
    <row r="1247" spans="10:27">
      <c r="J1247" s="412">
        <v>42620</v>
      </c>
      <c r="K1247" s="413">
        <v>62.189999</v>
      </c>
      <c r="L1247" s="30">
        <f t="shared" si="50"/>
        <v>-7.1839081606626916E-3</v>
      </c>
      <c r="M1247" s="414">
        <v>2186.1599120000001</v>
      </c>
      <c r="N1247" s="31">
        <f t="shared" si="51"/>
        <v>2.2279663002933037E-3</v>
      </c>
      <c r="O1247" s="170"/>
      <c r="Q1247" s="184"/>
      <c r="R1247" s="183"/>
      <c r="S1247" s="184"/>
      <c r="T1247" s="23"/>
      <c r="U1247" s="2"/>
      <c r="W1247" s="34"/>
      <c r="X1247" s="23"/>
      <c r="Z1247" s="23"/>
      <c r="AA1247" s="2"/>
    </row>
    <row r="1248" spans="10:27">
      <c r="J1248" s="412">
        <v>42621</v>
      </c>
      <c r="K1248" s="413">
        <v>62.639999000000003</v>
      </c>
      <c r="L1248" s="30">
        <f t="shared" si="50"/>
        <v>5.2419338037634405E-2</v>
      </c>
      <c r="M1248" s="414">
        <v>2181.3000489999999</v>
      </c>
      <c r="N1248" s="31">
        <f t="shared" si="51"/>
        <v>2.5138517309735132E-2</v>
      </c>
      <c r="O1248" s="170"/>
      <c r="Q1248" s="184"/>
      <c r="R1248" s="183"/>
      <c r="S1248" s="184"/>
      <c r="T1248" s="23"/>
      <c r="U1248" s="2"/>
      <c r="W1248" s="34"/>
      <c r="X1248" s="23"/>
      <c r="Z1248" s="23"/>
      <c r="AA1248" s="2"/>
    </row>
    <row r="1249" spans="1:31">
      <c r="J1249" s="412">
        <v>42622</v>
      </c>
      <c r="K1249" s="413">
        <v>59.52</v>
      </c>
      <c r="L1249" s="30">
        <f t="shared" si="50"/>
        <v>-2.0246913580246863E-2</v>
      </c>
      <c r="M1249" s="414">
        <v>2127.8100589999999</v>
      </c>
      <c r="N1249" s="31">
        <f t="shared" si="51"/>
        <v>-1.4464752591834665E-2</v>
      </c>
      <c r="O1249" s="170"/>
      <c r="Q1249" s="184"/>
      <c r="R1249" s="183"/>
      <c r="S1249" s="184"/>
      <c r="T1249" s="23"/>
      <c r="U1249" s="2"/>
      <c r="W1249" s="34"/>
      <c r="X1249" s="23"/>
      <c r="Z1249" s="23"/>
      <c r="AA1249" s="2"/>
    </row>
    <row r="1250" spans="1:31">
      <c r="J1250" s="412">
        <v>42625</v>
      </c>
      <c r="K1250" s="413">
        <v>60.75</v>
      </c>
      <c r="L1250" s="30">
        <f t="shared" si="50"/>
        <v>1.469853039416286E-2</v>
      </c>
      <c r="M1250" s="414">
        <v>2159.040039</v>
      </c>
      <c r="N1250" s="31">
        <f t="shared" si="51"/>
        <v>1.5053934001053759E-2</v>
      </c>
      <c r="O1250" s="170"/>
      <c r="Q1250" s="184"/>
      <c r="R1250" s="183"/>
      <c r="S1250" s="184"/>
      <c r="T1250" s="23"/>
      <c r="U1250" s="2"/>
      <c r="W1250" s="34"/>
      <c r="X1250" s="23"/>
      <c r="Z1250" s="23"/>
      <c r="AA1250" s="2"/>
    </row>
    <row r="1251" spans="1:31">
      <c r="J1251" s="412">
        <v>42626</v>
      </c>
      <c r="K1251" s="413">
        <v>59.869999</v>
      </c>
      <c r="L1251" s="30">
        <f t="shared" si="50"/>
        <v>-8.774883815401209E-3</v>
      </c>
      <c r="M1251" s="414">
        <v>2127.0200199999999</v>
      </c>
      <c r="N1251" s="31">
        <f t="shared" si="51"/>
        <v>5.8802221700351195E-4</v>
      </c>
      <c r="O1251" s="170"/>
      <c r="Q1251" s="184"/>
      <c r="R1251" s="183"/>
      <c r="S1251" s="184"/>
      <c r="T1251" s="23"/>
      <c r="U1251" s="2"/>
      <c r="W1251" s="34"/>
      <c r="X1251" s="23"/>
      <c r="Z1251" s="23"/>
      <c r="AA1251" s="2"/>
    </row>
    <row r="1252" spans="1:31">
      <c r="J1252" s="412">
        <v>42627</v>
      </c>
      <c r="K1252" s="413">
        <v>60.400002000000001</v>
      </c>
      <c r="L1252" s="30">
        <f t="shared" si="50"/>
        <v>-3.6528904714131512E-2</v>
      </c>
      <c r="M1252" s="414">
        <v>2125.7700199999999</v>
      </c>
      <c r="N1252" s="31">
        <f t="shared" si="51"/>
        <v>-1.0008098646609655E-2</v>
      </c>
      <c r="O1252" s="170"/>
      <c r="Q1252" s="184"/>
      <c r="R1252" s="183"/>
      <c r="S1252" s="184"/>
      <c r="T1252" s="23"/>
      <c r="U1252" s="2"/>
      <c r="W1252" s="34"/>
      <c r="X1252" s="23"/>
      <c r="Z1252" s="23"/>
      <c r="AA1252" s="2"/>
    </row>
    <row r="1253" spans="1:31">
      <c r="J1253" s="412">
        <v>42628</v>
      </c>
      <c r="K1253" s="413">
        <v>62.689999</v>
      </c>
      <c r="L1253" s="30">
        <f t="shared" si="50"/>
        <v>-2.3870305537874465E-3</v>
      </c>
      <c r="M1253" s="414">
        <v>2147.26001</v>
      </c>
      <c r="N1253" s="31">
        <f t="shared" si="51"/>
        <v>3.7865789998031193E-3</v>
      </c>
      <c r="O1253" s="170"/>
      <c r="Q1253" s="184"/>
      <c r="R1253" s="183"/>
      <c r="S1253" s="184"/>
      <c r="T1253" s="23"/>
      <c r="U1253" s="2"/>
      <c r="W1253" s="34"/>
      <c r="X1253" s="23"/>
      <c r="Z1253" s="23"/>
      <c r="AA1253" s="2"/>
    </row>
    <row r="1254" spans="1:31">
      <c r="J1254" s="412">
        <v>42629</v>
      </c>
      <c r="K1254" s="413">
        <v>62.84</v>
      </c>
      <c r="L1254" s="30">
        <f t="shared" si="50"/>
        <v>-1.3035935700830338E-2</v>
      </c>
      <c r="M1254" s="414">
        <v>2139.1599120000001</v>
      </c>
      <c r="N1254" s="31">
        <f t="shared" si="51"/>
        <v>1.860344338958883E-5</v>
      </c>
      <c r="O1254" s="170"/>
      <c r="Q1254" s="184"/>
      <c r="R1254" s="183"/>
      <c r="S1254" s="184"/>
      <c r="T1254" s="23"/>
      <c r="U1254" s="2"/>
      <c r="W1254" s="34"/>
      <c r="X1254" s="23"/>
      <c r="Z1254" s="23"/>
      <c r="AA1254" s="2"/>
    </row>
    <row r="1255" spans="1:31">
      <c r="J1255" s="412">
        <v>42632</v>
      </c>
      <c r="K1255" s="413">
        <v>63.669998</v>
      </c>
      <c r="L1255" s="30">
        <f t="shared" si="50"/>
        <v>9.1931843398319266E-3</v>
      </c>
      <c r="M1255" s="414">
        <v>2139.1201169999999</v>
      </c>
      <c r="N1255" s="31">
        <f t="shared" si="51"/>
        <v>-2.9904895736416212E-4</v>
      </c>
      <c r="O1255" s="170"/>
      <c r="Q1255" s="184"/>
      <c r="R1255" s="183"/>
      <c r="S1255" s="184"/>
      <c r="T1255" s="23"/>
      <c r="U1255" s="2"/>
      <c r="W1255" s="34"/>
      <c r="X1255" s="23"/>
      <c r="Z1255" s="23"/>
      <c r="AA1255" s="2"/>
    </row>
    <row r="1256" spans="1:31">
      <c r="J1256" s="412">
        <v>42633</v>
      </c>
      <c r="K1256" s="413">
        <v>63.09</v>
      </c>
      <c r="L1256" s="30">
        <f t="shared" si="50"/>
        <v>-2.7289561713080973E-2</v>
      </c>
      <c r="M1256" s="414">
        <v>2139.76001</v>
      </c>
      <c r="N1256" s="31">
        <f t="shared" si="51"/>
        <v>-1.0799264828805609E-2</v>
      </c>
      <c r="O1256" s="170"/>
      <c r="Q1256" s="184"/>
      <c r="R1256" s="183"/>
      <c r="S1256" s="184"/>
      <c r="T1256" s="23"/>
      <c r="U1256" s="2"/>
      <c r="W1256" s="34"/>
      <c r="X1256" s="23"/>
      <c r="Z1256" s="23"/>
      <c r="AA1256" s="2"/>
    </row>
    <row r="1257" spans="1:31">
      <c r="J1257" s="412">
        <v>42634</v>
      </c>
      <c r="K1257" s="413">
        <v>64.860000999999997</v>
      </c>
      <c r="L1257" s="30">
        <f t="shared" si="50"/>
        <v>-2.4607198920665388E-3</v>
      </c>
      <c r="M1257" s="414">
        <v>2163.1201169999999</v>
      </c>
      <c r="N1257" s="31">
        <f t="shared" si="51"/>
        <v>-6.4578103046744745E-3</v>
      </c>
      <c r="O1257" s="170"/>
      <c r="Q1257" s="184"/>
      <c r="R1257" s="183"/>
      <c r="S1257" s="184"/>
      <c r="T1257" s="23"/>
      <c r="U1257" s="2"/>
      <c r="W1257" s="34"/>
      <c r="X1257" s="23"/>
      <c r="Z1257" s="23"/>
      <c r="AA1257" s="2"/>
    </row>
    <row r="1258" spans="1:31">
      <c r="J1258" s="412">
        <v>42635</v>
      </c>
      <c r="K1258" s="413">
        <v>65.019997000000004</v>
      </c>
      <c r="L1258" s="30">
        <f t="shared" si="50"/>
        <v>1.0777521667939014E-3</v>
      </c>
      <c r="M1258" s="414">
        <v>2177.179932</v>
      </c>
      <c r="N1258" s="31">
        <f t="shared" si="51"/>
        <v>5.7698752894976002E-3</v>
      </c>
      <c r="O1258" s="170"/>
      <c r="Q1258" s="184"/>
      <c r="R1258" s="183"/>
      <c r="S1258" s="184"/>
      <c r="T1258" s="23"/>
      <c r="U1258" s="2"/>
      <c r="W1258" s="34"/>
      <c r="X1258" s="23"/>
      <c r="Z1258" s="23"/>
      <c r="AA1258" s="2"/>
    </row>
    <row r="1259" spans="1:31" ht="15.75" customHeight="1">
      <c r="J1259" s="412">
        <v>42636</v>
      </c>
      <c r="K1259" s="413">
        <v>64.949996999999996</v>
      </c>
      <c r="L1259" s="30">
        <f t="shared" si="50"/>
        <v>9.4808989419271471E-3</v>
      </c>
      <c r="M1259" s="414">
        <v>2164.6899410000001</v>
      </c>
      <c r="N1259" s="31">
        <f t="shared" si="51"/>
        <v>8.6621509487486183E-3</v>
      </c>
      <c r="O1259" s="170"/>
      <c r="Q1259" s="184"/>
      <c r="R1259" s="183"/>
      <c r="S1259" s="184"/>
      <c r="T1259" s="23"/>
      <c r="U1259" s="2"/>
      <c r="W1259" s="34"/>
      <c r="X1259" s="23"/>
      <c r="Z1259" s="23"/>
      <c r="AA1259" s="2"/>
    </row>
    <row r="1260" spans="1:31" s="175" customFormat="1" ht="15.75" customHeight="1">
      <c r="A1260" s="367"/>
      <c r="J1260" s="412">
        <v>42639</v>
      </c>
      <c r="K1260" s="413">
        <v>64.339995999999999</v>
      </c>
      <c r="L1260" s="30">
        <f t="shared" si="50"/>
        <v>-3.3062894002661714E-2</v>
      </c>
      <c r="M1260" s="414">
        <v>2146.1000979999999</v>
      </c>
      <c r="N1260" s="31">
        <f t="shared" si="51"/>
        <v>-6.4029086291675684E-3</v>
      </c>
      <c r="O1260" s="172"/>
      <c r="P1260" s="242"/>
      <c r="Q1260" s="239"/>
      <c r="R1260" s="241"/>
      <c r="S1260" s="239"/>
      <c r="T1260" s="241"/>
      <c r="U1260" s="172"/>
      <c r="V1260" s="242"/>
      <c r="W1260" s="239"/>
      <c r="X1260" s="241"/>
      <c r="Z1260" s="241"/>
      <c r="AA1260" s="172"/>
      <c r="AB1260" s="455"/>
      <c r="AC1260" s="170"/>
      <c r="AD1260" s="170"/>
      <c r="AE1260" s="170"/>
    </row>
    <row r="1261" spans="1:31">
      <c r="J1261" s="412">
        <v>42640</v>
      </c>
      <c r="K1261" s="413">
        <v>66.540001000000004</v>
      </c>
      <c r="L1261" s="30">
        <f t="shared" si="50"/>
        <v>-3.5938604910730819E-3</v>
      </c>
      <c r="M1261" s="414">
        <v>2159.929932</v>
      </c>
      <c r="N1261" s="31">
        <f t="shared" si="51"/>
        <v>-5.2686480809664418E-3</v>
      </c>
      <c r="O1261" s="170"/>
      <c r="Q1261" s="184"/>
      <c r="R1261" s="183"/>
      <c r="S1261" s="184"/>
      <c r="T1261" s="23"/>
      <c r="U1261" s="2"/>
      <c r="W1261" s="34"/>
      <c r="X1261" s="23"/>
      <c r="Z1261" s="23"/>
      <c r="AA1261" s="2"/>
    </row>
    <row r="1262" spans="1:31">
      <c r="J1262" s="412">
        <v>42641</v>
      </c>
      <c r="K1262" s="413">
        <v>66.779999000000004</v>
      </c>
      <c r="L1262" s="30">
        <f t="shared" si="50"/>
        <v>-9.198857293802409E-3</v>
      </c>
      <c r="M1262" s="414">
        <v>2171.3701169999999</v>
      </c>
      <c r="N1262" s="31">
        <f t="shared" si="51"/>
        <v>9.4091175804654429E-3</v>
      </c>
      <c r="O1262" s="170"/>
      <c r="Q1262" s="184"/>
      <c r="R1262" s="183"/>
      <c r="S1262" s="184"/>
      <c r="T1262" s="23"/>
      <c r="U1262" s="2"/>
      <c r="W1262" s="34"/>
      <c r="X1262" s="23"/>
      <c r="Z1262" s="23"/>
      <c r="AA1262" s="2"/>
    </row>
    <row r="1263" spans="1:31">
      <c r="J1263" s="412">
        <v>42642</v>
      </c>
      <c r="K1263" s="413">
        <v>67.400002000000001</v>
      </c>
      <c r="L1263" s="30">
        <f t="shared" si="50"/>
        <v>-1.6345520271987213E-2</v>
      </c>
      <c r="M1263" s="414">
        <v>2151.1298830000001</v>
      </c>
      <c r="N1263" s="31">
        <f t="shared" si="51"/>
        <v>-7.9049827013703156E-3</v>
      </c>
      <c r="O1263" s="170"/>
      <c r="Q1263" s="184"/>
      <c r="R1263" s="183"/>
      <c r="S1263" s="184"/>
      <c r="T1263" s="23"/>
      <c r="U1263" s="2"/>
      <c r="W1263" s="34"/>
      <c r="X1263" s="23"/>
      <c r="Z1263" s="23"/>
      <c r="AA1263" s="2"/>
    </row>
    <row r="1264" spans="1:31">
      <c r="J1264" s="412">
        <v>42643</v>
      </c>
      <c r="K1264" s="413">
        <v>68.519997000000004</v>
      </c>
      <c r="L1264" s="30">
        <f t="shared" si="50"/>
        <v>1.0226443107076745E-3</v>
      </c>
      <c r="M1264" s="414">
        <v>2168.2700199999999</v>
      </c>
      <c r="N1264" s="31">
        <f t="shared" si="51"/>
        <v>3.2713627430578612E-3</v>
      </c>
      <c r="O1264" s="170"/>
      <c r="Q1264" s="184"/>
      <c r="R1264" s="183"/>
      <c r="S1264" s="184"/>
      <c r="T1264" s="23"/>
      <c r="U1264" s="2"/>
      <c r="W1264" s="34"/>
      <c r="X1264" s="23"/>
      <c r="Z1264" s="23"/>
      <c r="AA1264" s="2"/>
    </row>
    <row r="1265" spans="1:31">
      <c r="J1265" s="412">
        <v>42646</v>
      </c>
      <c r="K1265" s="413">
        <v>68.449996999999996</v>
      </c>
      <c r="L1265" s="183"/>
      <c r="M1265" s="414">
        <v>2161.1999510000001</v>
      </c>
      <c r="N1265" s="183"/>
      <c r="O1265" s="170"/>
      <c r="Q1265" s="184"/>
      <c r="R1265" s="183"/>
      <c r="S1265" s="184"/>
      <c r="T1265" s="23"/>
      <c r="U1265" s="2"/>
      <c r="W1265" s="34"/>
      <c r="X1265" s="23"/>
      <c r="Z1265" s="23"/>
      <c r="AA1265" s="2"/>
    </row>
    <row r="1266" spans="1:31" ht="45.75" customHeight="1">
      <c r="K1266" s="237"/>
      <c r="L1266" s="183"/>
      <c r="M1266" s="184"/>
      <c r="N1266" s="183"/>
      <c r="O1266" s="170"/>
      <c r="Q1266" s="184"/>
      <c r="R1266" s="183"/>
      <c r="S1266" s="184"/>
      <c r="T1266" s="23"/>
      <c r="U1266" s="2"/>
      <c r="W1266" s="34"/>
      <c r="X1266" s="23"/>
      <c r="Z1266" s="23"/>
      <c r="AA1266" s="2"/>
    </row>
    <row r="1267" spans="1:31" s="464" customFormat="1" ht="45.75" customHeight="1">
      <c r="A1267" s="367"/>
      <c r="J1267" s="486"/>
      <c r="K1267" s="487"/>
      <c r="L1267" s="470"/>
      <c r="M1267" s="470"/>
      <c r="N1267" s="470"/>
      <c r="O1267" s="470"/>
      <c r="P1267" s="486"/>
      <c r="Q1267" s="470"/>
      <c r="R1267" s="470"/>
      <c r="S1267" s="470"/>
      <c r="T1267" s="470"/>
      <c r="U1267" s="470"/>
      <c r="V1267" s="486"/>
      <c r="W1267" s="470"/>
      <c r="X1267" s="470"/>
      <c r="Z1267" s="470"/>
      <c r="AA1267" s="470"/>
      <c r="AC1267" s="470"/>
      <c r="AD1267" s="470"/>
      <c r="AE1267" s="470"/>
    </row>
    <row r="1268" spans="1:31">
      <c r="K1268" s="198"/>
      <c r="L1268" s="170"/>
      <c r="M1268" s="170"/>
      <c r="N1268" s="170"/>
      <c r="O1268" s="170"/>
      <c r="Q1268" s="170"/>
      <c r="R1268" s="170"/>
      <c r="S1268" s="170"/>
    </row>
  </sheetData>
  <mergeCells count="6">
    <mergeCell ref="Y6:Z6"/>
    <mergeCell ref="K6:L6"/>
    <mergeCell ref="M6:N6"/>
    <mergeCell ref="Q6:R6"/>
    <mergeCell ref="S6:T6"/>
    <mergeCell ref="W6:X6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autoPageBreaks="0"/>
  </sheetPr>
  <dimension ref="A1:AF21"/>
  <sheetViews>
    <sheetView showGridLines="0" zoomScale="70" zoomScaleNormal="70" zoomScalePageLayoutView="70" workbookViewId="0">
      <selection activeCell="A20" sqref="A20"/>
    </sheetView>
  </sheetViews>
  <sheetFormatPr defaultColWidth="8.6640625" defaultRowHeight="14.4"/>
  <cols>
    <col min="1" max="1" width="3.44140625" style="367" customWidth="1"/>
    <col min="2" max="2" width="46.6640625" bestFit="1" customWidth="1"/>
    <col min="3" max="3" width="15" bestFit="1" customWidth="1"/>
    <col min="4" max="4" width="15.109375" bestFit="1" customWidth="1"/>
    <col min="5" max="7" width="15" bestFit="1" customWidth="1"/>
    <col min="9" max="9" width="8.6640625" style="455"/>
  </cols>
  <sheetData>
    <row r="1" spans="1:32" s="367" customFormat="1" ht="18" customHeight="1">
      <c r="A1" s="373"/>
      <c r="B1" s="373"/>
      <c r="C1" s="373"/>
      <c r="D1" s="373"/>
      <c r="E1" s="373"/>
      <c r="F1" s="373"/>
      <c r="G1" s="373"/>
      <c r="H1" s="373"/>
    </row>
    <row r="2" spans="1:32" ht="72.75" customHeight="1">
      <c r="A2" s="373"/>
      <c r="B2" s="199"/>
      <c r="C2" s="199"/>
      <c r="D2" s="199"/>
      <c r="E2" s="199"/>
      <c r="F2" s="199"/>
      <c r="G2" s="199"/>
      <c r="H2" s="206"/>
      <c r="J2" s="172"/>
      <c r="K2" s="172"/>
      <c r="L2" s="172"/>
      <c r="M2" s="172"/>
      <c r="N2" s="172"/>
      <c r="O2" s="172"/>
      <c r="P2" s="172"/>
      <c r="Q2" s="172"/>
      <c r="R2" s="172"/>
      <c r="S2" s="172"/>
      <c r="T2" s="172"/>
      <c r="U2" s="172"/>
      <c r="V2" s="172"/>
      <c r="W2" s="172"/>
      <c r="X2" s="172"/>
      <c r="Y2" s="172"/>
      <c r="Z2" s="172"/>
      <c r="AA2" s="172"/>
      <c r="AB2" s="172"/>
      <c r="AC2" s="172"/>
      <c r="AD2" s="172"/>
      <c r="AE2" s="172"/>
      <c r="AF2" s="172"/>
    </row>
    <row r="3" spans="1:32" ht="3.75" customHeight="1">
      <c r="A3" s="373"/>
      <c r="B3" s="199"/>
      <c r="C3" s="199"/>
      <c r="D3" s="199"/>
      <c r="E3" s="199"/>
      <c r="F3" s="199"/>
      <c r="G3" s="199"/>
      <c r="H3" s="206"/>
      <c r="J3" s="172"/>
      <c r="K3" s="172"/>
      <c r="L3" s="172"/>
      <c r="M3" s="172"/>
      <c r="N3" s="172"/>
      <c r="O3" s="172"/>
      <c r="P3" s="172"/>
      <c r="Q3" s="172"/>
      <c r="R3" s="172"/>
      <c r="S3" s="172"/>
      <c r="T3" s="172"/>
      <c r="U3" s="172"/>
      <c r="V3" s="172"/>
      <c r="W3" s="172"/>
      <c r="X3" s="172"/>
      <c r="Y3" s="172"/>
      <c r="Z3" s="172"/>
      <c r="AA3" s="172"/>
      <c r="AB3" s="172"/>
      <c r="AC3" s="172"/>
      <c r="AD3" s="172"/>
      <c r="AE3" s="172"/>
      <c r="AF3" s="172"/>
    </row>
    <row r="4" spans="1:32">
      <c r="A4" s="373"/>
      <c r="B4" s="199" t="s">
        <v>124</v>
      </c>
      <c r="C4" s="199"/>
      <c r="D4" s="199"/>
      <c r="E4" s="199"/>
      <c r="F4" s="199"/>
      <c r="G4" s="199"/>
      <c r="H4" s="206"/>
      <c r="J4" s="172"/>
      <c r="K4" s="172"/>
      <c r="L4" s="172"/>
      <c r="M4" s="172"/>
      <c r="N4" s="172"/>
      <c r="O4" s="172"/>
      <c r="P4" s="172"/>
      <c r="Q4" s="172"/>
      <c r="R4" s="172"/>
      <c r="S4" s="172"/>
      <c r="T4" s="172"/>
      <c r="U4" s="172"/>
      <c r="V4" s="172"/>
      <c r="W4" s="172"/>
      <c r="X4" s="172"/>
      <c r="Y4" s="172"/>
      <c r="Z4" s="172"/>
      <c r="AA4" s="172"/>
      <c r="AB4" s="172"/>
      <c r="AC4" s="172"/>
      <c r="AD4" s="172"/>
      <c r="AE4" s="172"/>
      <c r="AF4" s="172"/>
    </row>
    <row r="5" spans="1:32">
      <c r="A5" s="373"/>
      <c r="B5" s="199"/>
      <c r="C5" s="510" t="s">
        <v>125</v>
      </c>
      <c r="D5" s="510"/>
      <c r="E5" s="510"/>
      <c r="F5" s="510"/>
      <c r="G5" s="510"/>
      <c r="H5" s="206"/>
      <c r="J5" s="172"/>
      <c r="K5" s="172"/>
      <c r="L5" s="172"/>
      <c r="M5" s="172"/>
      <c r="N5" s="172"/>
      <c r="O5" s="172"/>
      <c r="P5" s="172"/>
      <c r="Q5" s="172"/>
      <c r="R5" s="172"/>
      <c r="S5" s="172"/>
      <c r="T5" s="172"/>
      <c r="U5" s="172"/>
      <c r="V5" s="172"/>
      <c r="W5" s="172"/>
      <c r="X5" s="172"/>
      <c r="Y5" s="172"/>
      <c r="Z5" s="172"/>
      <c r="AA5" s="172"/>
      <c r="AB5" s="172"/>
      <c r="AC5" s="172"/>
      <c r="AD5" s="172"/>
      <c r="AE5" s="172"/>
      <c r="AF5" s="172"/>
    </row>
    <row r="6" spans="1:32" ht="38.4" customHeight="1">
      <c r="A6" s="373"/>
      <c r="B6" s="199"/>
      <c r="C6" s="121" t="s">
        <v>126</v>
      </c>
      <c r="D6" s="370" t="s">
        <v>127</v>
      </c>
      <c r="E6" s="370" t="s">
        <v>128</v>
      </c>
      <c r="F6" s="121" t="s">
        <v>129</v>
      </c>
      <c r="G6" s="370" t="s">
        <v>130</v>
      </c>
      <c r="H6" s="206"/>
      <c r="J6" s="172"/>
      <c r="K6" s="506"/>
      <c r="L6" s="507"/>
      <c r="M6" s="506"/>
      <c r="N6" s="504"/>
      <c r="O6" s="505"/>
      <c r="P6" s="507"/>
      <c r="Q6" s="506"/>
      <c r="R6" s="504"/>
      <c r="S6" s="505"/>
      <c r="T6" s="507"/>
      <c r="U6" s="506"/>
      <c r="V6" s="504"/>
      <c r="W6" s="505"/>
      <c r="X6" s="507"/>
      <c r="Y6" s="506"/>
      <c r="Z6" s="504"/>
      <c r="AA6" s="505"/>
      <c r="AB6" s="507"/>
      <c r="AC6" s="506"/>
      <c r="AD6" s="504"/>
      <c r="AE6" s="505"/>
      <c r="AF6" s="172"/>
    </row>
    <row r="7" spans="1:32">
      <c r="A7" s="373"/>
      <c r="B7" s="403" t="s">
        <v>252</v>
      </c>
      <c r="C7" s="202">
        <v>1545</v>
      </c>
      <c r="D7" s="151">
        <v>1515</v>
      </c>
      <c r="E7" s="202">
        <v>30</v>
      </c>
      <c r="F7" s="202">
        <v>0</v>
      </c>
      <c r="G7" s="202">
        <v>0</v>
      </c>
      <c r="H7" s="206"/>
      <c r="J7" s="172"/>
      <c r="K7" s="506"/>
      <c r="L7" s="507"/>
      <c r="M7" s="506"/>
      <c r="N7" s="504"/>
      <c r="O7" s="505"/>
      <c r="P7" s="507"/>
      <c r="Q7" s="506"/>
      <c r="R7" s="504"/>
      <c r="S7" s="505"/>
      <c r="T7" s="507"/>
      <c r="U7" s="506"/>
      <c r="V7" s="504"/>
      <c r="W7" s="505"/>
      <c r="X7" s="507"/>
      <c r="Y7" s="506"/>
      <c r="Z7" s="504"/>
      <c r="AA7" s="505"/>
      <c r="AB7" s="507"/>
      <c r="AC7" s="506"/>
      <c r="AD7" s="504"/>
      <c r="AE7" s="505"/>
      <c r="AF7" s="172"/>
    </row>
    <row r="8" spans="1:32">
      <c r="A8" s="373"/>
      <c r="B8" s="403" t="s">
        <v>245</v>
      </c>
      <c r="C8" s="202">
        <v>391</v>
      </c>
      <c r="D8" s="202">
        <v>391</v>
      </c>
      <c r="E8" s="202">
        <v>0</v>
      </c>
      <c r="F8" s="203">
        <v>0</v>
      </c>
      <c r="G8" s="203">
        <v>0</v>
      </c>
      <c r="H8" s="206"/>
      <c r="J8" s="172"/>
      <c r="K8" s="506"/>
      <c r="L8" s="507"/>
      <c r="M8" s="504"/>
      <c r="N8" s="504"/>
      <c r="O8" s="505"/>
      <c r="P8" s="507"/>
      <c r="Q8" s="504"/>
      <c r="R8" s="504"/>
      <c r="S8" s="505"/>
      <c r="T8" s="507"/>
      <c r="U8" s="504"/>
      <c r="V8" s="504"/>
      <c r="W8" s="505"/>
      <c r="X8" s="507"/>
      <c r="Y8" s="504"/>
      <c r="Z8" s="504"/>
      <c r="AA8" s="505"/>
      <c r="AB8" s="507"/>
      <c r="AC8" s="504"/>
      <c r="AD8" s="504"/>
      <c r="AE8" s="505"/>
      <c r="AF8" s="172"/>
    </row>
    <row r="9" spans="1:32">
      <c r="A9" s="373"/>
      <c r="B9" s="403" t="s">
        <v>246</v>
      </c>
      <c r="C9" s="204">
        <v>265</v>
      </c>
      <c r="D9" s="204">
        <v>75</v>
      </c>
      <c r="E9" s="204">
        <v>123</v>
      </c>
      <c r="F9" s="204">
        <v>46</v>
      </c>
      <c r="G9" s="205">
        <v>21</v>
      </c>
      <c r="H9" s="206"/>
      <c r="J9" s="172"/>
      <c r="K9" s="506"/>
      <c r="L9" s="507"/>
      <c r="M9" s="504"/>
      <c r="N9" s="504"/>
      <c r="O9" s="505"/>
      <c r="P9" s="507"/>
      <c r="Q9" s="504"/>
      <c r="R9" s="504"/>
      <c r="S9" s="505"/>
      <c r="T9" s="507"/>
      <c r="U9" s="504"/>
      <c r="V9" s="504"/>
      <c r="W9" s="505"/>
      <c r="X9" s="507"/>
      <c r="Y9" s="504"/>
      <c r="Z9" s="504"/>
      <c r="AA9" s="505"/>
      <c r="AB9" s="507"/>
      <c r="AC9" s="504"/>
      <c r="AD9" s="504"/>
      <c r="AE9" s="505"/>
      <c r="AF9" s="172"/>
    </row>
    <row r="10" spans="1:32">
      <c r="A10" s="373"/>
      <c r="B10" s="403" t="s">
        <v>247</v>
      </c>
      <c r="C10" s="204">
        <v>78</v>
      </c>
      <c r="D10" s="204">
        <v>0</v>
      </c>
      <c r="E10" s="205">
        <v>0</v>
      </c>
      <c r="F10" s="205">
        <v>0</v>
      </c>
      <c r="G10" s="205">
        <v>0</v>
      </c>
      <c r="H10" s="206"/>
      <c r="J10" s="172"/>
      <c r="K10" s="506"/>
      <c r="L10" s="507"/>
      <c r="M10" s="504"/>
      <c r="N10" s="504"/>
      <c r="O10" s="505"/>
      <c r="P10" s="507"/>
      <c r="Q10" s="504"/>
      <c r="R10" s="504"/>
      <c r="S10" s="505"/>
      <c r="T10" s="507"/>
      <c r="U10" s="504"/>
      <c r="V10" s="504"/>
      <c r="W10" s="505"/>
      <c r="X10" s="507"/>
      <c r="Y10" s="504"/>
      <c r="Z10" s="504"/>
      <c r="AA10" s="505"/>
      <c r="AB10" s="507"/>
      <c r="AC10" s="504"/>
      <c r="AD10" s="504"/>
      <c r="AE10" s="505"/>
      <c r="AF10" s="172"/>
    </row>
    <row r="11" spans="1:32">
      <c r="A11" s="373"/>
      <c r="B11" s="403" t="s">
        <v>248</v>
      </c>
      <c r="C11" s="202">
        <v>36</v>
      </c>
      <c r="D11" s="202">
        <v>36</v>
      </c>
      <c r="E11" s="202">
        <v>0</v>
      </c>
      <c r="F11" s="202">
        <v>0</v>
      </c>
      <c r="G11" s="202">
        <v>0</v>
      </c>
      <c r="H11" s="206"/>
      <c r="J11" s="172"/>
      <c r="K11" s="506"/>
      <c r="L11" s="507"/>
      <c r="M11" s="504"/>
      <c r="N11" s="504"/>
      <c r="O11" s="505"/>
      <c r="P11" s="507"/>
      <c r="Q11" s="504"/>
      <c r="R11" s="504"/>
      <c r="S11" s="505"/>
      <c r="T11" s="507"/>
      <c r="U11" s="504"/>
      <c r="V11" s="504"/>
      <c r="W11" s="505"/>
      <c r="X11" s="507"/>
      <c r="Y11" s="504"/>
      <c r="Z11" s="504"/>
      <c r="AA11" s="505"/>
      <c r="AB11" s="507"/>
      <c r="AC11" s="504"/>
      <c r="AD11" s="504"/>
      <c r="AE11" s="505"/>
      <c r="AF11" s="172"/>
    </row>
    <row r="12" spans="1:32" s="423" customFormat="1">
      <c r="A12" s="373"/>
      <c r="B12" s="403" t="s">
        <v>249</v>
      </c>
      <c r="C12" s="202">
        <v>17</v>
      </c>
      <c r="D12" s="202">
        <v>5</v>
      </c>
      <c r="E12" s="202">
        <v>12</v>
      </c>
      <c r="F12" s="202">
        <v>0</v>
      </c>
      <c r="G12" s="202">
        <v>0</v>
      </c>
      <c r="H12" s="206"/>
      <c r="I12" s="455"/>
      <c r="J12" s="172"/>
      <c r="K12" s="355"/>
      <c r="L12" s="356"/>
      <c r="M12" s="353"/>
      <c r="N12" s="353"/>
      <c r="O12" s="354"/>
      <c r="P12" s="356"/>
      <c r="Q12" s="353"/>
      <c r="R12" s="353"/>
      <c r="S12" s="354"/>
      <c r="T12" s="356"/>
      <c r="U12" s="353"/>
      <c r="V12" s="353"/>
      <c r="W12" s="354"/>
      <c r="X12" s="356"/>
      <c r="Y12" s="353"/>
      <c r="Z12" s="353"/>
      <c r="AA12" s="354"/>
      <c r="AB12" s="356"/>
      <c r="AC12" s="353"/>
      <c r="AD12" s="353"/>
      <c r="AE12" s="354"/>
      <c r="AF12" s="172"/>
    </row>
    <row r="13" spans="1:32" s="423" customFormat="1">
      <c r="A13" s="373"/>
      <c r="B13" s="403" t="s">
        <v>250</v>
      </c>
      <c r="C13" s="202">
        <v>23</v>
      </c>
      <c r="D13" s="202">
        <v>23</v>
      </c>
      <c r="E13" s="202">
        <v>0</v>
      </c>
      <c r="F13" s="202">
        <v>0</v>
      </c>
      <c r="G13" s="202">
        <v>0</v>
      </c>
      <c r="H13" s="206"/>
      <c r="I13" s="455"/>
      <c r="J13" s="172"/>
      <c r="K13" s="355"/>
      <c r="L13" s="356"/>
      <c r="M13" s="353"/>
      <c r="N13" s="353"/>
      <c r="O13" s="354"/>
      <c r="P13" s="356"/>
      <c r="Q13" s="353"/>
      <c r="R13" s="353"/>
      <c r="S13" s="354"/>
      <c r="T13" s="356"/>
      <c r="U13" s="353"/>
      <c r="V13" s="353"/>
      <c r="W13" s="354"/>
      <c r="X13" s="356"/>
      <c r="Y13" s="353"/>
      <c r="Z13" s="353"/>
      <c r="AA13" s="354"/>
      <c r="AB13" s="356"/>
      <c r="AC13" s="353"/>
      <c r="AD13" s="353"/>
      <c r="AE13" s="354"/>
      <c r="AF13" s="172"/>
    </row>
    <row r="14" spans="1:32" s="423" customFormat="1">
      <c r="A14" s="373"/>
      <c r="B14" s="419" t="s">
        <v>251</v>
      </c>
      <c r="C14" s="202">
        <v>2355</v>
      </c>
      <c r="D14" s="202">
        <v>2045</v>
      </c>
      <c r="E14" s="202">
        <v>165</v>
      </c>
      <c r="F14" s="202">
        <v>46</v>
      </c>
      <c r="G14" s="202">
        <v>21</v>
      </c>
      <c r="H14" s="206"/>
      <c r="I14" s="455"/>
      <c r="J14" s="172"/>
      <c r="K14" s="355"/>
      <c r="L14" s="356"/>
      <c r="M14" s="353"/>
      <c r="N14" s="353"/>
      <c r="O14" s="354"/>
      <c r="P14" s="356"/>
      <c r="Q14" s="353"/>
      <c r="R14" s="353"/>
      <c r="S14" s="354"/>
      <c r="T14" s="356"/>
      <c r="U14" s="353"/>
      <c r="V14" s="353"/>
      <c r="W14" s="354"/>
      <c r="X14" s="356"/>
      <c r="Y14" s="353"/>
      <c r="Z14" s="353"/>
      <c r="AA14" s="354"/>
      <c r="AB14" s="356"/>
      <c r="AC14" s="353"/>
      <c r="AD14" s="353"/>
      <c r="AE14" s="354"/>
      <c r="AF14" s="172"/>
    </row>
    <row r="15" spans="1:32" ht="37.65" customHeight="1" thickBot="1">
      <c r="A15" s="373"/>
      <c r="B15" s="206"/>
      <c r="C15" s="206"/>
      <c r="D15" s="206"/>
      <c r="E15" s="206"/>
      <c r="F15" s="206"/>
      <c r="G15" s="206"/>
      <c r="H15" s="206"/>
      <c r="J15" s="172"/>
      <c r="K15" s="506"/>
      <c r="L15" s="507"/>
      <c r="M15" s="504"/>
      <c r="N15" s="504"/>
      <c r="O15" s="505"/>
      <c r="P15" s="507"/>
      <c r="Q15" s="504"/>
      <c r="R15" s="504"/>
      <c r="S15" s="505"/>
      <c r="T15" s="507"/>
      <c r="U15" s="504"/>
      <c r="V15" s="504"/>
      <c r="W15" s="505"/>
      <c r="X15" s="507"/>
      <c r="Y15" s="508"/>
      <c r="Z15" s="508"/>
      <c r="AA15" s="505"/>
      <c r="AB15" s="507"/>
      <c r="AC15" s="508"/>
      <c r="AD15" s="508"/>
      <c r="AE15" s="505"/>
      <c r="AF15" s="172"/>
    </row>
    <row r="16" spans="1:32">
      <c r="A16" s="373"/>
      <c r="B16" s="105" t="s">
        <v>47</v>
      </c>
      <c r="C16" s="200"/>
      <c r="D16" s="200"/>
      <c r="E16" s="200">
        <v>2</v>
      </c>
      <c r="F16" s="200">
        <v>4</v>
      </c>
      <c r="G16" s="201">
        <v>5</v>
      </c>
      <c r="H16" s="206"/>
      <c r="J16" s="172"/>
      <c r="K16" s="506"/>
      <c r="L16" s="507"/>
      <c r="M16" s="504"/>
      <c r="N16" s="504"/>
      <c r="O16" s="505"/>
      <c r="P16" s="507"/>
      <c r="Q16" s="504"/>
      <c r="R16" s="504"/>
      <c r="S16" s="505"/>
      <c r="T16" s="507"/>
      <c r="U16" s="504"/>
      <c r="V16" s="504"/>
      <c r="W16" s="505"/>
      <c r="X16" s="507"/>
      <c r="Y16" s="508"/>
      <c r="Z16" s="508"/>
      <c r="AA16" s="505"/>
      <c r="AB16" s="507"/>
      <c r="AC16" s="508"/>
      <c r="AD16" s="508"/>
      <c r="AE16" s="505"/>
      <c r="AF16" s="172"/>
    </row>
    <row r="17" spans="1:32">
      <c r="A17" s="373"/>
      <c r="B17" s="106" t="s">
        <v>122</v>
      </c>
      <c r="C17" s="207">
        <v>3.1E-2</v>
      </c>
      <c r="D17" s="208"/>
      <c r="E17" s="159">
        <f>E9/((1+$C$17)^E16)</f>
        <v>115.71449940308254</v>
      </c>
      <c r="F17" s="159">
        <f>F9/((1+$C$17)^F16)</f>
        <v>40.712068683777872</v>
      </c>
      <c r="G17" s="209">
        <f>G9/((1+$C$17)^G16)</f>
        <v>18.027104169850617</v>
      </c>
      <c r="H17" s="206"/>
      <c r="J17" s="172"/>
      <c r="K17" s="509"/>
      <c r="L17" s="507"/>
      <c r="M17" s="506"/>
      <c r="N17" s="504"/>
      <c r="O17" s="505"/>
      <c r="P17" s="507"/>
      <c r="Q17" s="506"/>
      <c r="R17" s="504"/>
      <c r="S17" s="505"/>
      <c r="T17" s="507"/>
      <c r="U17" s="506"/>
      <c r="V17" s="504"/>
      <c r="W17" s="505"/>
      <c r="X17" s="507"/>
      <c r="Y17" s="506"/>
      <c r="Z17" s="504"/>
      <c r="AA17" s="505"/>
      <c r="AB17" s="507"/>
      <c r="AC17" s="506"/>
      <c r="AD17" s="504"/>
      <c r="AE17" s="505"/>
      <c r="AF17" s="172"/>
    </row>
    <row r="18" spans="1:32" ht="15.75" customHeight="1" thickBot="1">
      <c r="A18" s="373"/>
      <c r="B18" s="107" t="s">
        <v>131</v>
      </c>
      <c r="C18" s="150">
        <f>SUM(E17:G17)</f>
        <v>174.45367225671103</v>
      </c>
      <c r="D18" s="210"/>
      <c r="E18" s="210"/>
      <c r="F18" s="210"/>
      <c r="G18" s="211"/>
      <c r="H18" s="206"/>
      <c r="J18" s="172"/>
      <c r="K18" s="509"/>
      <c r="L18" s="507"/>
      <c r="M18" s="506"/>
      <c r="N18" s="504"/>
      <c r="O18" s="505"/>
      <c r="P18" s="507"/>
      <c r="Q18" s="506"/>
      <c r="R18" s="504"/>
      <c r="S18" s="505"/>
      <c r="T18" s="507"/>
      <c r="U18" s="506"/>
      <c r="V18" s="504"/>
      <c r="W18" s="505"/>
      <c r="X18" s="507"/>
      <c r="Y18" s="506"/>
      <c r="Z18" s="504"/>
      <c r="AA18" s="505"/>
      <c r="AB18" s="507"/>
      <c r="AC18" s="506"/>
      <c r="AD18" s="504"/>
      <c r="AE18" s="505"/>
      <c r="AF18" s="172"/>
    </row>
    <row r="19" spans="1:32" ht="47.85" customHeight="1">
      <c r="A19" s="373"/>
      <c r="B19" s="206"/>
      <c r="C19" s="206"/>
      <c r="D19" s="206"/>
      <c r="E19" s="206"/>
      <c r="F19" s="206"/>
      <c r="G19" s="206"/>
      <c r="H19" s="206"/>
      <c r="J19" s="172"/>
      <c r="K19" s="157"/>
      <c r="L19" s="172"/>
      <c r="M19" s="172"/>
      <c r="N19" s="172"/>
      <c r="O19" s="172"/>
      <c r="P19" s="172"/>
      <c r="Q19" s="172"/>
      <c r="R19" s="172"/>
      <c r="S19" s="172"/>
      <c r="T19" s="172"/>
      <c r="U19" s="172"/>
      <c r="V19" s="172"/>
      <c r="W19" s="172"/>
      <c r="X19" s="172"/>
      <c r="Y19" s="172"/>
      <c r="Z19" s="172"/>
      <c r="AA19" s="172"/>
      <c r="AB19" s="172"/>
      <c r="AC19" s="172"/>
      <c r="AD19" s="172"/>
      <c r="AE19" s="172"/>
      <c r="AF19" s="172"/>
    </row>
    <row r="20" spans="1:32" s="464" customFormat="1" ht="48" customHeight="1">
      <c r="A20" s="367"/>
    </row>
    <row r="21" spans="1:32" ht="15" customHeight="1"/>
  </sheetData>
  <mergeCells count="91">
    <mergeCell ref="C5:G5"/>
    <mergeCell ref="K6:K7"/>
    <mergeCell ref="L6:L7"/>
    <mergeCell ref="M6:M7"/>
    <mergeCell ref="N6:N7"/>
    <mergeCell ref="O6:O7"/>
    <mergeCell ref="P6:P7"/>
    <mergeCell ref="Q6:Q7"/>
    <mergeCell ref="R6:R7"/>
    <mergeCell ref="S6:S7"/>
    <mergeCell ref="T6:T7"/>
    <mergeCell ref="U6:U7"/>
    <mergeCell ref="V6:V7"/>
    <mergeCell ref="W6:W7"/>
    <mergeCell ref="X6:X7"/>
    <mergeCell ref="Y6:Y7"/>
    <mergeCell ref="Z6:Z7"/>
    <mergeCell ref="AA6:AA7"/>
    <mergeCell ref="AB6:AB7"/>
    <mergeCell ref="AC6:AC7"/>
    <mergeCell ref="AD6:AD7"/>
    <mergeCell ref="AE6:AE7"/>
    <mergeCell ref="K8:K9"/>
    <mergeCell ref="L8:L9"/>
    <mergeCell ref="M8:N9"/>
    <mergeCell ref="O8:O9"/>
    <mergeCell ref="P8:P9"/>
    <mergeCell ref="Q8:R9"/>
    <mergeCell ref="S8:S9"/>
    <mergeCell ref="T8:T9"/>
    <mergeCell ref="U8:V9"/>
    <mergeCell ref="W8:W9"/>
    <mergeCell ref="X8:X9"/>
    <mergeCell ref="Y8:Z9"/>
    <mergeCell ref="AA8:AA9"/>
    <mergeCell ref="AB8:AB9"/>
    <mergeCell ref="AC8:AD9"/>
    <mergeCell ref="AE8:AE9"/>
    <mergeCell ref="K10:K11"/>
    <mergeCell ref="L10:L11"/>
    <mergeCell ref="M10:N11"/>
    <mergeCell ref="O10:O11"/>
    <mergeCell ref="P10:P11"/>
    <mergeCell ref="Q10:R11"/>
    <mergeCell ref="S10:S11"/>
    <mergeCell ref="T10:T11"/>
    <mergeCell ref="U10:V11"/>
    <mergeCell ref="W10:W11"/>
    <mergeCell ref="X10:X11"/>
    <mergeCell ref="Y10:Z11"/>
    <mergeCell ref="AA10:AA11"/>
    <mergeCell ref="AB10:AB11"/>
    <mergeCell ref="AC10:AD11"/>
    <mergeCell ref="AE10:AE11"/>
    <mergeCell ref="K15:K16"/>
    <mergeCell ref="L15:L16"/>
    <mergeCell ref="M15:N16"/>
    <mergeCell ref="O15:O16"/>
    <mergeCell ref="P15:P16"/>
    <mergeCell ref="Q15:R16"/>
    <mergeCell ref="S15:S16"/>
    <mergeCell ref="T15:T16"/>
    <mergeCell ref="U15:V16"/>
    <mergeCell ref="W15:W16"/>
    <mergeCell ref="X15:X16"/>
    <mergeCell ref="Y15:Z16"/>
    <mergeCell ref="AA15:AA16"/>
    <mergeCell ref="AB15:AB16"/>
    <mergeCell ref="AC15:AD16"/>
    <mergeCell ref="AE15:AE16"/>
    <mergeCell ref="K17:K18"/>
    <mergeCell ref="L17:L18"/>
    <mergeCell ref="M17:M18"/>
    <mergeCell ref="N17:N18"/>
    <mergeCell ref="O17:O18"/>
    <mergeCell ref="P17:P18"/>
    <mergeCell ref="Q17:Q18"/>
    <mergeCell ref="R17:R18"/>
    <mergeCell ref="S17:S18"/>
    <mergeCell ref="T17:T18"/>
    <mergeCell ref="U17:U18"/>
    <mergeCell ref="V17:V18"/>
    <mergeCell ref="W17:W18"/>
    <mergeCell ref="X17:X18"/>
    <mergeCell ref="AD17:AD18"/>
    <mergeCell ref="AE17:AE18"/>
    <mergeCell ref="Y17:Y18"/>
    <mergeCell ref="Z17:Z18"/>
    <mergeCell ref="AA17:AA18"/>
    <mergeCell ref="AB17:AB18"/>
    <mergeCell ref="AC17:AC18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autoPageBreaks="0"/>
  </sheetPr>
  <dimension ref="A1:S90"/>
  <sheetViews>
    <sheetView showGridLines="0" zoomScale="70" zoomScaleNormal="70" zoomScalePageLayoutView="50" workbookViewId="0">
      <pane xSplit="1" ySplit="1" topLeftCell="B54" activePane="bottomRight" state="frozen"/>
      <selection pane="topRight" activeCell="B1" sqref="B1"/>
      <selection pane="bottomLeft" activeCell="A10" sqref="A10"/>
      <selection pane="bottomRight" activeCell="B94" sqref="B94"/>
    </sheetView>
  </sheetViews>
  <sheetFormatPr defaultColWidth="8.88671875" defaultRowHeight="14.4"/>
  <cols>
    <col min="1" max="1" width="2.6640625" style="367" customWidth="1"/>
    <col min="2" max="2" width="67" customWidth="1"/>
    <col min="3" max="3" width="19" style="154" customWidth="1"/>
    <col min="4" max="4" width="13.6640625" customWidth="1"/>
    <col min="5" max="5" width="12.6640625" bestFit="1" customWidth="1"/>
    <col min="6" max="7" width="13.109375" bestFit="1" customWidth="1"/>
    <col min="8" max="8" width="12.6640625" bestFit="1" customWidth="1"/>
    <col min="9" max="9" width="10" bestFit="1" customWidth="1"/>
    <col min="12" max="12" width="8.88671875" style="169"/>
    <col min="13" max="13" width="8.88671875" style="469"/>
  </cols>
  <sheetData>
    <row r="1" spans="1:13" s="367" customFormat="1">
      <c r="A1" s="365"/>
      <c r="B1" s="365"/>
      <c r="C1" s="365"/>
      <c r="M1" s="369"/>
    </row>
    <row r="2" spans="1:13">
      <c r="A2" s="365"/>
      <c r="B2" s="2" t="s">
        <v>44</v>
      </c>
      <c r="C2" s="155"/>
      <c r="D2" s="2"/>
      <c r="E2" s="2"/>
      <c r="F2" s="2"/>
      <c r="G2" s="2"/>
      <c r="H2" s="2"/>
      <c r="J2" s="2"/>
      <c r="K2" s="2"/>
      <c r="L2" s="170"/>
    </row>
    <row r="3" spans="1:13">
      <c r="A3" s="365"/>
      <c r="B3" s="80" t="s">
        <v>45</v>
      </c>
      <c r="C3" s="358">
        <v>2011</v>
      </c>
      <c r="D3" s="170">
        <v>2012</v>
      </c>
      <c r="E3" s="170">
        <v>2013</v>
      </c>
      <c r="F3" s="170">
        <v>2014</v>
      </c>
      <c r="G3" s="170">
        <v>2015</v>
      </c>
      <c r="H3" s="2">
        <v>2016</v>
      </c>
      <c r="I3" s="8"/>
      <c r="J3" s="20" t="s">
        <v>46</v>
      </c>
      <c r="K3" s="20" t="s">
        <v>39</v>
      </c>
      <c r="L3" s="182"/>
    </row>
    <row r="4" spans="1:13">
      <c r="A4" s="365"/>
      <c r="B4" s="2" t="s">
        <v>47</v>
      </c>
      <c r="C4" s="155"/>
      <c r="D4" s="4">
        <v>1</v>
      </c>
      <c r="E4" s="2">
        <v>2</v>
      </c>
      <c r="F4" s="2">
        <v>3</v>
      </c>
      <c r="G4" s="2">
        <v>4</v>
      </c>
      <c r="H4" s="2">
        <v>5</v>
      </c>
      <c r="I4" s="8"/>
      <c r="J4" s="2"/>
      <c r="K4" s="2"/>
      <c r="L4" s="170"/>
    </row>
    <row r="5" spans="1:13" ht="6" customHeight="1">
      <c r="A5" s="365"/>
      <c r="B5" s="2"/>
      <c r="C5" s="155"/>
      <c r="D5" s="4"/>
      <c r="E5" s="2"/>
      <c r="F5" s="2"/>
      <c r="G5" s="2"/>
      <c r="H5" s="2"/>
      <c r="J5" s="298"/>
      <c r="K5" s="299"/>
      <c r="L5" s="170"/>
    </row>
    <row r="6" spans="1:13" s="222" customFormat="1">
      <c r="A6" s="365"/>
      <c r="B6" s="253" t="s">
        <v>163</v>
      </c>
      <c r="C6" s="227">
        <f>IS!C3</f>
        <v>3543</v>
      </c>
      <c r="D6" s="227">
        <f>IS!D3</f>
        <v>3998</v>
      </c>
      <c r="E6" s="227">
        <f>IS!E3</f>
        <v>4280</v>
      </c>
      <c r="F6" s="227">
        <f>IS!F3</f>
        <v>4130</v>
      </c>
      <c r="G6" s="227">
        <f>IS!G3</f>
        <v>4682</v>
      </c>
      <c r="H6" s="227">
        <f>IS!H3</f>
        <v>5010</v>
      </c>
      <c r="I6" s="254"/>
      <c r="J6" s="255"/>
      <c r="K6" s="221"/>
      <c r="L6" s="221"/>
      <c r="M6" s="469"/>
    </row>
    <row r="7" spans="1:13">
      <c r="A7" s="365"/>
      <c r="B7" s="113" t="s">
        <v>48</v>
      </c>
      <c r="C7" s="156"/>
      <c r="D7" s="161">
        <f>(D6-C6)/C6</f>
        <v>0.12842224103866778</v>
      </c>
      <c r="E7" s="152">
        <f>(E6-D6)/D6</f>
        <v>7.0535267633816914E-2</v>
      </c>
      <c r="F7" s="17">
        <f>(F6-E6)/E6</f>
        <v>-3.5046728971962614E-2</v>
      </c>
      <c r="G7" s="17">
        <f>(G6-F6)/F6</f>
        <v>0.13365617433414043</v>
      </c>
      <c r="H7" s="17">
        <f>(H6-G6)/G6</f>
        <v>7.0055531824006839E-2</v>
      </c>
      <c r="J7" s="18">
        <f>AVERAGE(D7:H7)</f>
        <v>7.3524497171733857E-2</v>
      </c>
      <c r="K7" s="18">
        <f>MEDIAN(D7:H7)</f>
        <v>7.0535267633816914E-2</v>
      </c>
      <c r="L7" s="178"/>
    </row>
    <row r="8" spans="1:13" ht="15" thickBot="1">
      <c r="A8" s="365"/>
      <c r="B8" s="290" t="s">
        <v>49</v>
      </c>
      <c r="C8" s="290"/>
      <c r="D8" s="291">
        <f>(D6/$C6)^(1/D$4)-1</f>
        <v>0.12842224103866773</v>
      </c>
      <c r="E8" s="291">
        <f>(E6/$C6)^(1/E$4)-1</f>
        <v>9.9097723505185753E-2</v>
      </c>
      <c r="F8" s="291">
        <f>(F6/$C6)^(1/F$4)-1</f>
        <v>5.2429387114885539E-2</v>
      </c>
      <c r="G8" s="291">
        <f>(G6/$C6)^(1/G$4)-1</f>
        <v>7.2173488451217738E-2</v>
      </c>
      <c r="H8" s="291">
        <f>(H6/$C6)^(1/H$4)-1</f>
        <v>7.1749562025956282E-2</v>
      </c>
      <c r="J8" s="295">
        <f>AVERAGE(D8:H8)</f>
        <v>8.4774480427182608E-2</v>
      </c>
      <c r="K8" s="294">
        <f>MEDIAN(D8:H8)</f>
        <v>7.2173488451217738E-2</v>
      </c>
      <c r="L8" s="178"/>
    </row>
    <row r="9" spans="1:13">
      <c r="A9" s="365"/>
      <c r="B9" s="2"/>
      <c r="C9" s="155"/>
      <c r="D9" s="4"/>
      <c r="E9" s="2"/>
      <c r="F9" s="2"/>
      <c r="G9" s="2"/>
      <c r="H9" s="2"/>
      <c r="J9" s="178"/>
      <c r="K9" s="178"/>
      <c r="L9" s="170"/>
    </row>
    <row r="10" spans="1:13" s="138" customFormat="1">
      <c r="A10" s="365"/>
      <c r="B10" s="253" t="s">
        <v>95</v>
      </c>
      <c r="C10" s="147">
        <f>IS!C17</f>
        <v>253</v>
      </c>
      <c r="D10" s="147">
        <f>IS!D17</f>
        <v>581</v>
      </c>
      <c r="E10" s="147">
        <f>IS!E17</f>
        <v>563</v>
      </c>
      <c r="F10" s="147">
        <f>IS!F17</f>
        <v>440</v>
      </c>
      <c r="G10" s="147">
        <f>IS!G17</f>
        <v>631</v>
      </c>
      <c r="H10" s="147">
        <f>IS!H17</f>
        <v>614</v>
      </c>
      <c r="J10" s="256"/>
      <c r="K10" s="256"/>
      <c r="L10" s="221"/>
      <c r="M10" s="469"/>
    </row>
    <row r="11" spans="1:13">
      <c r="A11" s="365"/>
      <c r="B11" s="113" t="s">
        <v>50</v>
      </c>
      <c r="C11" s="177">
        <f t="shared" ref="C11:H11" si="0">C10/C$6</f>
        <v>7.1408410951171328E-2</v>
      </c>
      <c r="D11" s="177">
        <f>D10/D$6</f>
        <v>0.14532266133066532</v>
      </c>
      <c r="E11" s="177">
        <f t="shared" si="0"/>
        <v>0.13154205607476635</v>
      </c>
      <c r="F11" s="177">
        <f t="shared" si="0"/>
        <v>0.10653753026634383</v>
      </c>
      <c r="G11" s="177">
        <f t="shared" si="0"/>
        <v>0.13477146518581803</v>
      </c>
      <c r="H11" s="177">
        <f t="shared" si="0"/>
        <v>0.12255489021956088</v>
      </c>
      <c r="J11" s="178">
        <f>AVERAGE(C11:H11)</f>
        <v>0.1186895023380543</v>
      </c>
      <c r="K11" s="178">
        <f>MEDIAN(C11:H11)</f>
        <v>0.12704847314716361</v>
      </c>
      <c r="L11" s="178"/>
    </row>
    <row r="12" spans="1:13">
      <c r="A12" s="365"/>
      <c r="B12" s="215" t="s">
        <v>48</v>
      </c>
      <c r="C12" s="215"/>
      <c r="D12" s="177">
        <f>(D10-C10)/C10</f>
        <v>1.2964426877470356</v>
      </c>
      <c r="E12" s="177">
        <f>(E10-D10)/D10</f>
        <v>-3.098106712564544E-2</v>
      </c>
      <c r="F12" s="177">
        <f>(F10-E10)/E10</f>
        <v>-0.21847246891651864</v>
      </c>
      <c r="G12" s="177">
        <f>(G10-F10)/F10</f>
        <v>0.43409090909090908</v>
      </c>
      <c r="H12" s="177">
        <f>(H10-G10)/G10</f>
        <v>-2.694136291600634E-2</v>
      </c>
      <c r="J12" s="178">
        <f>AVERAGE(D12:H12)</f>
        <v>0.29082773957595487</v>
      </c>
      <c r="K12" s="178">
        <f>MEDIAN(D12:H12)</f>
        <v>-2.694136291600634E-2</v>
      </c>
      <c r="L12" s="178"/>
    </row>
    <row r="13" spans="1:13" ht="15" thickBot="1">
      <c r="A13" s="365"/>
      <c r="B13" s="290" t="s">
        <v>49</v>
      </c>
      <c r="C13" s="290"/>
      <c r="D13" s="291">
        <f>(D10/$C10)^(1/D$4)-1</f>
        <v>1.2964426877470356</v>
      </c>
      <c r="E13" s="291">
        <f>(E10/$C10)^(1/E$4)-1</f>
        <v>0.49174275352278718</v>
      </c>
      <c r="F13" s="291">
        <f>(F10/$C10)^(1/F$4)-1</f>
        <v>0.2025709773288682</v>
      </c>
      <c r="G13" s="291">
        <f>(G10/$C10)^(1/G$4)-1</f>
        <v>0.25668725186669339</v>
      </c>
      <c r="H13" s="291">
        <f>(H10/$C10)^(1/H$4)-1</f>
        <v>0.19401441514575213</v>
      </c>
      <c r="J13" s="296">
        <f>AVERAGE(D13:H13)</f>
        <v>0.48829161712222724</v>
      </c>
      <c r="K13" s="297">
        <f>MEDIAN(D13:H13)</f>
        <v>0.25668725186669339</v>
      </c>
      <c r="L13" s="178"/>
    </row>
    <row r="14" spans="1:13">
      <c r="A14" s="365"/>
      <c r="B14" s="2"/>
      <c r="C14" s="227"/>
      <c r="D14" s="227"/>
      <c r="E14" s="227"/>
      <c r="F14" s="158"/>
      <c r="G14" s="163"/>
      <c r="H14" s="163"/>
      <c r="J14" s="178"/>
      <c r="K14" s="178"/>
      <c r="L14" s="170"/>
    </row>
    <row r="15" spans="1:13" s="138" customFormat="1">
      <c r="A15" s="365"/>
      <c r="B15" s="253" t="s">
        <v>136</v>
      </c>
      <c r="C15" s="149">
        <f>IS!C4</f>
        <v>2134</v>
      </c>
      <c r="D15" s="149">
        <f>IS!D4</f>
        <v>1941</v>
      </c>
      <c r="E15" s="149">
        <f>IS!E4</f>
        <v>2053</v>
      </c>
      <c r="F15" s="149">
        <f>IS!F4</f>
        <v>1862</v>
      </c>
      <c r="G15" s="149">
        <f>IS!G4</f>
        <v>2083</v>
      </c>
      <c r="H15" s="149">
        <f>IS!H4</f>
        <v>2199</v>
      </c>
      <c r="J15" s="256"/>
      <c r="K15" s="256"/>
      <c r="L15" s="221"/>
      <c r="M15" s="469"/>
    </row>
    <row r="16" spans="1:13">
      <c r="A16" s="365"/>
      <c r="B16" s="113" t="s">
        <v>50</v>
      </c>
      <c r="C16" s="177">
        <f t="shared" ref="C16:H16" si="1">C15/C$6</f>
        <v>0.60231442280553205</v>
      </c>
      <c r="D16" s="177">
        <f>D15/D$6</f>
        <v>0.48549274637318657</v>
      </c>
      <c r="E16" s="177">
        <f t="shared" si="1"/>
        <v>0.47967289719626166</v>
      </c>
      <c r="F16" s="177">
        <f t="shared" si="1"/>
        <v>0.45084745762711864</v>
      </c>
      <c r="G16" s="177">
        <f t="shared" si="1"/>
        <v>0.44489534387014096</v>
      </c>
      <c r="H16" s="177">
        <f t="shared" si="1"/>
        <v>0.43892215568862275</v>
      </c>
      <c r="J16" s="178">
        <f>AVERAGE(C16:H16)</f>
        <v>0.48369083726014378</v>
      </c>
      <c r="K16" s="178">
        <f t="shared" ref="K16" si="2">MEDIAN(C16:H16)</f>
        <v>0.46526017741169012</v>
      </c>
      <c r="L16" s="178"/>
    </row>
    <row r="17" spans="1:18">
      <c r="A17" s="365"/>
      <c r="B17" s="113" t="s">
        <v>48</v>
      </c>
      <c r="C17" s="215"/>
      <c r="D17" s="177">
        <f>(D15-C15)/C15</f>
        <v>-9.0440487347703838E-2</v>
      </c>
      <c r="E17" s="177">
        <f>(E15-D15)/D15</f>
        <v>5.7702215352910868E-2</v>
      </c>
      <c r="F17" s="177">
        <f>(F15-E15)/E15</f>
        <v>-9.3034583536288365E-2</v>
      </c>
      <c r="G17" s="177">
        <f>(G15-F15)/F15</f>
        <v>0.11868958109559613</v>
      </c>
      <c r="H17" s="177">
        <f>(H15-G15)/G15</f>
        <v>5.5688910225636101E-2</v>
      </c>
      <c r="J17" s="178">
        <f t="shared" ref="J17:J18" si="3">AVERAGE(D17:H17)</f>
        <v>9.7211271580301788E-3</v>
      </c>
      <c r="K17" s="178">
        <f t="shared" ref="K17:K18" si="4">MEDIAN(D17:H17)</f>
        <v>5.5688910225636101E-2</v>
      </c>
      <c r="L17" s="178"/>
      <c r="Q17" s="170"/>
      <c r="R17" s="170"/>
    </row>
    <row r="18" spans="1:18" ht="15" thickBot="1">
      <c r="A18" s="365"/>
      <c r="B18" s="290" t="s">
        <v>49</v>
      </c>
      <c r="C18" s="290"/>
      <c r="D18" s="291">
        <f>(D15/$C15)^(1/D$4)-1</f>
        <v>-9.0440487347703824E-2</v>
      </c>
      <c r="E18" s="291">
        <f>(E15/$C15)^(1/E$4)-1</f>
        <v>-1.9162036048946729E-2</v>
      </c>
      <c r="F18" s="291">
        <f>(F15/$C15)^(1/F$4)-1</f>
        <v>-4.4431656411910825E-2</v>
      </c>
      <c r="G18" s="291">
        <f>(G15/$C15)^(1/G$4)-1</f>
        <v>-6.0289998496289021E-3</v>
      </c>
      <c r="H18" s="291">
        <f>(H15/$C15)^(1/H$4)-1</f>
        <v>6.0189532799712619E-3</v>
      </c>
      <c r="J18" s="295">
        <f t="shared" si="3"/>
        <v>-3.0808845275643804E-2</v>
      </c>
      <c r="K18" s="294">
        <f t="shared" si="4"/>
        <v>-1.9162036048946729E-2</v>
      </c>
      <c r="L18" s="178"/>
      <c r="Q18" s="170"/>
      <c r="R18" s="170"/>
    </row>
    <row r="19" spans="1:18">
      <c r="A19" s="365"/>
      <c r="B19" s="2"/>
      <c r="C19" s="155"/>
      <c r="D19" s="114"/>
      <c r="E19" s="115"/>
      <c r="F19" s="115"/>
      <c r="G19" s="115"/>
      <c r="H19" s="115"/>
      <c r="J19" s="178"/>
      <c r="K19" s="178"/>
      <c r="L19" s="170"/>
    </row>
    <row r="20" spans="1:18" s="138" customFormat="1">
      <c r="A20" s="365"/>
      <c r="B20" s="301" t="s">
        <v>152</v>
      </c>
      <c r="C20" s="153">
        <f>IS!C12</f>
        <v>19</v>
      </c>
      <c r="D20" s="153">
        <f>IS!D12</f>
        <v>19</v>
      </c>
      <c r="E20" s="153">
        <f>IS!E12</f>
        <v>20</v>
      </c>
      <c r="F20" s="153">
        <f>IS!F12</f>
        <v>17</v>
      </c>
      <c r="G20" s="153">
        <f>IS!G12</f>
        <v>28</v>
      </c>
      <c r="H20" s="153">
        <f>IS!H12</f>
        <v>39</v>
      </c>
      <c r="J20" s="256"/>
      <c r="K20" s="256"/>
      <c r="L20" s="221"/>
      <c r="M20" s="469"/>
    </row>
    <row r="21" spans="1:18">
      <c r="A21" s="365"/>
      <c r="B21" s="113" t="s">
        <v>50</v>
      </c>
      <c r="C21" s="177">
        <f t="shared" ref="C21:H21" si="5">C20/C$6</f>
        <v>5.3626869884278857E-3</v>
      </c>
      <c r="D21" s="177">
        <f>D20/D$6</f>
        <v>4.7523761880940473E-3</v>
      </c>
      <c r="E21" s="177">
        <f t="shared" si="5"/>
        <v>4.6728971962616819E-3</v>
      </c>
      <c r="F21" s="177">
        <f>F20/F$6</f>
        <v>4.1162227602905572E-3</v>
      </c>
      <c r="G21" s="177">
        <f t="shared" si="5"/>
        <v>5.9803502776591203E-3</v>
      </c>
      <c r="H21" s="177">
        <f t="shared" si="5"/>
        <v>7.784431137724551E-3</v>
      </c>
      <c r="J21" s="178">
        <f>AVERAGE(C21:H21)</f>
        <v>5.4448274247429736E-3</v>
      </c>
      <c r="K21" s="178">
        <f t="shared" ref="K21" si="6">MEDIAN(C21:H21)</f>
        <v>5.0575315882609665E-3</v>
      </c>
      <c r="L21" s="178"/>
    </row>
    <row r="22" spans="1:18">
      <c r="A22" s="365"/>
      <c r="B22" s="113" t="s">
        <v>48</v>
      </c>
      <c r="C22" s="215"/>
      <c r="D22" s="177">
        <f>(D20-C20)/C20</f>
        <v>0</v>
      </c>
      <c r="E22" s="177">
        <f>(E20-D20)/D20</f>
        <v>5.2631578947368418E-2</v>
      </c>
      <c r="F22" s="177">
        <f>(F20-E20)/E20</f>
        <v>-0.15</v>
      </c>
      <c r="G22" s="177">
        <f>(G20-F20)/F20</f>
        <v>0.6470588235294118</v>
      </c>
      <c r="H22" s="177">
        <f>(H20-G20)/G20</f>
        <v>0.39285714285714285</v>
      </c>
      <c r="J22" s="178">
        <f t="shared" ref="J22" si="7">AVERAGE(D22:H22)</f>
        <v>0.18850950906678463</v>
      </c>
      <c r="K22" s="178">
        <f t="shared" ref="K22:K23" si="8">MEDIAN(D22:H22)</f>
        <v>5.2631578947368418E-2</v>
      </c>
      <c r="L22" s="178"/>
    </row>
    <row r="23" spans="1:18" ht="15" thickBot="1">
      <c r="A23" s="365"/>
      <c r="B23" s="290" t="s">
        <v>49</v>
      </c>
      <c r="C23" s="290"/>
      <c r="D23" s="291">
        <f>(D20/$C20)^(1/D$4)-1</f>
        <v>0</v>
      </c>
      <c r="E23" s="291">
        <f>(E20/$C20)^(1/E$4)-1</f>
        <v>2.5978352085153977E-2</v>
      </c>
      <c r="F23" s="291">
        <f>(F20/$C20)^(1/F$4)-1</f>
        <v>-3.6396341649026498E-2</v>
      </c>
      <c r="G23" s="291">
        <f>(G20/$C20)^(1/G$4)-1</f>
        <v>0.10179578749138796</v>
      </c>
      <c r="H23" s="291">
        <f>(H20/$C20)^(1/H$4)-1</f>
        <v>0.15468148270605053</v>
      </c>
      <c r="J23" s="295">
        <f>AVERAGE(D23:H23)</f>
        <v>4.9211856126713194E-2</v>
      </c>
      <c r="K23" s="294">
        <f t="shared" si="8"/>
        <v>2.5978352085153977E-2</v>
      </c>
      <c r="L23" s="178"/>
    </row>
    <row r="24" spans="1:18">
      <c r="A24" s="365"/>
      <c r="B24" s="113"/>
      <c r="C24" s="156"/>
      <c r="D24" s="114"/>
      <c r="E24" s="115"/>
      <c r="F24" s="115"/>
      <c r="G24" s="115"/>
      <c r="H24" s="115"/>
      <c r="J24" s="178"/>
      <c r="K24" s="178"/>
      <c r="L24" s="170"/>
    </row>
    <row r="25" spans="1:18" s="138" customFormat="1">
      <c r="A25" s="365"/>
      <c r="B25" s="301" t="s">
        <v>153</v>
      </c>
      <c r="C25" s="153">
        <f>IS!C13</f>
        <v>-3</v>
      </c>
      <c r="D25" s="153">
        <f>IS!D13</f>
        <v>-3</v>
      </c>
      <c r="E25" s="153">
        <f>IS!E13</f>
        <v>-3</v>
      </c>
      <c r="F25" s="153">
        <f>IS!F13</f>
        <v>-10</v>
      </c>
      <c r="G25" s="153">
        <f>IS!G13</f>
        <v>-46</v>
      </c>
      <c r="H25" s="153">
        <f>IS!H13</f>
        <v>-47</v>
      </c>
      <c r="J25" s="256"/>
      <c r="K25" s="256"/>
      <c r="L25" s="221"/>
      <c r="M25" s="469"/>
    </row>
    <row r="26" spans="1:18">
      <c r="A26" s="365"/>
      <c r="B26" s="113" t="s">
        <v>50</v>
      </c>
      <c r="C26" s="177">
        <f t="shared" ref="C26:H26" si="9">C25/C$6</f>
        <v>-8.4674005080440302E-4</v>
      </c>
      <c r="D26" s="177">
        <f>D25/D$6</f>
        <v>-7.503751875937969E-4</v>
      </c>
      <c r="E26" s="177">
        <f t="shared" si="9"/>
        <v>-7.0093457943925228E-4</v>
      </c>
      <c r="F26" s="177">
        <f t="shared" si="9"/>
        <v>-2.4213075060532689E-3</v>
      </c>
      <c r="G26" s="177">
        <f t="shared" si="9"/>
        <v>-9.8248611704399823E-3</v>
      </c>
      <c r="H26" s="177">
        <f t="shared" si="9"/>
        <v>-9.3812375249500996E-3</v>
      </c>
      <c r="J26" s="178">
        <f>AVERAGE(C26:H26)</f>
        <v>-3.9875760032134673E-3</v>
      </c>
      <c r="K26" s="178">
        <f t="shared" ref="K26" si="10">MEDIAN(C26:H26)</f>
        <v>-1.634023778428836E-3</v>
      </c>
      <c r="L26" s="178"/>
    </row>
    <row r="27" spans="1:18">
      <c r="A27" s="365"/>
      <c r="B27" s="113" t="s">
        <v>48</v>
      </c>
      <c r="C27" s="215"/>
      <c r="D27" s="177">
        <f>(D25-C25)/C25</f>
        <v>0</v>
      </c>
      <c r="E27" s="177">
        <f>(E25-D25)/D25</f>
        <v>0</v>
      </c>
      <c r="F27" s="177">
        <f>(F25-E25)/E25</f>
        <v>2.3333333333333335</v>
      </c>
      <c r="G27" s="177">
        <f>(G25-F25)/F25</f>
        <v>3.6</v>
      </c>
      <c r="H27" s="177">
        <f>(H25-G25)/G25</f>
        <v>2.1739130434782608E-2</v>
      </c>
      <c r="J27" s="178">
        <f>AVERAGE(D27:H27)</f>
        <v>1.1910144927536233</v>
      </c>
      <c r="K27" s="178">
        <f t="shared" ref="K27:K28" si="11">MEDIAN(D27:H27)</f>
        <v>2.1739130434782608E-2</v>
      </c>
      <c r="L27" s="178"/>
    </row>
    <row r="28" spans="1:18" ht="15" thickBot="1">
      <c r="A28" s="365"/>
      <c r="B28" s="290" t="s">
        <v>49</v>
      </c>
      <c r="C28" s="290"/>
      <c r="D28" s="291">
        <f>(D25/$C25)^(1/D$4)-1</f>
        <v>0</v>
      </c>
      <c r="E28" s="291">
        <f>(E25/$C25)^(1/E$4)-1</f>
        <v>0</v>
      </c>
      <c r="F28" s="291">
        <f>(F25/$C25)^(1/F$4)-1</f>
        <v>0.49380158218572157</v>
      </c>
      <c r="G28" s="291">
        <f>(G25/$C25)^(1/G$4)-1</f>
        <v>0.97883299989924466</v>
      </c>
      <c r="H28" s="291">
        <f>(H25/$C25)^(1/H$4)-1</f>
        <v>0.73378531678042491</v>
      </c>
      <c r="J28" s="295">
        <f t="shared" ref="J28" si="12">AVERAGE(D28:H28)</f>
        <v>0.44128397977307826</v>
      </c>
      <c r="K28" s="294">
        <f t="shared" si="11"/>
        <v>0.49380158218572157</v>
      </c>
      <c r="L28" s="178"/>
    </row>
    <row r="29" spans="1:18" s="169" customFormat="1">
      <c r="A29" s="365"/>
      <c r="B29" s="170"/>
      <c r="C29" s="170"/>
      <c r="D29" s="114"/>
      <c r="E29" s="115"/>
      <c r="F29" s="115"/>
      <c r="G29" s="115"/>
      <c r="H29" s="115"/>
      <c r="J29" s="178"/>
      <c r="K29" s="178"/>
      <c r="L29" s="170"/>
      <c r="M29" s="469"/>
    </row>
    <row r="30" spans="1:18" s="222" customFormat="1">
      <c r="A30" s="365"/>
      <c r="B30" s="301" t="s">
        <v>78</v>
      </c>
      <c r="C30" s="149">
        <f>IS!C6</f>
        <v>849</v>
      </c>
      <c r="D30" s="149">
        <f>IS!D6</f>
        <v>102</v>
      </c>
      <c r="E30" s="149">
        <f>IS!E6</f>
        <v>1002</v>
      </c>
      <c r="F30" s="149">
        <f>IS!F6</f>
        <v>1336</v>
      </c>
      <c r="G30" s="149">
        <f>IS!G6</f>
        <v>1360</v>
      </c>
      <c r="H30" s="149">
        <f>IS!H6</f>
        <v>1331</v>
      </c>
      <c r="J30" s="256"/>
      <c r="K30" s="256"/>
      <c r="L30" s="221"/>
      <c r="M30" s="469"/>
    </row>
    <row r="31" spans="1:18" s="169" customFormat="1">
      <c r="A31" s="365"/>
      <c r="B31" s="215" t="s">
        <v>50</v>
      </c>
      <c r="C31" s="177">
        <f>C30/C$6</f>
        <v>0.23962743437764605</v>
      </c>
      <c r="D31" s="177">
        <f>D30/D$6</f>
        <v>2.5512756378189096E-2</v>
      </c>
      <c r="E31" s="177">
        <f t="shared" ref="E31" si="13">E30/E$6</f>
        <v>0.23411214953271028</v>
      </c>
      <c r="F31" s="177">
        <f t="shared" ref="F31" si="14">F30/F$6</f>
        <v>0.32348668280871673</v>
      </c>
      <c r="G31" s="177">
        <f t="shared" ref="G31" si="15">G30/G$6</f>
        <v>0.29047415634344298</v>
      </c>
      <c r="H31" s="177">
        <f t="shared" ref="H31" si="16">H30/H$6</f>
        <v>0.26566866267465072</v>
      </c>
      <c r="J31" s="178">
        <f>AVERAGE(C31:H31)</f>
        <v>0.22981364035255933</v>
      </c>
      <c r="K31" s="178">
        <f t="shared" ref="K31" si="17">MEDIAN(C31:H31)</f>
        <v>0.25264804852614842</v>
      </c>
      <c r="L31" s="178"/>
      <c r="M31" s="469"/>
    </row>
    <row r="32" spans="1:18" s="169" customFormat="1">
      <c r="A32" s="365"/>
      <c r="B32" s="215" t="s">
        <v>48</v>
      </c>
      <c r="C32" s="215"/>
      <c r="D32" s="177">
        <f>(D30-C30)/C30</f>
        <v>-0.87985865724381629</v>
      </c>
      <c r="E32" s="177">
        <f>(E30-D30)/D30</f>
        <v>8.8235294117647065</v>
      </c>
      <c r="F32" s="177">
        <f>(F30-E30)/E30</f>
        <v>0.33333333333333331</v>
      </c>
      <c r="G32" s="177">
        <f>(G30-F30)/F30</f>
        <v>1.7964071856287425E-2</v>
      </c>
      <c r="H32" s="177">
        <f>(H30-G30)/G30</f>
        <v>-2.1323529411764706E-2</v>
      </c>
      <c r="J32" s="178">
        <f>AVERAGE(D32:H32)</f>
        <v>1.6547289260597491</v>
      </c>
      <c r="K32" s="178">
        <f t="shared" ref="K32:K33" si="18">MEDIAN(D32:H32)</f>
        <v>1.7964071856287425E-2</v>
      </c>
      <c r="L32" s="178"/>
      <c r="M32" s="469"/>
      <c r="Q32" s="170"/>
      <c r="R32" s="170"/>
    </row>
    <row r="33" spans="1:18" s="169" customFormat="1" ht="15" thickBot="1">
      <c r="A33" s="365"/>
      <c r="B33" s="290" t="s">
        <v>49</v>
      </c>
      <c r="C33" s="290"/>
      <c r="D33" s="291">
        <f>(D30/$C30)^(1/D$4)-1</f>
        <v>-0.87985865724381629</v>
      </c>
      <c r="E33" s="291">
        <f>(E30/$C30)^(1/E$4)-1</f>
        <v>8.6375632152284387E-2</v>
      </c>
      <c r="F33" s="291">
        <f>(F30/$C30)^(1/F$4)-1</f>
        <v>0.16314249451716289</v>
      </c>
      <c r="G33" s="291">
        <f>(G30/$C30)^(1/G$4)-1</f>
        <v>0.12501368283755032</v>
      </c>
      <c r="H33" s="291">
        <f>(H30/$C30)^(1/H$4)-1</f>
        <v>9.4092580841310003E-2</v>
      </c>
      <c r="J33" s="295">
        <f t="shared" ref="J33" si="19">AVERAGE(D33:H33)</f>
        <v>-8.2246853379101731E-2</v>
      </c>
      <c r="K33" s="294">
        <f t="shared" si="18"/>
        <v>9.4092580841310003E-2</v>
      </c>
      <c r="L33" s="178"/>
      <c r="M33" s="469"/>
      <c r="Q33" s="170"/>
      <c r="R33" s="170"/>
    </row>
    <row r="34" spans="1:18" s="423" customFormat="1">
      <c r="A34" s="365"/>
      <c r="B34" s="170"/>
      <c r="C34" s="170"/>
      <c r="D34" s="114"/>
      <c r="E34" s="115"/>
      <c r="F34" s="115"/>
      <c r="G34" s="115"/>
      <c r="H34" s="115"/>
      <c r="J34" s="178"/>
      <c r="K34" s="178"/>
      <c r="L34" s="170"/>
      <c r="M34" s="469"/>
    </row>
    <row r="35" spans="1:18" s="222" customFormat="1">
      <c r="A35" s="365"/>
      <c r="B35" s="301" t="s">
        <v>194</v>
      </c>
      <c r="C35" s="226">
        <f>IS!C7</f>
        <v>362</v>
      </c>
      <c r="D35" s="226">
        <f>IS!D7</f>
        <v>406</v>
      </c>
      <c r="E35" s="226">
        <f>IS!E7</f>
        <v>431</v>
      </c>
      <c r="F35" s="226">
        <f>IS!F7</f>
        <v>436</v>
      </c>
      <c r="G35" s="226">
        <f>IS!G7</f>
        <v>480</v>
      </c>
      <c r="H35" s="226">
        <f>IS!H7</f>
        <v>602</v>
      </c>
      <c r="J35" s="256"/>
      <c r="K35" s="256"/>
      <c r="L35" s="221"/>
      <c r="M35" s="469"/>
    </row>
    <row r="36" spans="1:18" s="423" customFormat="1">
      <c r="A36" s="365"/>
      <c r="B36" s="215" t="s">
        <v>50</v>
      </c>
      <c r="C36" s="177">
        <f>C35/C$6</f>
        <v>0.1021732994637313</v>
      </c>
      <c r="D36" s="177">
        <f>D35/D$6</f>
        <v>0.10155077538769385</v>
      </c>
      <c r="E36" s="177">
        <f t="shared" ref="E36:H36" si="20">E35/E$6</f>
        <v>0.10070093457943925</v>
      </c>
      <c r="F36" s="177">
        <f t="shared" si="20"/>
        <v>0.10556900726392252</v>
      </c>
      <c r="G36" s="177">
        <f t="shared" si="20"/>
        <v>0.10252029047415634</v>
      </c>
      <c r="H36" s="177">
        <f t="shared" si="20"/>
        <v>0.12015968063872255</v>
      </c>
      <c r="J36" s="178">
        <f>AVERAGE(C36:H36)</f>
        <v>0.10544566463461096</v>
      </c>
      <c r="K36" s="178">
        <f t="shared" ref="K36" si="21">MEDIAN(C36:H36)</f>
        <v>0.10234679496894382</v>
      </c>
      <c r="L36" s="178"/>
      <c r="M36" s="469"/>
    </row>
    <row r="37" spans="1:18" s="423" customFormat="1">
      <c r="A37" s="365"/>
      <c r="B37" s="215" t="s">
        <v>48</v>
      </c>
      <c r="C37" s="215"/>
      <c r="D37" s="177">
        <f>(D35-C35)/C35</f>
        <v>0.12154696132596685</v>
      </c>
      <c r="E37" s="177">
        <f>(E35-D35)/D35</f>
        <v>6.1576354679802957E-2</v>
      </c>
      <c r="F37" s="177">
        <f>(F35-E35)/E35</f>
        <v>1.1600928074245939E-2</v>
      </c>
      <c r="G37" s="177">
        <f>(G35-F35)/F35</f>
        <v>0.10091743119266056</v>
      </c>
      <c r="H37" s="177">
        <f>(H35-G35)/G35</f>
        <v>0.25416666666666665</v>
      </c>
      <c r="J37" s="178">
        <f>AVERAGE(D37:H37)</f>
        <v>0.10996166838786858</v>
      </c>
      <c r="K37" s="178">
        <f t="shared" ref="K37:K38" si="22">MEDIAN(D37:H37)</f>
        <v>0.10091743119266056</v>
      </c>
      <c r="L37" s="178"/>
      <c r="M37" s="469"/>
      <c r="Q37" s="170"/>
      <c r="R37" s="170"/>
    </row>
    <row r="38" spans="1:18" s="423" customFormat="1" ht="15" thickBot="1">
      <c r="A38" s="365"/>
      <c r="B38" s="290" t="s">
        <v>49</v>
      </c>
      <c r="C38" s="290"/>
      <c r="D38" s="291">
        <f>(D35/$C35)^(1/D$4)-1</f>
        <v>0.12154696132596676</v>
      </c>
      <c r="E38" s="291">
        <f>(E35/$C35)^(1/E$4)-1</f>
        <v>9.1149730699975784E-2</v>
      </c>
      <c r="F38" s="291">
        <f>(F35/$C35)^(1/F$4)-1</f>
        <v>6.3961646599888011E-2</v>
      </c>
      <c r="G38" s="291">
        <f>(G35/$C35)^(1/G$4)-1</f>
        <v>7.3082634236289357E-2</v>
      </c>
      <c r="H38" s="291">
        <f>(H35/$C35)^(1/H$4)-1</f>
        <v>0.10707637785264912</v>
      </c>
      <c r="J38" s="295">
        <f t="shared" ref="J38" si="23">AVERAGE(D38:H38)</f>
        <v>9.1363470142953804E-2</v>
      </c>
      <c r="K38" s="294">
        <f t="shared" si="22"/>
        <v>9.1149730699975784E-2</v>
      </c>
      <c r="L38" s="178"/>
      <c r="M38" s="469"/>
      <c r="Q38" s="170"/>
      <c r="R38" s="170"/>
    </row>
    <row r="39" spans="1:18" s="169" customFormat="1">
      <c r="A39" s="365"/>
      <c r="B39" s="170"/>
      <c r="C39" s="170"/>
      <c r="D39" s="114"/>
      <c r="E39" s="115"/>
      <c r="F39" s="115"/>
      <c r="G39" s="115"/>
      <c r="H39" s="115"/>
      <c r="J39" s="178"/>
      <c r="K39" s="178"/>
      <c r="L39" s="170"/>
      <c r="M39" s="469"/>
    </row>
    <row r="40" spans="1:18" s="222" customFormat="1">
      <c r="A40" s="365"/>
      <c r="B40" s="301" t="s">
        <v>263</v>
      </c>
      <c r="C40" s="226">
        <f>IS!C10</f>
        <v>1153</v>
      </c>
      <c r="D40" s="226">
        <f>IS!D10</f>
        <v>1408</v>
      </c>
      <c r="E40" s="226">
        <f>IS!E10</f>
        <v>1578</v>
      </c>
      <c r="F40" s="226">
        <f>IS!F10</f>
        <v>1772</v>
      </c>
      <c r="G40" s="226">
        <f>IS!G10</f>
        <v>1840</v>
      </c>
      <c r="H40" s="226">
        <f>IS!H10</f>
        <v>2064</v>
      </c>
      <c r="J40" s="256"/>
      <c r="K40" s="256"/>
      <c r="L40" s="221"/>
      <c r="M40" s="469"/>
    </row>
    <row r="41" spans="1:18" s="169" customFormat="1">
      <c r="A41" s="365"/>
      <c r="B41" s="215" t="s">
        <v>50</v>
      </c>
      <c r="C41" s="177">
        <f t="shared" ref="C41" si="24">C40/C$6</f>
        <v>0.32543042619249224</v>
      </c>
      <c r="D41" s="177">
        <f>D40/D$6</f>
        <v>0.35217608804402201</v>
      </c>
      <c r="E41" s="177">
        <f t="shared" ref="E41" si="25">E40/E$6</f>
        <v>0.36869158878504671</v>
      </c>
      <c r="F41" s="177">
        <f t="shared" ref="F41" si="26">F40/F$6</f>
        <v>0.42905569007263922</v>
      </c>
      <c r="G41" s="177">
        <f t="shared" ref="G41" si="27">G40/G$6</f>
        <v>0.39299444681759932</v>
      </c>
      <c r="H41" s="177">
        <f t="shared" ref="H41" si="28">H40/H$6</f>
        <v>0.41197604790419162</v>
      </c>
      <c r="J41" s="178">
        <f>AVERAGE(C41:H41)</f>
        <v>0.38005404796933179</v>
      </c>
      <c r="K41" s="178">
        <f t="shared" ref="K41" si="29">MEDIAN(C41:H41)</f>
        <v>0.38084301780132301</v>
      </c>
      <c r="L41" s="178"/>
      <c r="M41" s="469"/>
    </row>
    <row r="42" spans="1:18" s="169" customFormat="1">
      <c r="A42" s="365"/>
      <c r="B42" s="215" t="s">
        <v>48</v>
      </c>
      <c r="C42" s="215"/>
      <c r="D42" s="177">
        <f>(D40-C40)/C40</f>
        <v>0.22116218560277537</v>
      </c>
      <c r="E42" s="177">
        <f>(E40-D40)/D40</f>
        <v>0.12073863636363637</v>
      </c>
      <c r="F42" s="177">
        <f>(F40-E40)/E40</f>
        <v>0.12294043092522181</v>
      </c>
      <c r="G42" s="177">
        <f>(G40-F40)/F40</f>
        <v>3.8374717832957109E-2</v>
      </c>
      <c r="H42" s="177">
        <f>(H40-G40)/G40</f>
        <v>0.12173913043478261</v>
      </c>
      <c r="J42" s="178">
        <f>AVERAGE(D42:H42)</f>
        <v>0.12499102023187465</v>
      </c>
      <c r="K42" s="178">
        <f t="shared" ref="K42:K43" si="30">MEDIAN(D42:H42)</f>
        <v>0.12173913043478261</v>
      </c>
      <c r="L42" s="178"/>
      <c r="M42" s="469"/>
      <c r="Q42" s="170"/>
      <c r="R42" s="170"/>
    </row>
    <row r="43" spans="1:18" s="169" customFormat="1" ht="15" thickBot="1">
      <c r="A43" s="365"/>
      <c r="B43" s="290" t="s">
        <v>49</v>
      </c>
      <c r="C43" s="290"/>
      <c r="D43" s="291">
        <f>(D40/$C40)^(1/D$4)-1</f>
        <v>0.22116218560277545</v>
      </c>
      <c r="E43" s="291">
        <f>(E40/$C40)^(1/E$4)-1</f>
        <v>0.16987334471356008</v>
      </c>
      <c r="F43" s="291">
        <f>(F40/$C40)^(1/F$4)-1</f>
        <v>0.15401504311822523</v>
      </c>
      <c r="G43" s="291">
        <f>(G40/$C40)^(1/G$4)-1</f>
        <v>0.1239503552662653</v>
      </c>
      <c r="H43" s="291">
        <f>(H40/$C40)^(1/H$4)-1</f>
        <v>0.12350776186501311</v>
      </c>
      <c r="J43" s="295">
        <f t="shared" ref="J43" si="31">AVERAGE(D43:H43)</f>
        <v>0.15850173811316784</v>
      </c>
      <c r="K43" s="294">
        <f t="shared" si="30"/>
        <v>0.15401504311822523</v>
      </c>
      <c r="L43" s="178"/>
      <c r="M43" s="469"/>
      <c r="Q43" s="170"/>
      <c r="R43" s="170"/>
    </row>
    <row r="44" spans="1:18">
      <c r="A44" s="365"/>
      <c r="B44" s="2"/>
      <c r="C44" s="155"/>
      <c r="D44" s="114"/>
      <c r="E44" s="115"/>
      <c r="F44" s="115"/>
      <c r="G44" s="115"/>
      <c r="H44" s="115"/>
      <c r="J44" s="178"/>
      <c r="K44" s="178"/>
      <c r="L44" s="170"/>
    </row>
    <row r="45" spans="1:18" s="140" customFormat="1">
      <c r="A45" s="365"/>
      <c r="B45" s="139" t="s">
        <v>52</v>
      </c>
      <c r="C45" s="226">
        <f>CF!C4</f>
        <v>187</v>
      </c>
      <c r="D45" s="226">
        <f>CF!D4</f>
        <v>204</v>
      </c>
      <c r="E45" s="226">
        <f>CF!E4</f>
        <v>226</v>
      </c>
      <c r="F45" s="226">
        <f>CF!F4</f>
        <v>239</v>
      </c>
      <c r="G45" s="226">
        <f>CF!G4</f>
        <v>220</v>
      </c>
      <c r="H45" s="226">
        <f>CF!H4</f>
        <v>197</v>
      </c>
      <c r="J45" s="258"/>
      <c r="K45" s="258"/>
      <c r="L45" s="223"/>
      <c r="M45" s="469"/>
    </row>
    <row r="46" spans="1:18">
      <c r="A46" s="365"/>
      <c r="B46" s="113" t="s">
        <v>50</v>
      </c>
      <c r="C46" s="177">
        <f t="shared" ref="C46:H46" si="32">C45/C$6</f>
        <v>5.2780129833474458E-2</v>
      </c>
      <c r="D46" s="177">
        <f>D45/D$6</f>
        <v>5.1025512756378191E-2</v>
      </c>
      <c r="E46" s="17">
        <f t="shared" si="32"/>
        <v>5.2803738317757011E-2</v>
      </c>
      <c r="F46" s="17">
        <f t="shared" si="32"/>
        <v>5.7869249394673125E-2</v>
      </c>
      <c r="G46" s="17">
        <f t="shared" si="32"/>
        <v>4.698846646732166E-2</v>
      </c>
      <c r="H46" s="17">
        <f t="shared" si="32"/>
        <v>3.932135728542914E-2</v>
      </c>
      <c r="J46" s="178">
        <f>AVERAGE(C46:H46)</f>
        <v>5.0131409009172262E-2</v>
      </c>
      <c r="K46" s="178">
        <f t="shared" ref="K46" si="33">MEDIAN(C46:H46)</f>
        <v>5.1902821294926321E-2</v>
      </c>
      <c r="L46" s="178"/>
    </row>
    <row r="47" spans="1:18">
      <c r="A47" s="365"/>
      <c r="B47" s="113" t="s">
        <v>48</v>
      </c>
      <c r="C47" s="156"/>
      <c r="D47" s="177">
        <f>(D45-C45)/C45</f>
        <v>9.0909090909090912E-2</v>
      </c>
      <c r="E47" s="177">
        <f>(E45-D45)/D45</f>
        <v>0.10784313725490197</v>
      </c>
      <c r="F47" s="17">
        <f>(F45-E45)/E45</f>
        <v>5.7522123893805309E-2</v>
      </c>
      <c r="G47" s="17">
        <f>(G45-F45)/F45</f>
        <v>-7.9497907949790794E-2</v>
      </c>
      <c r="H47" s="17">
        <f>(H45-G45)/G45</f>
        <v>-0.10454545454545454</v>
      </c>
      <c r="J47" s="178">
        <f t="shared" ref="J47:J48" si="34">AVERAGE(D47:H47)</f>
        <v>1.4446197912510575E-2</v>
      </c>
      <c r="K47" s="178">
        <f t="shared" ref="K47:K48" si="35">MEDIAN(D47:H47)</f>
        <v>5.7522123893805309E-2</v>
      </c>
      <c r="L47" s="178"/>
    </row>
    <row r="48" spans="1:18" ht="15" thickBot="1">
      <c r="A48" s="365"/>
      <c r="B48" s="290" t="s">
        <v>49</v>
      </c>
      <c r="C48" s="290"/>
      <c r="D48" s="291">
        <f>(D45/$C45)^(1/D$4)-1</f>
        <v>9.0909090909090828E-2</v>
      </c>
      <c r="E48" s="291">
        <f>(E45/$C45)^(1/E$4)-1</f>
        <v>9.9343508523437096E-2</v>
      </c>
      <c r="F48" s="291">
        <f>(F45/$C45)^(1/F$4)-1</f>
        <v>8.522243843090882E-2</v>
      </c>
      <c r="G48" s="291">
        <f>(G45/$C45)^(1/G$4)-1</f>
        <v>4.146641284934427E-2</v>
      </c>
      <c r="H48" s="291">
        <f>(H45/$C45)^(1/H$4)-1</f>
        <v>1.0473489390311563E-2</v>
      </c>
      <c r="J48" s="295">
        <f t="shared" si="34"/>
        <v>6.5482988020618513E-2</v>
      </c>
      <c r="K48" s="294">
        <f t="shared" si="35"/>
        <v>8.522243843090882E-2</v>
      </c>
      <c r="L48" s="178"/>
    </row>
    <row r="49" spans="1:13">
      <c r="A49" s="365"/>
      <c r="B49" s="170"/>
      <c r="C49" s="170"/>
      <c r="D49" s="114"/>
      <c r="E49" s="115"/>
      <c r="F49" s="115"/>
      <c r="G49" s="115"/>
      <c r="H49" s="115"/>
      <c r="J49" s="178"/>
      <c r="K49" s="178"/>
      <c r="L49" s="170"/>
    </row>
    <row r="50" spans="1:13" s="140" customFormat="1">
      <c r="A50" s="365"/>
      <c r="B50" s="225" t="s">
        <v>53</v>
      </c>
      <c r="C50" s="35">
        <f>CF!C18</f>
        <v>-98</v>
      </c>
      <c r="D50" s="35">
        <f>CF!D18</f>
        <v>-139</v>
      </c>
      <c r="E50" s="35">
        <f>CF!E18</f>
        <v>-183</v>
      </c>
      <c r="F50" s="35">
        <f>CF!F18</f>
        <v>-255</v>
      </c>
      <c r="G50" s="35">
        <f>CF!G18</f>
        <v>-122</v>
      </c>
      <c r="H50" s="35">
        <f>CF!H18</f>
        <v>-86</v>
      </c>
      <c r="J50" s="258"/>
      <c r="K50" s="258"/>
      <c r="L50" s="223"/>
      <c r="M50" s="469"/>
    </row>
    <row r="51" spans="1:13">
      <c r="A51" s="365"/>
      <c r="B51" s="215" t="s">
        <v>50</v>
      </c>
      <c r="C51" s="177">
        <f t="shared" ref="C51:H51" si="36">C50/C$6</f>
        <v>-2.7660174992943834E-2</v>
      </c>
      <c r="D51" s="177">
        <f>D50/D$6</f>
        <v>-3.476738369184592E-2</v>
      </c>
      <c r="E51" s="177">
        <f t="shared" si="36"/>
        <v>-4.2757009345794392E-2</v>
      </c>
      <c r="F51" s="177">
        <f t="shared" si="36"/>
        <v>-6.1743341404358353E-2</v>
      </c>
      <c r="G51" s="177">
        <f t="shared" si="36"/>
        <v>-2.6057240495514736E-2</v>
      </c>
      <c r="H51" s="177">
        <f t="shared" si="36"/>
        <v>-1.716566866267465E-2</v>
      </c>
      <c r="J51" s="178">
        <f>AVERAGE(C51:H51)</f>
        <v>-3.5025136432188651E-2</v>
      </c>
      <c r="K51" s="178">
        <f t="shared" ref="K51" si="37">MEDIAN(C51:H51)</f>
        <v>-3.1213779342394877E-2</v>
      </c>
      <c r="L51" s="178"/>
    </row>
    <row r="52" spans="1:13">
      <c r="A52" s="365"/>
      <c r="B52" s="215" t="s">
        <v>48</v>
      </c>
      <c r="C52" s="215"/>
      <c r="D52" s="177">
        <f>(D50-C50)/C50</f>
        <v>0.41836734693877553</v>
      </c>
      <c r="E52" s="177">
        <f>(E50-D50)/D50</f>
        <v>0.31654676258992803</v>
      </c>
      <c r="F52" s="177">
        <f>(F50-E50)/E50</f>
        <v>0.39344262295081966</v>
      </c>
      <c r="G52" s="177">
        <f>(G50-F50)/F50</f>
        <v>-0.52156862745098043</v>
      </c>
      <c r="H52" s="177">
        <f>(H50-G50)/G50</f>
        <v>-0.29508196721311475</v>
      </c>
      <c r="J52" s="178">
        <f t="shared" ref="J52:J53" si="38">AVERAGE(D52:H52)</f>
        <v>6.2341227563085598E-2</v>
      </c>
      <c r="K52" s="178">
        <f t="shared" ref="K52:K53" si="39">MEDIAN(D52:H52)</f>
        <v>0.31654676258992803</v>
      </c>
      <c r="L52" s="178"/>
    </row>
    <row r="53" spans="1:13" ht="15" thickBot="1">
      <c r="A53" s="365"/>
      <c r="B53" s="290" t="s">
        <v>49</v>
      </c>
      <c r="C53" s="290"/>
      <c r="D53" s="291">
        <f>(D50/$C50)^(1/D$4)-1</f>
        <v>0.41836734693877542</v>
      </c>
      <c r="E53" s="291">
        <f>(E50/$C50)^(1/E$4)-1</f>
        <v>0.36650903355064224</v>
      </c>
      <c r="F53" s="291">
        <f>(F50/$C50)^(1/F$4)-1</f>
        <v>0.37542855028883837</v>
      </c>
      <c r="G53" s="291">
        <f>(G50/$C50)^(1/G$4)-1</f>
        <v>5.6290657774151986E-2</v>
      </c>
      <c r="H53" s="291">
        <f>(H50/$C50)^(1/H$4)-1</f>
        <v>-2.5785755994644721E-2</v>
      </c>
      <c r="J53" s="295">
        <f t="shared" si="38"/>
        <v>0.23816196651155269</v>
      </c>
      <c r="K53" s="294">
        <f t="shared" si="39"/>
        <v>0.36650903355064224</v>
      </c>
      <c r="L53" s="178"/>
    </row>
    <row r="54" spans="1:13">
      <c r="A54" s="365"/>
      <c r="B54" s="2"/>
      <c r="C54" s="155"/>
      <c r="D54" s="114"/>
      <c r="E54" s="115"/>
      <c r="F54" s="115"/>
      <c r="G54" s="115"/>
      <c r="H54" s="115"/>
      <c r="J54" s="178"/>
      <c r="K54" s="178"/>
      <c r="L54" s="170"/>
    </row>
    <row r="55" spans="1:13" s="137" customFormat="1">
      <c r="A55" s="365"/>
      <c r="B55" s="136" t="s">
        <v>161</v>
      </c>
      <c r="C55" s="162">
        <f>BS!C10</f>
        <v>3227</v>
      </c>
      <c r="D55" s="226">
        <f>BS!D10</f>
        <v>3905</v>
      </c>
      <c r="E55" s="226">
        <f>BS!E10</f>
        <v>4775</v>
      </c>
      <c r="F55" s="226">
        <f>BS!F10</f>
        <v>5625</v>
      </c>
      <c r="G55" s="226">
        <f>BS!G10</f>
        <v>5713</v>
      </c>
      <c r="H55" s="226">
        <f>BS!H10</f>
        <v>6053</v>
      </c>
      <c r="J55" s="257"/>
      <c r="K55" s="257"/>
      <c r="L55" s="219"/>
      <c r="M55" s="469"/>
    </row>
    <row r="56" spans="1:13">
      <c r="A56" s="365"/>
      <c r="B56" s="113" t="s">
        <v>50</v>
      </c>
      <c r="C56" s="177">
        <f t="shared" ref="C56:H56" si="40">C55/C$6</f>
        <v>0.91081004798193621</v>
      </c>
      <c r="D56" s="177">
        <f>D55/D$6</f>
        <v>0.97673836918459234</v>
      </c>
      <c r="E56" s="177">
        <f t="shared" si="40"/>
        <v>1.1156542056074767</v>
      </c>
      <c r="F56" s="177">
        <f t="shared" si="40"/>
        <v>1.3619854721549636</v>
      </c>
      <c r="G56" s="177">
        <f t="shared" si="40"/>
        <v>1.2202050405809484</v>
      </c>
      <c r="H56" s="177">
        <f t="shared" si="40"/>
        <v>1.208183632734531</v>
      </c>
      <c r="J56" s="178">
        <f>AVERAGE(C56:H56)</f>
        <v>1.1322627947074082</v>
      </c>
      <c r="K56" s="178">
        <f t="shared" ref="K56" si="41">MEDIAN(C56:H56)</f>
        <v>1.1619189191710038</v>
      </c>
      <c r="L56" s="178"/>
    </row>
    <row r="57" spans="1:13">
      <c r="A57" s="365"/>
      <c r="B57" s="113" t="s">
        <v>48</v>
      </c>
      <c r="C57" s="215"/>
      <c r="D57" s="177">
        <f>(D55-C55)/C55</f>
        <v>0.21010226216299968</v>
      </c>
      <c r="E57" s="177">
        <f>(E55-D55)/D55</f>
        <v>0.22279129321382843</v>
      </c>
      <c r="F57" s="177">
        <f>(F55-E55)/E55</f>
        <v>0.17801047120418848</v>
      </c>
      <c r="G57" s="177">
        <f>(G55-F55)/F55</f>
        <v>1.5644444444444443E-2</v>
      </c>
      <c r="H57" s="177">
        <f>(H55-G55)/G55</f>
        <v>5.9513390512865395E-2</v>
      </c>
      <c r="J57" s="178">
        <f t="shared" ref="J57:J58" si="42">AVERAGE(D57:H57)</f>
        <v>0.13721237230766531</v>
      </c>
      <c r="K57" s="178">
        <f t="shared" ref="K57:K58" si="43">MEDIAN(D57:H57)</f>
        <v>0.17801047120418848</v>
      </c>
      <c r="L57" s="178"/>
    </row>
    <row r="58" spans="1:13" ht="15" thickBot="1">
      <c r="A58" s="365"/>
      <c r="B58" s="290" t="s">
        <v>49</v>
      </c>
      <c r="C58" s="290"/>
      <c r="D58" s="291">
        <f>(D55/$C55)^(1/D$4)-1</f>
        <v>0.21010226216299976</v>
      </c>
      <c r="E58" s="291">
        <f>(E55/$C55)^(1/E$4)-1</f>
        <v>0.21643023230733371</v>
      </c>
      <c r="F58" s="291">
        <f>(F55/$C55)^(1/F$4)-1</f>
        <v>0.20348640064625934</v>
      </c>
      <c r="G58" s="291">
        <f>(G55/$C55)^(1/G$4)-1</f>
        <v>0.15349658914759234</v>
      </c>
      <c r="H58" s="291">
        <f>(H55/$C55)^(1/H$4)-1</f>
        <v>0.13405558489659297</v>
      </c>
      <c r="J58" s="295">
        <f t="shared" si="42"/>
        <v>0.18351421383215563</v>
      </c>
      <c r="K58" s="294">
        <f t="shared" si="43"/>
        <v>0.20348640064625934</v>
      </c>
      <c r="L58" s="178"/>
    </row>
    <row r="59" spans="1:13" s="423" customFormat="1">
      <c r="A59" s="365"/>
      <c r="B59" s="172"/>
      <c r="C59" s="172"/>
      <c r="D59" s="117"/>
      <c r="E59" s="118"/>
      <c r="F59" s="118"/>
      <c r="G59" s="118"/>
      <c r="H59" s="118"/>
      <c r="J59" s="178"/>
      <c r="K59" s="178"/>
      <c r="L59" s="170"/>
      <c r="M59" s="469"/>
    </row>
    <row r="60" spans="1:13" s="252" customFormat="1">
      <c r="A60" s="397"/>
      <c r="B60" s="136" t="s">
        <v>253</v>
      </c>
      <c r="C60" s="226">
        <f>BS!C15</f>
        <v>4495</v>
      </c>
      <c r="D60" s="226">
        <f>BS!D15</f>
        <v>5553</v>
      </c>
      <c r="E60" s="226">
        <f>BS!E15</f>
        <v>6412</v>
      </c>
      <c r="F60" s="226">
        <f>BS!F15</f>
        <v>7251</v>
      </c>
      <c r="G60" s="226">
        <f>BS!G15</f>
        <v>7201</v>
      </c>
      <c r="H60" s="226">
        <f>BS!H15</f>
        <v>7370</v>
      </c>
      <c r="J60" s="257"/>
      <c r="K60" s="257"/>
      <c r="L60" s="251"/>
      <c r="M60" s="469"/>
    </row>
    <row r="61" spans="1:13" s="423" customFormat="1">
      <c r="A61" s="365"/>
      <c r="B61" s="216" t="s">
        <v>50</v>
      </c>
      <c r="C61" s="180">
        <f t="shared" ref="C61" si="44">C60/C$6</f>
        <v>1.2686988427885972</v>
      </c>
      <c r="D61" s="180">
        <f>D60/D$6</f>
        <v>1.3889444722361182</v>
      </c>
      <c r="E61" s="180">
        <f>E60/E$6</f>
        <v>1.4981308411214953</v>
      </c>
      <c r="F61" s="180">
        <f>F60/F$6</f>
        <v>1.7556900726392253</v>
      </c>
      <c r="G61" s="180">
        <f>G60/G$6</f>
        <v>1.538017941050833</v>
      </c>
      <c r="H61" s="180">
        <f>H60/H$6</f>
        <v>1.4710578842315369</v>
      </c>
      <c r="J61" s="178">
        <f>AVERAGE(C61:H61)</f>
        <v>1.4867566756779675</v>
      </c>
      <c r="K61" s="178">
        <f t="shared" ref="K61" si="45">MEDIAN(C61:H61)</f>
        <v>1.4845943626765161</v>
      </c>
      <c r="L61" s="178"/>
      <c r="M61" s="469"/>
    </row>
    <row r="62" spans="1:13" s="423" customFormat="1">
      <c r="A62" s="365"/>
      <c r="B62" s="216" t="s">
        <v>48</v>
      </c>
      <c r="C62" s="216"/>
      <c r="D62" s="177">
        <f>(D60-C60)/C60</f>
        <v>0.2353726362625139</v>
      </c>
      <c r="E62" s="177">
        <f>(E60-D60)/D60</f>
        <v>0.15469115793264901</v>
      </c>
      <c r="F62" s="177">
        <f>(F60-E60)/E60</f>
        <v>0.1308484092326887</v>
      </c>
      <c r="G62" s="177">
        <f>(G60-F60)/F60</f>
        <v>-6.8956006068128534E-3</v>
      </c>
      <c r="H62" s="177">
        <f>(H60-G60)/G60</f>
        <v>2.3468962644077211E-2</v>
      </c>
      <c r="J62" s="178">
        <f>AVERAGE(D62:H62)</f>
        <v>0.10749711309302319</v>
      </c>
      <c r="K62" s="178">
        <f t="shared" ref="K62:K63" si="46">MEDIAN(D62:H62)</f>
        <v>0.1308484092326887</v>
      </c>
      <c r="L62" s="178"/>
      <c r="M62" s="469"/>
    </row>
    <row r="63" spans="1:13" s="423" customFormat="1" ht="15" thickBot="1">
      <c r="A63" s="365"/>
      <c r="B63" s="293" t="s">
        <v>49</v>
      </c>
      <c r="C63" s="293"/>
      <c r="D63" s="291">
        <f>(D60/$C60)^(1/D$4)-1</f>
        <v>0.23537263626251392</v>
      </c>
      <c r="E63" s="291">
        <f>(E60/$C60)^(1/E$4)-1</f>
        <v>0.19435081104517682</v>
      </c>
      <c r="F63" s="291">
        <f>(F60/$C60)^(1/F$4)-1</f>
        <v>0.1727967028788131</v>
      </c>
      <c r="G63" s="291">
        <f>(G60/$C60)^(1/G$4)-1</f>
        <v>0.12503433966341215</v>
      </c>
      <c r="H63" s="291">
        <f>(H60/$C60)^(1/H$4)-1</f>
        <v>0.10394530897460741</v>
      </c>
      <c r="J63" s="295">
        <f t="shared" ref="J63" si="47">AVERAGE(D63:H63)</f>
        <v>0.16629995976490469</v>
      </c>
      <c r="K63" s="294">
        <f t="shared" si="46"/>
        <v>0.1727967028788131</v>
      </c>
      <c r="L63" s="178"/>
      <c r="M63" s="469"/>
    </row>
    <row r="64" spans="1:13" s="169" customFormat="1">
      <c r="A64" s="365"/>
      <c r="B64" s="172"/>
      <c r="C64" s="172"/>
      <c r="D64" s="117"/>
      <c r="E64" s="118"/>
      <c r="F64" s="118"/>
      <c r="G64" s="118"/>
      <c r="H64" s="118"/>
      <c r="J64" s="178"/>
      <c r="K64" s="178"/>
      <c r="L64" s="170"/>
      <c r="M64" s="469"/>
    </row>
    <row r="65" spans="1:13" s="252" customFormat="1">
      <c r="A65" s="397"/>
      <c r="B65" s="136" t="s">
        <v>264</v>
      </c>
      <c r="C65" s="226">
        <f>BS!C19</f>
        <v>0</v>
      </c>
      <c r="D65" s="226">
        <f>BS!D19</f>
        <v>0</v>
      </c>
      <c r="E65" s="226">
        <f>BS!E19</f>
        <v>0</v>
      </c>
      <c r="F65" s="226">
        <f>BS!F19</f>
        <v>0</v>
      </c>
      <c r="G65" s="226">
        <f>BS!G19</f>
        <v>0</v>
      </c>
      <c r="H65" s="226">
        <f>BS!H19</f>
        <v>1413</v>
      </c>
      <c r="J65" s="257"/>
      <c r="K65" s="257"/>
      <c r="L65" s="251"/>
      <c r="M65" s="469"/>
    </row>
    <row r="66" spans="1:13" s="169" customFormat="1">
      <c r="A66" s="365"/>
      <c r="B66" s="216" t="s">
        <v>265</v>
      </c>
      <c r="C66" s="180">
        <f t="shared" ref="C66:H66" si="48">C65/C$60</f>
        <v>0</v>
      </c>
      <c r="D66" s="180">
        <f t="shared" si="48"/>
        <v>0</v>
      </c>
      <c r="E66" s="180">
        <f t="shared" si="48"/>
        <v>0</v>
      </c>
      <c r="F66" s="180">
        <f t="shared" si="48"/>
        <v>0</v>
      </c>
      <c r="G66" s="180">
        <f t="shared" si="48"/>
        <v>0</v>
      </c>
      <c r="H66" s="180">
        <f t="shared" si="48"/>
        <v>0.19172320217096336</v>
      </c>
      <c r="J66" s="178">
        <f>AVERAGE(C66:H66)</f>
        <v>3.1953867028493892E-2</v>
      </c>
      <c r="K66" s="178">
        <f t="shared" ref="K66" si="49">MEDIAN(C66:H66)</f>
        <v>0</v>
      </c>
      <c r="L66" s="178"/>
      <c r="M66" s="469"/>
    </row>
    <row r="67" spans="1:13" s="169" customFormat="1">
      <c r="A67" s="365"/>
      <c r="B67" s="216" t="s">
        <v>48</v>
      </c>
      <c r="C67" s="216"/>
      <c r="D67" s="177" t="e">
        <f>(D65-C65)/C65</f>
        <v>#DIV/0!</v>
      </c>
      <c r="E67" s="177" t="e">
        <f>(E65-D65)/D65</f>
        <v>#DIV/0!</v>
      </c>
      <c r="F67" s="177" t="e">
        <f>(F65-E65)/E65</f>
        <v>#DIV/0!</v>
      </c>
      <c r="G67" s="177" t="e">
        <f>(G65-F65)/F65</f>
        <v>#DIV/0!</v>
      </c>
      <c r="H67" s="177" t="e">
        <f>(H65-G65)/G65</f>
        <v>#DIV/0!</v>
      </c>
      <c r="J67" s="178" t="e">
        <f>AVERAGE(D67:H67)</f>
        <v>#DIV/0!</v>
      </c>
      <c r="K67" s="178" t="e">
        <f t="shared" ref="K67:K68" si="50">MEDIAN(D67:H67)</f>
        <v>#DIV/0!</v>
      </c>
      <c r="L67" s="178"/>
      <c r="M67" s="469"/>
    </row>
    <row r="68" spans="1:13" s="169" customFormat="1" ht="15" thickBot="1">
      <c r="A68" s="365"/>
      <c r="B68" s="293" t="s">
        <v>49</v>
      </c>
      <c r="C68" s="293"/>
      <c r="D68" s="291" t="e">
        <f>(D65/$C65)^(1/D$4)-1</f>
        <v>#DIV/0!</v>
      </c>
      <c r="E68" s="291" t="e">
        <f>(E65/$C65)^(1/E$4)-1</f>
        <v>#DIV/0!</v>
      </c>
      <c r="F68" s="291" t="e">
        <f>(F65/$C65)^(1/F$4)-1</f>
        <v>#DIV/0!</v>
      </c>
      <c r="G68" s="291" t="e">
        <f>(G65/$C65)^(1/G$4)-1</f>
        <v>#DIV/0!</v>
      </c>
      <c r="H68" s="291" t="e">
        <f>(H65/$C65)^(1/H$4)-1</f>
        <v>#DIV/0!</v>
      </c>
      <c r="J68" s="295" t="e">
        <f t="shared" ref="J68" si="51">AVERAGE(D68:H68)</f>
        <v>#DIV/0!</v>
      </c>
      <c r="K68" s="294" t="e">
        <f t="shared" si="50"/>
        <v>#DIV/0!</v>
      </c>
      <c r="L68" s="178"/>
      <c r="M68" s="469"/>
    </row>
    <row r="69" spans="1:13">
      <c r="A69" s="365"/>
      <c r="B69" s="2"/>
      <c r="C69" s="155"/>
      <c r="D69" s="114"/>
      <c r="E69" s="115"/>
      <c r="F69" s="115"/>
      <c r="G69" s="115"/>
      <c r="H69" s="115"/>
      <c r="J69" s="178"/>
      <c r="K69" s="178"/>
      <c r="L69" s="170"/>
    </row>
    <row r="70" spans="1:13" s="137" customFormat="1">
      <c r="A70" s="365"/>
      <c r="B70" s="136" t="s">
        <v>54</v>
      </c>
      <c r="C70" s="164">
        <f>BS!C4</f>
        <v>665</v>
      </c>
      <c r="D70" s="164">
        <f>BS!D4</f>
        <v>668</v>
      </c>
      <c r="E70" s="164">
        <f>BS!E4</f>
        <v>733</v>
      </c>
      <c r="F70" s="164">
        <f>BS!F4</f>
        <v>1152</v>
      </c>
      <c r="G70" s="164">
        <f>BS!G4</f>
        <v>497</v>
      </c>
      <c r="H70" s="164">
        <f>BS!H4</f>
        <v>596</v>
      </c>
      <c r="J70" s="257"/>
      <c r="K70" s="257"/>
      <c r="L70" s="219"/>
      <c r="M70" s="469"/>
    </row>
    <row r="71" spans="1:13">
      <c r="A71" s="365"/>
      <c r="B71" s="113" t="s">
        <v>55</v>
      </c>
      <c r="C71" s="177">
        <f>C70/C$55</f>
        <v>0.20607375271149675</v>
      </c>
      <c r="D71" s="177">
        <f t="shared" ref="D71:H71" si="52">D70/D$55</f>
        <v>0.17106274007682459</v>
      </c>
      <c r="E71" s="177">
        <f>E70/E$55</f>
        <v>0.15350785340314135</v>
      </c>
      <c r="F71" s="177">
        <f t="shared" si="52"/>
        <v>0.20480000000000001</v>
      </c>
      <c r="G71" s="177">
        <f t="shared" si="52"/>
        <v>8.6994573779100304E-2</v>
      </c>
      <c r="H71" s="177">
        <f t="shared" si="52"/>
        <v>9.8463571782587148E-2</v>
      </c>
      <c r="J71" s="178">
        <f>AVERAGE(C71:H71)</f>
        <v>0.15348374862552502</v>
      </c>
      <c r="K71" s="178">
        <f>MEDIAN(C71:H71)</f>
        <v>0.16228529673998299</v>
      </c>
      <c r="L71" s="178"/>
    </row>
    <row r="72" spans="1:13">
      <c r="A72" s="365"/>
      <c r="B72" s="113" t="s">
        <v>50</v>
      </c>
      <c r="C72" s="177">
        <f>C70/C$6</f>
        <v>0.18769404459497602</v>
      </c>
      <c r="D72" s="177">
        <f>D70/D$6</f>
        <v>0.16708354177088544</v>
      </c>
      <c r="E72" s="17">
        <f>E70/E$6</f>
        <v>0.17126168224299065</v>
      </c>
      <c r="F72" s="17">
        <f t="shared" ref="F72:H72" si="53">F70/F$6</f>
        <v>0.27893462469733654</v>
      </c>
      <c r="G72" s="17">
        <f t="shared" si="53"/>
        <v>0.10615121742844938</v>
      </c>
      <c r="H72" s="17">
        <f t="shared" si="53"/>
        <v>0.11896207584830339</v>
      </c>
      <c r="J72" s="178">
        <f t="shared" ref="J72:J74" si="54">AVERAGE(D72:H72)</f>
        <v>0.16847862839759309</v>
      </c>
      <c r="K72" s="178">
        <f t="shared" ref="K72:K74" si="55">MEDIAN(D72:H72)</f>
        <v>0.16708354177088544</v>
      </c>
      <c r="L72" s="178"/>
    </row>
    <row r="73" spans="1:13">
      <c r="A73" s="365"/>
      <c r="B73" s="113" t="s">
        <v>48</v>
      </c>
      <c r="C73" s="156"/>
      <c r="D73" s="177">
        <f>(D70-C70)/C70</f>
        <v>4.5112781954887221E-3</v>
      </c>
      <c r="E73" s="177">
        <f>(E70-D70)/D70</f>
        <v>9.730538922155689E-2</v>
      </c>
      <c r="F73" s="177">
        <f t="shared" ref="F73:H73" si="56">(F70-E70)/E70</f>
        <v>0.57162346521145979</v>
      </c>
      <c r="G73" s="177">
        <f t="shared" si="56"/>
        <v>-0.56857638888888884</v>
      </c>
      <c r="H73" s="177">
        <f t="shared" si="56"/>
        <v>0.19919517102615694</v>
      </c>
      <c r="J73" s="178">
        <f t="shared" si="54"/>
        <v>6.0811782953154703E-2</v>
      </c>
      <c r="K73" s="178">
        <f t="shared" si="55"/>
        <v>9.730538922155689E-2</v>
      </c>
      <c r="L73" s="178"/>
    </row>
    <row r="74" spans="1:13" ht="15" thickBot="1">
      <c r="A74" s="365"/>
      <c r="B74" s="290" t="s">
        <v>49</v>
      </c>
      <c r="C74" s="290"/>
      <c r="D74" s="291">
        <f>(D70/$C70)^(1/D$4)-1</f>
        <v>4.5112781954887993E-3</v>
      </c>
      <c r="E74" s="291">
        <f t="shared" ref="E74:H74" si="57">(E70/$C70)^(1/E$4)-1</f>
        <v>4.9883631217166879E-2</v>
      </c>
      <c r="F74" s="291">
        <f t="shared" si="57"/>
        <v>0.20100166991417368</v>
      </c>
      <c r="G74" s="291">
        <f t="shared" si="57"/>
        <v>-7.0212537258854235E-2</v>
      </c>
      <c r="H74" s="291">
        <f t="shared" si="57"/>
        <v>-2.1671009801592866E-2</v>
      </c>
      <c r="J74" s="295">
        <f t="shared" si="54"/>
        <v>3.2702606453276453E-2</v>
      </c>
      <c r="K74" s="294">
        <f t="shared" si="55"/>
        <v>4.5112781954887993E-3</v>
      </c>
      <c r="L74" s="178"/>
    </row>
    <row r="75" spans="1:13" s="165" customFormat="1">
      <c r="A75" s="365"/>
      <c r="B75" s="168"/>
      <c r="C75" s="168"/>
      <c r="D75" s="166"/>
      <c r="E75" s="167"/>
      <c r="F75" s="167"/>
      <c r="G75" s="167"/>
      <c r="H75" s="167"/>
      <c r="J75" s="178"/>
      <c r="K75" s="178"/>
      <c r="L75" s="178"/>
      <c r="M75" s="469"/>
    </row>
    <row r="76" spans="1:13">
      <c r="A76" s="365"/>
      <c r="B76" s="2"/>
      <c r="C76" s="155"/>
      <c r="D76" s="2"/>
      <c r="E76" s="2"/>
      <c r="F76" s="2"/>
      <c r="G76" s="2"/>
      <c r="H76" s="2"/>
      <c r="J76" s="2"/>
      <c r="K76" s="2"/>
      <c r="L76" s="170"/>
    </row>
    <row r="77" spans="1:13">
      <c r="A77" s="365"/>
      <c r="B77" s="231" t="s">
        <v>149</v>
      </c>
      <c r="C77" s="232">
        <v>2010</v>
      </c>
      <c r="D77" s="232">
        <v>2011</v>
      </c>
      <c r="E77" s="232">
        <v>2012</v>
      </c>
      <c r="F77" s="232">
        <v>2013</v>
      </c>
      <c r="G77" s="232">
        <v>2014</v>
      </c>
      <c r="H77" s="232">
        <v>2015</v>
      </c>
      <c r="I77" s="232">
        <v>2016</v>
      </c>
      <c r="J77" s="172"/>
      <c r="K77" s="172"/>
      <c r="L77" s="172"/>
    </row>
    <row r="78" spans="1:13" ht="12" customHeight="1">
      <c r="A78" s="365"/>
      <c r="B78" s="230" t="s">
        <v>154</v>
      </c>
      <c r="C78" s="212"/>
      <c r="D78" s="234">
        <v>1</v>
      </c>
      <c r="E78" s="235">
        <v>2</v>
      </c>
      <c r="F78" s="179">
        <v>3</v>
      </c>
      <c r="G78" s="235">
        <v>4</v>
      </c>
      <c r="H78" s="179">
        <v>5</v>
      </c>
      <c r="I78" s="179">
        <v>6</v>
      </c>
      <c r="J78" s="228"/>
      <c r="K78" s="176"/>
      <c r="L78" s="176"/>
    </row>
    <row r="79" spans="1:13" s="175" customFormat="1" ht="15.6" customHeight="1" thickBot="1">
      <c r="A79" s="367"/>
      <c r="B79" s="375" t="s">
        <v>155</v>
      </c>
      <c r="C79" s="236">
        <v>-0.12</v>
      </c>
      <c r="D79" s="229">
        <f>IS!C18</f>
        <v>0.44</v>
      </c>
      <c r="E79" s="229">
        <f>IS!D18</f>
        <v>0.96</v>
      </c>
      <c r="F79" s="229">
        <f>IS!E18</f>
        <v>0.91</v>
      </c>
      <c r="G79" s="229">
        <f>IS!F18</f>
        <v>0.75</v>
      </c>
      <c r="H79" s="229">
        <f>IS!G18</f>
        <v>1.1399999999999999</v>
      </c>
      <c r="I79" s="229">
        <v>0.28999999999999998</v>
      </c>
      <c r="J79" s="180"/>
      <c r="K79" s="180"/>
      <c r="L79" s="180"/>
      <c r="M79" s="469"/>
    </row>
    <row r="80" spans="1:13" ht="15" thickBot="1">
      <c r="B80" s="216" t="s">
        <v>48</v>
      </c>
      <c r="C80" s="216"/>
      <c r="D80" s="181">
        <f>(C79-D79)/D79</f>
        <v>-1.2727272727272729</v>
      </c>
      <c r="E80" s="181">
        <f t="shared" ref="E80:I80" si="58">(D79-E79)/E79</f>
        <v>-0.54166666666666674</v>
      </c>
      <c r="F80" s="181">
        <f t="shared" si="58"/>
        <v>5.4945054945054868E-2</v>
      </c>
      <c r="G80" s="181">
        <f t="shared" si="58"/>
        <v>0.21333333333333337</v>
      </c>
      <c r="H80" s="181">
        <f t="shared" si="58"/>
        <v>-0.34210526315789469</v>
      </c>
      <c r="I80" s="181">
        <f t="shared" si="58"/>
        <v>2.9310344827586206</v>
      </c>
      <c r="J80" s="281" t="s">
        <v>46</v>
      </c>
      <c r="K80" s="280">
        <f>AVERAGE(D80:I80)</f>
        <v>0.17380227808086243</v>
      </c>
      <c r="L80" s="181"/>
    </row>
    <row r="81" spans="1:19" s="169" customFormat="1">
      <c r="A81" s="367"/>
      <c r="B81" s="233" t="s">
        <v>49</v>
      </c>
      <c r="C81" s="233"/>
      <c r="D81" s="271">
        <f>(D79/$C$79)^(1/D$78)-1</f>
        <v>-4.666666666666667</v>
      </c>
      <c r="E81" s="271" t="e">
        <f>(E79/$C$79)^(1/E$78)-1</f>
        <v>#NUM!</v>
      </c>
      <c r="F81" s="271">
        <f t="shared" ref="F81:I81" si="59">(F79/$C$79)^(1/F$78)-1</f>
        <v>-2.9646568890601781</v>
      </c>
      <c r="G81" s="271" t="e">
        <f t="shared" si="59"/>
        <v>#NUM!</v>
      </c>
      <c r="H81" s="271">
        <f t="shared" si="59"/>
        <v>-2.5687174265360495</v>
      </c>
      <c r="I81" s="271" t="e">
        <f t="shared" si="59"/>
        <v>#NUM!</v>
      </c>
      <c r="J81" s="180"/>
      <c r="K81" s="181"/>
      <c r="L81" s="181"/>
      <c r="M81" s="469"/>
    </row>
    <row r="82" spans="1:19" s="169" customFormat="1">
      <c r="A82" s="367"/>
      <c r="B82" s="375" t="s">
        <v>33</v>
      </c>
      <c r="C82" s="236">
        <v>-0.12</v>
      </c>
      <c r="D82" s="228">
        <f>IS!C19</f>
        <v>0.43</v>
      </c>
      <c r="E82" s="228">
        <f>IS!D19</f>
        <v>0.94</v>
      </c>
      <c r="F82" s="228">
        <f>IS!E19</f>
        <v>0.9</v>
      </c>
      <c r="G82" s="228">
        <f>IS!F19</f>
        <v>0.74</v>
      </c>
      <c r="H82" s="228">
        <f>IS!G19</f>
        <v>1.1200000000000001</v>
      </c>
      <c r="I82" s="228">
        <f>IS!H19</f>
        <v>1.08</v>
      </c>
      <c r="J82" s="180"/>
      <c r="K82" s="181"/>
      <c r="L82" s="181"/>
      <c r="M82" s="469"/>
    </row>
    <row r="83" spans="1:19" s="169" customFormat="1">
      <c r="A83" s="367"/>
      <c r="B83" s="216" t="s">
        <v>48</v>
      </c>
      <c r="C83" s="216"/>
      <c r="D83" s="272">
        <f>(C82-D82)/D82</f>
        <v>-1.2790697674418605</v>
      </c>
      <c r="E83" s="272">
        <f t="shared" ref="E83:I83" si="60">(D82-E82)/E82</f>
        <v>-0.54255319148936176</v>
      </c>
      <c r="F83" s="272">
        <f t="shared" si="60"/>
        <v>4.4444444444444363E-2</v>
      </c>
      <c r="G83" s="272">
        <f t="shared" si="60"/>
        <v>0.21621621621621626</v>
      </c>
      <c r="H83" s="272">
        <f t="shared" si="60"/>
        <v>-0.33928571428571436</v>
      </c>
      <c r="I83" s="272">
        <f t="shared" si="60"/>
        <v>3.703703703703707E-2</v>
      </c>
      <c r="J83" s="180"/>
      <c r="K83" s="181"/>
      <c r="L83" s="181"/>
      <c r="M83" s="469"/>
    </row>
    <row r="84" spans="1:19" s="169" customFormat="1">
      <c r="A84" s="367"/>
      <c r="B84" s="216" t="s">
        <v>49</v>
      </c>
      <c r="C84" s="216"/>
      <c r="D84" s="274">
        <f>(D82/$C$82)^(1/D$78)-1</f>
        <v>-4.5833333333333339</v>
      </c>
      <c r="E84" s="274" t="e">
        <f t="shared" ref="E84:I84" si="61">(E82/$C$82)^(1/E$78)-1</f>
        <v>#NUM!</v>
      </c>
      <c r="F84" s="274">
        <f t="shared" si="61"/>
        <v>-2.9574338205844315</v>
      </c>
      <c r="G84" s="274" t="e">
        <f t="shared" si="61"/>
        <v>#NUM!</v>
      </c>
      <c r="H84" s="274">
        <f t="shared" si="61"/>
        <v>-2.5631741167409308</v>
      </c>
      <c r="I84" s="274" t="e">
        <f t="shared" si="61"/>
        <v>#NUM!</v>
      </c>
      <c r="J84" s="180"/>
      <c r="K84" s="181"/>
      <c r="L84" s="181"/>
      <c r="M84" s="469"/>
    </row>
    <row r="85" spans="1:19">
      <c r="B85" s="378" t="s">
        <v>164</v>
      </c>
      <c r="C85" s="268"/>
      <c r="D85" s="269">
        <f>IS!C20</f>
        <v>575</v>
      </c>
      <c r="E85" s="269">
        <f>IS!D20</f>
        <v>604</v>
      </c>
      <c r="F85" s="269">
        <f>IS!E20</f>
        <v>619</v>
      </c>
      <c r="G85" s="269">
        <f>IS!F20</f>
        <v>588</v>
      </c>
      <c r="H85" s="269">
        <f>IS!G20</f>
        <v>552</v>
      </c>
      <c r="I85" s="269">
        <f>IS!H20</f>
        <v>543</v>
      </c>
      <c r="J85" s="172"/>
      <c r="K85" s="172"/>
      <c r="L85" s="172"/>
      <c r="S85" t="s">
        <v>150</v>
      </c>
    </row>
    <row r="86" spans="1:19" s="169" customFormat="1">
      <c r="A86" s="367"/>
      <c r="B86" s="216" t="s">
        <v>48</v>
      </c>
      <c r="C86" s="172"/>
      <c r="D86" s="176"/>
      <c r="E86" s="273">
        <f t="shared" ref="E86:H86" si="62">(D85-E85)/E85</f>
        <v>-4.8013245033112585E-2</v>
      </c>
      <c r="F86" s="273">
        <f t="shared" si="62"/>
        <v>-2.4232633279483037E-2</v>
      </c>
      <c r="G86" s="273">
        <f t="shared" si="62"/>
        <v>5.2721088435374153E-2</v>
      </c>
      <c r="H86" s="273">
        <f t="shared" si="62"/>
        <v>6.5217391304347824E-2</v>
      </c>
      <c r="I86" s="273">
        <f>(H85-I85)/I85</f>
        <v>1.6574585635359115E-2</v>
      </c>
      <c r="J86" s="172"/>
      <c r="K86" s="172"/>
      <c r="L86" s="172"/>
      <c r="M86" s="469"/>
    </row>
    <row r="87" spans="1:19" s="169" customFormat="1">
      <c r="A87" s="367"/>
      <c r="B87" s="216" t="s">
        <v>49</v>
      </c>
      <c r="C87" s="172"/>
      <c r="D87" s="176"/>
      <c r="E87" s="273">
        <f>(E85/$D$85)^(1/E$78)-1</f>
        <v>2.4907206828352679E-2</v>
      </c>
      <c r="F87" s="273">
        <f>(F85/$D$85)^(1/F$78)-1</f>
        <v>2.4882949673493693E-2</v>
      </c>
      <c r="G87" s="273">
        <f>(G85/$D$85)^(1/G$78)-1</f>
        <v>5.6048756447342196E-3</v>
      </c>
      <c r="H87" s="273">
        <f>(H85/$D$85)^(1/H$78)-1</f>
        <v>-8.1311607174336942E-3</v>
      </c>
      <c r="I87" s="273">
        <f>(I85/$D$85)^(1/I$78)-1</f>
        <v>-9.4980592457828417E-3</v>
      </c>
      <c r="J87" s="172"/>
      <c r="K87" s="172"/>
      <c r="L87" s="172"/>
      <c r="M87" s="469"/>
    </row>
    <row r="88" spans="1:19" ht="47.4" customHeight="1">
      <c r="B88" s="2"/>
      <c r="C88" s="172"/>
      <c r="D88" s="2"/>
      <c r="E88" s="2"/>
      <c r="F88" s="2"/>
      <c r="G88" s="2"/>
      <c r="H88" s="2"/>
      <c r="J88" s="2"/>
      <c r="K88" s="2"/>
      <c r="L88" s="170"/>
    </row>
    <row r="89" spans="1:19" s="482" customFormat="1" ht="48.6" customHeight="1">
      <c r="A89" s="481"/>
    </row>
    <row r="90" spans="1:19" ht="10.65" customHeight="1"/>
  </sheetData>
  <pageMargins left="0.75" right="0.75" top="1" bottom="1" header="0.5" footer="0.5"/>
  <pageSetup orientation="portrait" horizontalDpi="4294967292" verticalDpi="4294967292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autoPageBreaks="0"/>
  </sheetPr>
  <dimension ref="A1:Z65"/>
  <sheetViews>
    <sheetView showGridLines="0" zoomScale="80" zoomScaleNormal="80" zoomScalePageLayoutView="60" workbookViewId="0">
      <pane xSplit="1" ySplit="1" topLeftCell="B20" activePane="bottomRight" state="frozen"/>
      <selection pane="topRight" activeCell="B1" sqref="B1"/>
      <selection pane="bottomLeft" activeCell="A7" sqref="A7"/>
      <selection pane="bottomRight" activeCell="E52" sqref="E52"/>
    </sheetView>
  </sheetViews>
  <sheetFormatPr defaultColWidth="8.6640625" defaultRowHeight="14.4" outlineLevelRow="1"/>
  <cols>
    <col min="1" max="1" width="3.33203125" style="367" customWidth="1"/>
    <col min="2" max="3" width="1.109375" style="175" customWidth="1"/>
    <col min="4" max="4" width="34.44140625" bestFit="1" customWidth="1"/>
    <col min="5" max="5" width="15.33203125" bestFit="1" customWidth="1"/>
    <col min="6" max="9" width="13.44140625" bestFit="1" customWidth="1"/>
    <col min="10" max="10" width="13.109375" customWidth="1"/>
    <col min="11" max="11" width="16.44140625" bestFit="1" customWidth="1"/>
    <col min="12" max="15" width="17.6640625" bestFit="1" customWidth="1"/>
    <col min="16" max="16" width="13.109375" customWidth="1"/>
    <col min="17" max="17" width="17.33203125" customWidth="1"/>
    <col min="18" max="18" width="16" customWidth="1"/>
    <col min="19" max="19" width="11.44140625" bestFit="1" customWidth="1"/>
    <col min="20" max="20" width="17.88671875" style="15" customWidth="1"/>
    <col min="22" max="22" width="8.6640625" style="455"/>
  </cols>
  <sheetData>
    <row r="1" spans="1:26" s="367" customFormat="1" ht="18" customHeight="1">
      <c r="A1" s="365"/>
      <c r="D1" s="365"/>
      <c r="E1" s="365"/>
      <c r="F1" s="365"/>
      <c r="G1" s="365"/>
      <c r="H1" s="365"/>
      <c r="I1" s="365"/>
      <c r="J1" s="365"/>
      <c r="K1" s="365"/>
      <c r="L1" s="365"/>
      <c r="M1" s="365"/>
      <c r="N1" s="365"/>
      <c r="O1" s="368"/>
      <c r="P1" s="365"/>
      <c r="Q1" s="365"/>
      <c r="R1" s="365"/>
    </row>
    <row r="2" spans="1:26">
      <c r="D2" s="337"/>
      <c r="E2" s="185"/>
      <c r="F2" s="185"/>
      <c r="G2" s="185"/>
      <c r="H2" s="185"/>
      <c r="I2" s="185"/>
      <c r="J2" s="185"/>
      <c r="K2" s="185"/>
      <c r="L2" s="185"/>
      <c r="M2" s="185"/>
      <c r="N2" s="185"/>
      <c r="O2" s="185"/>
      <c r="P2" s="37"/>
      <c r="Q2" s="37"/>
      <c r="R2" s="38"/>
      <c r="S2" s="37"/>
    </row>
    <row r="3" spans="1:26">
      <c r="D3" s="336"/>
      <c r="E3" s="186"/>
      <c r="F3" s="186"/>
      <c r="G3" s="186"/>
      <c r="H3" s="186"/>
      <c r="I3" s="186"/>
      <c r="J3" s="186"/>
      <c r="K3" s="377"/>
      <c r="L3" s="377"/>
      <c r="M3" s="377"/>
      <c r="N3" s="377"/>
      <c r="O3" s="377"/>
      <c r="P3" s="37"/>
      <c r="Q3" s="2"/>
      <c r="R3" s="38"/>
      <c r="S3" s="37"/>
    </row>
    <row r="4" spans="1:26" ht="15" thickBot="1">
      <c r="D4" s="337" t="s">
        <v>137</v>
      </c>
      <c r="E4" s="185"/>
      <c r="F4" s="185"/>
      <c r="G4" s="185"/>
      <c r="H4" s="185"/>
      <c r="I4" s="185"/>
      <c r="J4" s="185"/>
      <c r="K4" s="185"/>
      <c r="L4" s="185"/>
      <c r="M4" s="185"/>
      <c r="N4" s="185"/>
      <c r="O4" s="185"/>
      <c r="P4" s="37"/>
      <c r="Q4" s="37"/>
      <c r="R4" s="38"/>
      <c r="S4" s="37"/>
      <c r="W4" s="170"/>
      <c r="X4" s="170"/>
      <c r="Y4" s="170"/>
      <c r="Z4" s="170"/>
    </row>
    <row r="5" spans="1:26">
      <c r="D5" s="337"/>
      <c r="E5" s="187"/>
      <c r="F5" s="187"/>
      <c r="G5" s="187"/>
      <c r="H5" s="187"/>
      <c r="I5" s="187"/>
      <c r="J5" s="187"/>
      <c r="K5" s="142" t="s">
        <v>79</v>
      </c>
      <c r="L5" s="141" t="s">
        <v>80</v>
      </c>
      <c r="M5" s="141"/>
      <c r="N5" s="357" t="s">
        <v>81</v>
      </c>
      <c r="O5" s="357"/>
      <c r="P5" s="37"/>
      <c r="Q5" s="520" t="s">
        <v>44</v>
      </c>
      <c r="R5" s="521"/>
      <c r="S5" s="522"/>
      <c r="T5" s="81"/>
      <c r="W5" s="185"/>
      <c r="X5" s="185"/>
      <c r="Y5" s="185"/>
      <c r="Z5" s="170"/>
    </row>
    <row r="6" spans="1:26" ht="15" thickBot="1">
      <c r="D6" s="337" t="s">
        <v>45</v>
      </c>
      <c r="E6" s="188">
        <v>2011</v>
      </c>
      <c r="F6" s="188">
        <v>2012</v>
      </c>
      <c r="G6" s="188">
        <v>2013</v>
      </c>
      <c r="H6" s="188">
        <v>2014</v>
      </c>
      <c r="I6" s="188">
        <v>2015</v>
      </c>
      <c r="J6" s="188">
        <v>2016</v>
      </c>
      <c r="K6" s="359" t="s">
        <v>82</v>
      </c>
      <c r="L6" s="359" t="s">
        <v>83</v>
      </c>
      <c r="M6" s="359" t="s">
        <v>84</v>
      </c>
      <c r="N6" s="359" t="s">
        <v>169</v>
      </c>
      <c r="O6" s="359" t="s">
        <v>262</v>
      </c>
      <c r="P6" s="37"/>
      <c r="Q6" s="41" t="s">
        <v>79</v>
      </c>
      <c r="R6" s="42" t="s">
        <v>80</v>
      </c>
      <c r="S6" s="43" t="s">
        <v>81</v>
      </c>
      <c r="T6" s="44" t="s">
        <v>85</v>
      </c>
      <c r="W6" s="346"/>
      <c r="X6" s="346"/>
      <c r="Y6" s="346"/>
      <c r="Z6" s="170"/>
    </row>
    <row r="7" spans="1:26">
      <c r="B7" s="222"/>
      <c r="C7" s="222"/>
      <c r="D7" s="338" t="s">
        <v>163</v>
      </c>
      <c r="E7" s="318">
        <f>IS!C3</f>
        <v>3543</v>
      </c>
      <c r="F7" s="318">
        <f>IS!D3</f>
        <v>3998</v>
      </c>
      <c r="G7" s="318">
        <f>IS!E3</f>
        <v>4280</v>
      </c>
      <c r="H7" s="318">
        <f>IS!F3</f>
        <v>4130</v>
      </c>
      <c r="I7" s="318">
        <f>IS!G3</f>
        <v>4682</v>
      </c>
      <c r="J7" s="318">
        <f>IS!H3</f>
        <v>5010</v>
      </c>
      <c r="K7" s="439">
        <f>J7*(1+$Q$7)</f>
        <v>5460.9000000000005</v>
      </c>
      <c r="L7" s="437">
        <f>K7*(1+$R$7)</f>
        <v>6006.9900000000007</v>
      </c>
      <c r="M7" s="437">
        <f>L7*(1+$R$7)</f>
        <v>6607.6890000000012</v>
      </c>
      <c r="N7" s="437">
        <f>M7*(1+$S$7)</f>
        <v>7598.8423500000008</v>
      </c>
      <c r="O7" s="437">
        <f>N7*(1+$S$7)</f>
        <v>8738.668702500001</v>
      </c>
      <c r="P7" s="37"/>
      <c r="Q7" s="441">
        <v>0.09</v>
      </c>
      <c r="R7" s="442">
        <v>0.1</v>
      </c>
      <c r="S7" s="443">
        <v>0.15</v>
      </c>
      <c r="T7" s="444" t="s">
        <v>48</v>
      </c>
      <c r="W7" s="346"/>
      <c r="X7" s="346"/>
      <c r="Y7" s="346"/>
      <c r="Z7" s="170"/>
    </row>
    <row r="8" spans="1:26">
      <c r="B8" s="222"/>
      <c r="C8" s="222"/>
      <c r="D8" s="337" t="s">
        <v>136</v>
      </c>
      <c r="E8" s="189">
        <f>IS!C4</f>
        <v>2134</v>
      </c>
      <c r="F8" s="189">
        <f>IS!D4</f>
        <v>1941</v>
      </c>
      <c r="G8" s="189">
        <f>IS!E4</f>
        <v>2053</v>
      </c>
      <c r="H8" s="189">
        <f>IS!F4</f>
        <v>1862</v>
      </c>
      <c r="I8" s="189">
        <f>IS!G4</f>
        <v>2083</v>
      </c>
      <c r="J8" s="189">
        <f>IS!H4</f>
        <v>2199</v>
      </c>
      <c r="K8" s="438">
        <f>$Q$8*K7</f>
        <v>2402.7960000000003</v>
      </c>
      <c r="L8" s="438">
        <f>$R$8*L7</f>
        <v>2583.0057000000002</v>
      </c>
      <c r="M8" s="438">
        <f>$R$8*M7</f>
        <v>2841.3062700000005</v>
      </c>
      <c r="N8" s="438">
        <f t="shared" ref="N8:O8" si="0">$Q$8*N7</f>
        <v>3343.4906340000002</v>
      </c>
      <c r="O8" s="438">
        <f t="shared" si="0"/>
        <v>3845.0142291000006</v>
      </c>
      <c r="P8" s="37"/>
      <c r="Q8" s="441">
        <v>0.44</v>
      </c>
      <c r="R8" s="442">
        <v>0.43</v>
      </c>
      <c r="S8" s="443">
        <v>0.35</v>
      </c>
      <c r="T8" s="444" t="s">
        <v>86</v>
      </c>
      <c r="W8" s="346"/>
      <c r="X8" s="346"/>
      <c r="Y8" s="346"/>
      <c r="Z8" s="170"/>
    </row>
    <row r="9" spans="1:26">
      <c r="D9" s="339" t="s">
        <v>87</v>
      </c>
      <c r="E9" s="190">
        <f>E7-E8</f>
        <v>1409</v>
      </c>
      <c r="F9" s="190">
        <f>F7-F8</f>
        <v>2057</v>
      </c>
      <c r="G9" s="190">
        <f t="shared" ref="G9:H9" si="1">G7-G8</f>
        <v>2227</v>
      </c>
      <c r="H9" s="190">
        <f t="shared" si="1"/>
        <v>2268</v>
      </c>
      <c r="I9" s="190">
        <f t="shared" ref="I9" si="2">I7-I8</f>
        <v>2599</v>
      </c>
      <c r="J9" s="190">
        <f t="shared" ref="J9" si="3">J7-J8</f>
        <v>2811</v>
      </c>
      <c r="K9" s="190">
        <f>K7-K8</f>
        <v>3058.1040000000003</v>
      </c>
      <c r="L9" s="190">
        <f>L7-L8</f>
        <v>3423.9843000000005</v>
      </c>
      <c r="M9" s="190">
        <f>M7-M8</f>
        <v>3766.3827300000007</v>
      </c>
      <c r="N9" s="190">
        <f>N7-N8</f>
        <v>4255.351716000001</v>
      </c>
      <c r="O9" s="190">
        <f t="shared" ref="O9" si="4">O7-O8</f>
        <v>4893.6544733999999</v>
      </c>
      <c r="P9" s="37"/>
      <c r="Q9" s="441"/>
      <c r="R9" s="442"/>
      <c r="S9" s="443"/>
      <c r="T9" s="444"/>
      <c r="W9" s="346"/>
      <c r="X9" s="346"/>
      <c r="Y9" s="346"/>
      <c r="Z9" s="170"/>
    </row>
    <row r="10" spans="1:26">
      <c r="D10" s="337" t="s">
        <v>88</v>
      </c>
      <c r="E10" s="191">
        <f>E9/E7</f>
        <v>0.39768557719446795</v>
      </c>
      <c r="F10" s="191">
        <f>F9/F7</f>
        <v>0.51450725362681338</v>
      </c>
      <c r="G10" s="191">
        <f t="shared" ref="G10:O10" si="5">G9/G7</f>
        <v>0.52032710280373828</v>
      </c>
      <c r="H10" s="191">
        <f t="shared" si="5"/>
        <v>0.54915254237288136</v>
      </c>
      <c r="I10" s="191">
        <f>I9/I7</f>
        <v>0.55510465612985904</v>
      </c>
      <c r="J10" s="191">
        <f t="shared" ref="J10" si="6">J9/J7</f>
        <v>0.56107784431137719</v>
      </c>
      <c r="K10" s="191">
        <f>K9/K7</f>
        <v>0.55999999999999994</v>
      </c>
      <c r="L10" s="191">
        <f>L9/L7</f>
        <v>0.57000000000000006</v>
      </c>
      <c r="M10" s="191">
        <f>M9/M7</f>
        <v>0.56999999999999995</v>
      </c>
      <c r="N10" s="191">
        <f>N9/N7</f>
        <v>0.56000000000000005</v>
      </c>
      <c r="O10" s="191">
        <f t="shared" si="5"/>
        <v>0.55999999999999994</v>
      </c>
      <c r="P10" s="37"/>
      <c r="Q10" s="441"/>
      <c r="R10" s="442"/>
      <c r="S10" s="443"/>
      <c r="T10" s="444"/>
      <c r="W10" s="346"/>
      <c r="X10" s="346"/>
      <c r="Y10" s="346"/>
      <c r="Z10" s="170"/>
    </row>
    <row r="11" spans="1:26">
      <c r="D11" s="337" t="s">
        <v>77</v>
      </c>
      <c r="E11" s="47"/>
      <c r="F11" s="192"/>
      <c r="G11" s="192"/>
      <c r="H11" s="192"/>
      <c r="I11" s="192"/>
      <c r="J11" s="192"/>
      <c r="K11" s="185"/>
      <c r="L11" s="185"/>
      <c r="M11" s="185"/>
      <c r="N11" s="185"/>
      <c r="O11" s="185"/>
      <c r="P11" s="37"/>
      <c r="Q11" s="445"/>
      <c r="R11" s="442"/>
      <c r="S11" s="443"/>
      <c r="T11" s="444"/>
      <c r="W11" s="347"/>
      <c r="X11" s="347"/>
      <c r="Y11" s="347"/>
      <c r="Z11" s="170"/>
    </row>
    <row r="12" spans="1:26" s="169" customFormat="1">
      <c r="A12" s="367"/>
      <c r="B12" s="222"/>
      <c r="C12" s="222"/>
      <c r="D12" s="337" t="s">
        <v>244</v>
      </c>
      <c r="E12" s="189">
        <f>IS!C6</f>
        <v>849</v>
      </c>
      <c r="F12" s="189">
        <f>IS!D6</f>
        <v>102</v>
      </c>
      <c r="G12" s="189">
        <f>IS!E6</f>
        <v>1002</v>
      </c>
      <c r="H12" s="189">
        <f>IS!F6</f>
        <v>1336</v>
      </c>
      <c r="I12" s="189">
        <f>IS!G6</f>
        <v>1360</v>
      </c>
      <c r="J12" s="189">
        <f>IS!H6</f>
        <v>1331</v>
      </c>
      <c r="K12" s="189">
        <f>$Q$12*K7</f>
        <v>1310.616</v>
      </c>
      <c r="L12" s="189">
        <f>$R$12*L7</f>
        <v>1501.7475000000002</v>
      </c>
      <c r="M12" s="189">
        <f>$R$12*M7</f>
        <v>1651.9222500000003</v>
      </c>
      <c r="N12" s="189">
        <f>$S$12*N7</f>
        <v>1899.7105875000002</v>
      </c>
      <c r="O12" s="189">
        <f>$S$12*O7</f>
        <v>2184.6671756250003</v>
      </c>
      <c r="P12" s="185"/>
      <c r="Q12" s="446">
        <v>0.24</v>
      </c>
      <c r="R12" s="447">
        <v>0.25</v>
      </c>
      <c r="S12" s="448">
        <v>0.25</v>
      </c>
      <c r="T12" s="444" t="s">
        <v>86</v>
      </c>
      <c r="V12" s="455"/>
      <c r="W12" s="347"/>
      <c r="X12" s="346"/>
      <c r="Y12" s="346"/>
      <c r="Z12" s="170"/>
    </row>
    <row r="13" spans="1:26">
      <c r="B13" s="222"/>
      <c r="C13" s="222"/>
      <c r="D13" s="340" t="s">
        <v>89</v>
      </c>
      <c r="E13" s="189">
        <f>IS!C7</f>
        <v>362</v>
      </c>
      <c r="F13" s="189">
        <f>IS!D7</f>
        <v>406</v>
      </c>
      <c r="G13" s="189">
        <f>IS!E7</f>
        <v>431</v>
      </c>
      <c r="H13" s="189">
        <f>IS!F7</f>
        <v>436</v>
      </c>
      <c r="I13" s="189">
        <f>IS!G7</f>
        <v>480</v>
      </c>
      <c r="J13" s="189">
        <f>IS!H7</f>
        <v>602</v>
      </c>
      <c r="K13" s="189">
        <f>$Q$13*K7</f>
        <v>600.69900000000007</v>
      </c>
      <c r="L13" s="189">
        <f>L7*$R$13</f>
        <v>600.69900000000007</v>
      </c>
      <c r="M13" s="189">
        <f>M7*$R$13</f>
        <v>660.76890000000014</v>
      </c>
      <c r="N13" s="189">
        <f>N7*$S$13</f>
        <v>721.89002325000013</v>
      </c>
      <c r="O13" s="189">
        <f>O7*$S$13</f>
        <v>830.17352673750008</v>
      </c>
      <c r="P13" s="37"/>
      <c r="Q13" s="446">
        <v>0.11</v>
      </c>
      <c r="R13" s="442">
        <v>0.1</v>
      </c>
      <c r="S13" s="443">
        <v>9.5000000000000001E-2</v>
      </c>
      <c r="T13" s="444" t="s">
        <v>86</v>
      </c>
      <c r="W13" s="347"/>
      <c r="X13" s="346"/>
      <c r="Y13" s="346"/>
      <c r="Z13" s="170"/>
    </row>
    <row r="14" spans="1:26">
      <c r="D14" s="340" t="s">
        <v>196</v>
      </c>
      <c r="E14" s="189">
        <v>0</v>
      </c>
      <c r="F14" s="189">
        <v>-57</v>
      </c>
      <c r="G14" s="189">
        <v>0</v>
      </c>
      <c r="H14" s="189">
        <v>0</v>
      </c>
      <c r="I14" s="189">
        <v>0</v>
      </c>
      <c r="J14" s="189">
        <v>0</v>
      </c>
      <c r="K14" s="189">
        <f>$Q$14*K7</f>
        <v>0</v>
      </c>
      <c r="L14" s="189">
        <f>L7*$R$14</f>
        <v>0</v>
      </c>
      <c r="M14" s="189">
        <f>M7*$R$14</f>
        <v>0</v>
      </c>
      <c r="N14" s="189">
        <f>N7*$S$14</f>
        <v>0</v>
      </c>
      <c r="O14" s="189">
        <f>O7*$S$14</f>
        <v>0</v>
      </c>
      <c r="P14" s="37"/>
      <c r="Q14" s="446">
        <v>0</v>
      </c>
      <c r="R14" s="442">
        <v>0</v>
      </c>
      <c r="S14" s="443">
        <v>0</v>
      </c>
      <c r="T14" s="444" t="s">
        <v>86</v>
      </c>
      <c r="W14" s="346"/>
      <c r="X14" s="346"/>
      <c r="Y14" s="346"/>
      <c r="Z14" s="170"/>
    </row>
    <row r="15" spans="1:26">
      <c r="B15" s="222"/>
      <c r="C15" s="222"/>
      <c r="D15" s="337" t="s">
        <v>162</v>
      </c>
      <c r="E15" s="189">
        <f>IS!C10</f>
        <v>1153</v>
      </c>
      <c r="F15" s="189">
        <f>IS!D10</f>
        <v>1408</v>
      </c>
      <c r="G15" s="189">
        <f>IS!E10</f>
        <v>1578</v>
      </c>
      <c r="H15" s="189">
        <f>IS!F10</f>
        <v>1772</v>
      </c>
      <c r="I15" s="189">
        <f>IS!G10</f>
        <v>1840</v>
      </c>
      <c r="J15" s="189">
        <f>IS!H10</f>
        <v>2064</v>
      </c>
      <c r="K15" s="189">
        <f>$Q$15*K7</f>
        <v>2075.1420000000003</v>
      </c>
      <c r="L15" s="189">
        <f>$R$15*L7</f>
        <v>2102.4465</v>
      </c>
      <c r="M15" s="189">
        <f>$R$15*M7</f>
        <v>2312.6911500000001</v>
      </c>
      <c r="N15" s="189">
        <f t="shared" ref="N15:O15" si="7">$Q$15*N7</f>
        <v>2887.5600930000005</v>
      </c>
      <c r="O15" s="189">
        <f t="shared" si="7"/>
        <v>3320.6941069500003</v>
      </c>
      <c r="P15" s="37"/>
      <c r="Q15" s="445">
        <v>0.38</v>
      </c>
      <c r="R15" s="442">
        <v>0.35</v>
      </c>
      <c r="S15" s="443">
        <v>0.3</v>
      </c>
      <c r="T15" s="444" t="s">
        <v>86</v>
      </c>
      <c r="W15" s="346"/>
      <c r="X15" s="346"/>
      <c r="Y15" s="346"/>
      <c r="Z15" s="170"/>
    </row>
    <row r="16" spans="1:26" ht="15" thickBot="1">
      <c r="B16" s="250"/>
      <c r="C16" s="250"/>
      <c r="D16" s="341" t="s">
        <v>52</v>
      </c>
      <c r="E16" s="193">
        <f>CF!C4</f>
        <v>187</v>
      </c>
      <c r="F16" s="193">
        <f>CF!D4</f>
        <v>204</v>
      </c>
      <c r="G16" s="193">
        <f>CF!E4</f>
        <v>226</v>
      </c>
      <c r="H16" s="193">
        <f>CF!F4</f>
        <v>239</v>
      </c>
      <c r="I16" s="193">
        <f>CF!G4</f>
        <v>220</v>
      </c>
      <c r="J16" s="193">
        <f>CF!H4</f>
        <v>197</v>
      </c>
      <c r="K16" s="193">
        <f>$Q$16*K7</f>
        <v>273.04500000000002</v>
      </c>
      <c r="L16" s="193">
        <f>L7*$R$16</f>
        <v>360.41940000000005</v>
      </c>
      <c r="M16" s="193">
        <f>M7*$R$16</f>
        <v>396.46134000000006</v>
      </c>
      <c r="N16" s="193">
        <f>N7*$R$16</f>
        <v>455.93054100000001</v>
      </c>
      <c r="O16" s="193">
        <f>O7*$R$16</f>
        <v>524.32012215000009</v>
      </c>
      <c r="P16" s="37"/>
      <c r="Q16" s="445">
        <v>0.05</v>
      </c>
      <c r="R16" s="442">
        <v>0.06</v>
      </c>
      <c r="S16" s="443">
        <v>0.06</v>
      </c>
      <c r="T16" s="444" t="s">
        <v>86</v>
      </c>
      <c r="W16" s="346"/>
      <c r="X16" s="346"/>
      <c r="Y16" s="346"/>
      <c r="Z16" s="170"/>
    </row>
    <row r="17" spans="2:26">
      <c r="D17" s="342" t="s">
        <v>90</v>
      </c>
      <c r="E17" s="319">
        <f>E7-E8-E12-E13-E14</f>
        <v>198</v>
      </c>
      <c r="F17" s="319">
        <f>F7-F8-F12-F13-F14</f>
        <v>1606</v>
      </c>
      <c r="G17" s="319">
        <f t="shared" ref="G17:J17" si="8">G7-G8-G12-G13-G14</f>
        <v>794</v>
      </c>
      <c r="H17" s="320">
        <f t="shared" si="8"/>
        <v>496</v>
      </c>
      <c r="I17" s="320">
        <f>I7-I8-I12-I13-I14</f>
        <v>759</v>
      </c>
      <c r="J17" s="320">
        <f t="shared" si="8"/>
        <v>878</v>
      </c>
      <c r="K17" s="320">
        <f>K7-K8-K12-K13-K14</f>
        <v>1146.7890000000002</v>
      </c>
      <c r="L17" s="320">
        <f>L7-L8-L12-L13-L14</f>
        <v>1321.5378000000003</v>
      </c>
      <c r="M17" s="320">
        <f>M7-M8-M12-M13-M14</f>
        <v>1453.6915800000006</v>
      </c>
      <c r="N17" s="320">
        <f>N7-N8-N12-N13-N14</f>
        <v>1633.7511052500008</v>
      </c>
      <c r="O17" s="320">
        <f>O7-O8-O12-O13-O14</f>
        <v>1878.8137710374995</v>
      </c>
      <c r="P17" s="37"/>
      <c r="Q17" s="441"/>
      <c r="R17" s="442"/>
      <c r="S17" s="443"/>
      <c r="T17" s="444"/>
      <c r="W17" s="346"/>
      <c r="X17" s="346"/>
      <c r="Y17" s="346"/>
      <c r="Z17" s="170"/>
    </row>
    <row r="18" spans="2:26">
      <c r="B18" s="222"/>
      <c r="C18" s="222"/>
      <c r="D18" s="337" t="s">
        <v>91</v>
      </c>
      <c r="E18" s="189">
        <f>IS!C12</f>
        <v>19</v>
      </c>
      <c r="F18" s="189">
        <f>IS!D12</f>
        <v>19</v>
      </c>
      <c r="G18" s="189">
        <f>IS!E12</f>
        <v>20</v>
      </c>
      <c r="H18" s="189">
        <f>IS!F12</f>
        <v>17</v>
      </c>
      <c r="I18" s="189">
        <f>IS!G12</f>
        <v>28</v>
      </c>
      <c r="J18" s="189">
        <f>IS!H12</f>
        <v>39</v>
      </c>
      <c r="K18" s="189">
        <f>(K7*Q18*K36)+SUM(I18:J18)</f>
        <v>94.304500000000004</v>
      </c>
      <c r="L18" s="189">
        <f>L7*$R$18</f>
        <v>30.034950000000006</v>
      </c>
      <c r="M18" s="189">
        <f>M7*$R$18</f>
        <v>33.03844500000001</v>
      </c>
      <c r="N18" s="189">
        <f>N7*$Q$18</f>
        <v>37.994211750000005</v>
      </c>
      <c r="O18" s="189">
        <f>O7*$Q$18</f>
        <v>43.693343512500007</v>
      </c>
      <c r="P18" s="37"/>
      <c r="Q18" s="441">
        <v>5.0000000000000001E-3</v>
      </c>
      <c r="R18" s="442">
        <v>5.0000000000000001E-3</v>
      </c>
      <c r="S18" s="443">
        <v>5.0000000000000001E-3</v>
      </c>
      <c r="T18" s="444" t="s">
        <v>86</v>
      </c>
      <c r="W18" s="346"/>
      <c r="X18" s="346"/>
      <c r="Y18" s="346"/>
      <c r="Z18" s="170"/>
    </row>
    <row r="19" spans="2:26">
      <c r="B19" s="222"/>
      <c r="C19" s="222"/>
      <c r="D19" s="337" t="s">
        <v>92</v>
      </c>
      <c r="E19" s="189">
        <f>IS!C13</f>
        <v>-3</v>
      </c>
      <c r="F19" s="189">
        <f>IS!D13</f>
        <v>-3</v>
      </c>
      <c r="G19" s="189">
        <f>IS!E13</f>
        <v>-3</v>
      </c>
      <c r="H19" s="189">
        <f>IS!F13</f>
        <v>-10</v>
      </c>
      <c r="I19" s="189">
        <f>IS!G13</f>
        <v>-46</v>
      </c>
      <c r="J19" s="189">
        <f>IS!H13</f>
        <v>-47</v>
      </c>
      <c r="K19" s="189">
        <f>$Q$19*K7</f>
        <v>-27.304500000000004</v>
      </c>
      <c r="L19" s="189">
        <f>L7*$R$19</f>
        <v>-30.034950000000006</v>
      </c>
      <c r="M19" s="189">
        <f>M7*$R$19</f>
        <v>-33.03844500000001</v>
      </c>
      <c r="N19" s="189">
        <f>N7*$S$19</f>
        <v>-37.994211750000005</v>
      </c>
      <c r="O19" s="189">
        <f>O7*$S$19</f>
        <v>-43.693343512500007</v>
      </c>
      <c r="P19" s="37"/>
      <c r="Q19" s="441">
        <v>-5.0000000000000001E-3</v>
      </c>
      <c r="R19" s="442">
        <v>-5.0000000000000001E-3</v>
      </c>
      <c r="S19" s="443">
        <v>-5.0000000000000001E-3</v>
      </c>
      <c r="T19" s="444" t="s">
        <v>86</v>
      </c>
      <c r="W19" s="346"/>
      <c r="X19" s="346"/>
      <c r="Y19" s="346"/>
      <c r="Z19" s="170"/>
    </row>
    <row r="20" spans="2:26">
      <c r="B20" s="222"/>
      <c r="C20" s="222"/>
      <c r="D20" s="337" t="s">
        <v>93</v>
      </c>
      <c r="E20" s="189">
        <f>IS!C15</f>
        <v>271</v>
      </c>
      <c r="F20" s="189">
        <f>IS!D15</f>
        <v>663</v>
      </c>
      <c r="G20" s="189">
        <f>IS!E15</f>
        <v>662</v>
      </c>
      <c r="H20" s="189">
        <f>IS!F15</f>
        <v>510</v>
      </c>
      <c r="I20" s="189">
        <f>IS!G15</f>
        <v>755</v>
      </c>
      <c r="J20" s="189">
        <f>IS!H15</f>
        <v>743</v>
      </c>
      <c r="K20" s="189">
        <f>K17+K18+K19</f>
        <v>1213.7890000000002</v>
      </c>
      <c r="L20" s="189">
        <f>L17+L18+L19</f>
        <v>1321.5378000000003</v>
      </c>
      <c r="M20" s="189">
        <f>M17+M18+M19</f>
        <v>1453.6915800000006</v>
      </c>
      <c r="N20" s="189">
        <f>N17+N18+N19</f>
        <v>1633.7511052500008</v>
      </c>
      <c r="O20" s="189">
        <f>O17+O18+O19</f>
        <v>1878.8137710374995</v>
      </c>
      <c r="P20" s="37"/>
      <c r="Q20" s="441"/>
      <c r="R20" s="442"/>
      <c r="S20" s="443"/>
      <c r="T20" s="444"/>
      <c r="W20" s="346"/>
      <c r="X20" s="346"/>
      <c r="Y20" s="346"/>
      <c r="Z20" s="170"/>
    </row>
    <row r="21" spans="2:26">
      <c r="B21" s="222"/>
      <c r="C21" s="222"/>
      <c r="D21" s="337" t="s">
        <v>94</v>
      </c>
      <c r="E21" s="189">
        <f>IS!C16</f>
        <v>18</v>
      </c>
      <c r="F21" s="189">
        <f>IS!D16</f>
        <v>82</v>
      </c>
      <c r="G21" s="189">
        <f>IS!E16</f>
        <v>100</v>
      </c>
      <c r="H21" s="189">
        <f>IS!F16</f>
        <v>70</v>
      </c>
      <c r="I21" s="189">
        <f>IS!G16</f>
        <v>124</v>
      </c>
      <c r="J21" s="189">
        <f>IS!H16</f>
        <v>129</v>
      </c>
      <c r="K21" s="454">
        <f>K20*$Q$21</f>
        <v>424.82615000000004</v>
      </c>
      <c r="L21" s="454">
        <f>L20*$Q$21</f>
        <v>462.53823000000006</v>
      </c>
      <c r="M21" s="454">
        <f>M20*$Q$21</f>
        <v>508.79205300000018</v>
      </c>
      <c r="N21" s="189">
        <f>N20*$Q$21</f>
        <v>571.81288683750029</v>
      </c>
      <c r="O21" s="189">
        <f>O20*$Q$21</f>
        <v>657.58481986312472</v>
      </c>
      <c r="P21" s="37"/>
      <c r="Q21" s="441">
        <v>0.35</v>
      </c>
      <c r="R21" s="442"/>
      <c r="S21" s="443"/>
      <c r="T21" s="444" t="s">
        <v>51</v>
      </c>
      <c r="W21" s="346"/>
      <c r="X21" s="346"/>
      <c r="Y21" s="346"/>
      <c r="Z21" s="170"/>
    </row>
    <row r="22" spans="2:26" ht="15" thickBot="1">
      <c r="B22" s="222"/>
      <c r="C22" s="222"/>
      <c r="D22" s="343" t="s">
        <v>95</v>
      </c>
      <c r="E22" s="321">
        <f>IS!C17</f>
        <v>253</v>
      </c>
      <c r="F22" s="321">
        <f>IS!D17</f>
        <v>581</v>
      </c>
      <c r="G22" s="321">
        <f>IS!E17</f>
        <v>563</v>
      </c>
      <c r="H22" s="321">
        <f>IS!F17</f>
        <v>440</v>
      </c>
      <c r="I22" s="321">
        <f>IS!G17</f>
        <v>631</v>
      </c>
      <c r="J22" s="321">
        <f>IS!H17</f>
        <v>614</v>
      </c>
      <c r="K22" s="322">
        <f>K17+K18+K19-K21</f>
        <v>788.96285000000012</v>
      </c>
      <c r="L22" s="322">
        <f>L17+L18+L19-L21</f>
        <v>858.99957000000018</v>
      </c>
      <c r="M22" s="322">
        <f>M17+M18+M19-M21</f>
        <v>944.89952700000049</v>
      </c>
      <c r="N22" s="322">
        <f t="shared" ref="N22:O22" si="9">N17+N18+N19-N21</f>
        <v>1061.9382184125006</v>
      </c>
      <c r="O22" s="322">
        <f t="shared" si="9"/>
        <v>1221.2289511743747</v>
      </c>
      <c r="P22" s="37"/>
      <c r="Q22" s="449">
        <v>0.13</v>
      </c>
      <c r="R22" s="449">
        <v>0.12</v>
      </c>
      <c r="S22" s="450">
        <v>0.12</v>
      </c>
      <c r="T22" s="444"/>
      <c r="W22" s="346"/>
      <c r="X22" s="346"/>
      <c r="Y22" s="346"/>
      <c r="Z22" s="170"/>
    </row>
    <row r="23" spans="2:26" outlineLevel="1">
      <c r="B23" s="222"/>
      <c r="C23" s="222"/>
      <c r="D23" s="344" t="s">
        <v>96</v>
      </c>
      <c r="E23" s="189">
        <f>IS!C20</f>
        <v>575</v>
      </c>
      <c r="F23" s="189">
        <f>IS!D20</f>
        <v>604</v>
      </c>
      <c r="G23" s="189">
        <f>IS!E20</f>
        <v>619</v>
      </c>
      <c r="H23" s="189">
        <f>IS!F20</f>
        <v>588</v>
      </c>
      <c r="I23" s="189">
        <f>IS!G20</f>
        <v>552</v>
      </c>
      <c r="J23" s="189">
        <f>IS!H20</f>
        <v>543</v>
      </c>
      <c r="K23" s="189">
        <f>J23*(1+Q23)</f>
        <v>553.86</v>
      </c>
      <c r="L23" s="189">
        <f>K23*(1+R23)</f>
        <v>570.47580000000005</v>
      </c>
      <c r="M23" s="189">
        <f>L23*(1+R23)</f>
        <v>587.59007400000007</v>
      </c>
      <c r="N23" s="189">
        <f>M23*(1+S23)</f>
        <v>616.96957770000006</v>
      </c>
      <c r="O23" s="189">
        <f>N23*(1+S23)</f>
        <v>647.81805658500014</v>
      </c>
      <c r="P23" s="37"/>
      <c r="Q23" s="441">
        <v>0.02</v>
      </c>
      <c r="R23" s="442">
        <v>0.03</v>
      </c>
      <c r="S23" s="443">
        <v>0.05</v>
      </c>
      <c r="T23" s="444"/>
      <c r="W23" s="346"/>
      <c r="X23" s="346"/>
      <c r="Y23" s="346"/>
      <c r="Z23" s="170"/>
    </row>
    <row r="24" spans="2:26" ht="15" outlineLevel="1" thickBot="1">
      <c r="D24" s="344" t="s">
        <v>6</v>
      </c>
      <c r="E24" s="194">
        <f t="shared" ref="E24:O24" si="10">E22/E23</f>
        <v>0.44</v>
      </c>
      <c r="F24" s="194">
        <f t="shared" si="10"/>
        <v>0.96192052980132448</v>
      </c>
      <c r="G24" s="194">
        <f t="shared" si="10"/>
        <v>0.9095315024232633</v>
      </c>
      <c r="H24" s="194">
        <f t="shared" si="10"/>
        <v>0.74829931972789121</v>
      </c>
      <c r="I24" s="194">
        <f t="shared" si="10"/>
        <v>1.1431159420289856</v>
      </c>
      <c r="J24" s="194">
        <f t="shared" si="10"/>
        <v>1.1307550644567219</v>
      </c>
      <c r="K24" s="194">
        <f>K22/K23</f>
        <v>1.4244806449283214</v>
      </c>
      <c r="L24" s="194">
        <f>L22/L23</f>
        <v>1.5057598762296316</v>
      </c>
      <c r="M24" s="194">
        <f>M22/M23</f>
        <v>1.6080930717015489</v>
      </c>
      <c r="N24" s="194">
        <f t="shared" si="10"/>
        <v>1.7212165020701644</v>
      </c>
      <c r="O24" s="194">
        <f t="shared" si="10"/>
        <v>1.8851418832197022</v>
      </c>
      <c r="P24" s="37"/>
      <c r="Q24" s="445"/>
      <c r="R24" s="442"/>
      <c r="S24" s="443"/>
      <c r="T24" s="444"/>
      <c r="W24" s="346"/>
      <c r="X24" s="346"/>
      <c r="Y24" s="346"/>
      <c r="Z24" s="170"/>
    </row>
    <row r="25" spans="2:26">
      <c r="B25" s="220"/>
      <c r="C25" s="220"/>
      <c r="D25" s="335" t="s">
        <v>161</v>
      </c>
      <c r="E25" s="195">
        <f>BS!C10</f>
        <v>3227</v>
      </c>
      <c r="F25" s="195">
        <f>BS!D10</f>
        <v>3905</v>
      </c>
      <c r="G25" s="195">
        <f>BS!E10</f>
        <v>4775</v>
      </c>
      <c r="H25" s="195">
        <f>BS!F10</f>
        <v>5625</v>
      </c>
      <c r="I25" s="195">
        <f>BS!G10</f>
        <v>5713</v>
      </c>
      <c r="J25" s="195">
        <f>BS!H10</f>
        <v>6053</v>
      </c>
      <c r="K25" s="452">
        <f>J25*$Q$25</f>
        <v>7263.5999999999995</v>
      </c>
      <c r="L25" s="349">
        <f>K25*$R$25</f>
        <v>9079.5</v>
      </c>
      <c r="M25" s="453">
        <f>L25*$R$25</f>
        <v>11349.375</v>
      </c>
      <c r="N25" s="349">
        <f>M25*$S$25</f>
        <v>14413.706250000001</v>
      </c>
      <c r="O25" s="350">
        <f>N25*$S$25</f>
        <v>18305.4069375</v>
      </c>
      <c r="P25" s="37"/>
      <c r="Q25" s="445">
        <v>1.2</v>
      </c>
      <c r="R25" s="442">
        <v>1.25</v>
      </c>
      <c r="S25" s="443">
        <v>1.27</v>
      </c>
      <c r="T25" s="444" t="s">
        <v>86</v>
      </c>
      <c r="W25" s="346"/>
      <c r="X25" s="346"/>
      <c r="Y25" s="346"/>
      <c r="Z25" s="170"/>
    </row>
    <row r="26" spans="2:26">
      <c r="B26" s="220"/>
      <c r="C26" s="220"/>
      <c r="D26" s="337" t="s">
        <v>160</v>
      </c>
      <c r="E26" s="189">
        <f>BS!C20</f>
        <v>943</v>
      </c>
      <c r="F26" s="189">
        <f>BS!D20</f>
        <v>930</v>
      </c>
      <c r="G26" s="189">
        <f>BS!E20</f>
        <v>976</v>
      </c>
      <c r="H26" s="189">
        <f>BS!F20</f>
        <v>945</v>
      </c>
      <c r="I26" s="189">
        <f>BS!G20</f>
        <v>896</v>
      </c>
      <c r="J26" s="189">
        <f>BS!H20</f>
        <v>2351</v>
      </c>
      <c r="K26" s="440">
        <f>J26*(1+$Q$26)</f>
        <v>3455.97</v>
      </c>
      <c r="L26" s="351">
        <f>K26*(1+$R$26)</f>
        <v>5011.1564999999991</v>
      </c>
      <c r="M26" s="351">
        <f>L26*(1+$R$26)</f>
        <v>7266.1769249999988</v>
      </c>
      <c r="N26" s="351">
        <f>M26*(1+$S$26)</f>
        <v>10826.603618249997</v>
      </c>
      <c r="O26" s="352">
        <f>N26*(1+$S$26)</f>
        <v>16131.639391192497</v>
      </c>
      <c r="P26" s="37"/>
      <c r="Q26" s="441">
        <v>0.47</v>
      </c>
      <c r="R26" s="442">
        <v>0.45</v>
      </c>
      <c r="S26" s="443">
        <v>0.49</v>
      </c>
      <c r="T26" s="444" t="s">
        <v>48</v>
      </c>
      <c r="W26" s="346"/>
      <c r="X26" s="346"/>
      <c r="Y26" s="346"/>
      <c r="Z26" s="170"/>
    </row>
    <row r="27" spans="2:26">
      <c r="B27" s="220"/>
      <c r="C27" s="220"/>
      <c r="D27" s="337" t="s">
        <v>15</v>
      </c>
      <c r="E27" s="189">
        <f>BS!C4</f>
        <v>665</v>
      </c>
      <c r="F27" s="189">
        <f>BS!D4</f>
        <v>668</v>
      </c>
      <c r="G27" s="189">
        <f>BS!E4</f>
        <v>733</v>
      </c>
      <c r="H27" s="189">
        <f>BS!F4</f>
        <v>1152</v>
      </c>
      <c r="I27" s="189">
        <f>BS!G4</f>
        <v>497</v>
      </c>
      <c r="J27" s="189">
        <f>BS!H4</f>
        <v>596</v>
      </c>
      <c r="K27" s="48">
        <f>K25*Q27</f>
        <v>871.63199999999995</v>
      </c>
      <c r="L27" s="189">
        <f>L25*$R$27</f>
        <v>1361.925</v>
      </c>
      <c r="M27" s="189">
        <f>M25*$R$27</f>
        <v>1702.40625</v>
      </c>
      <c r="N27" s="189">
        <f>N25*$S$27</f>
        <v>2882.7412500000005</v>
      </c>
      <c r="O27" s="49">
        <f>O25*$S$27</f>
        <v>3661.0813875000003</v>
      </c>
      <c r="P27" s="37"/>
      <c r="Q27" s="441">
        <v>0.12</v>
      </c>
      <c r="R27" s="442">
        <v>0.15</v>
      </c>
      <c r="S27" s="443">
        <v>0.2</v>
      </c>
      <c r="T27" s="444" t="s">
        <v>97</v>
      </c>
      <c r="W27" s="346"/>
      <c r="X27" s="346"/>
      <c r="Y27" s="346"/>
      <c r="Z27" s="170"/>
    </row>
    <row r="28" spans="2:26">
      <c r="B28" s="220"/>
      <c r="C28" s="220"/>
      <c r="D28" s="337" t="s">
        <v>56</v>
      </c>
      <c r="E28" s="259">
        <f>BS!C19</f>
        <v>0</v>
      </c>
      <c r="F28" s="259">
        <f>BS!D19</f>
        <v>0</v>
      </c>
      <c r="G28" s="259">
        <f>BS!E19</f>
        <v>0</v>
      </c>
      <c r="H28" s="259">
        <f>BS!F19</f>
        <v>0</v>
      </c>
      <c r="I28" s="259">
        <f>BS!G19</f>
        <v>0</v>
      </c>
      <c r="J28" s="259">
        <f>BS!H19</f>
        <v>1413</v>
      </c>
      <c r="K28" s="48">
        <f>K7*Q28</f>
        <v>982.9620000000001</v>
      </c>
      <c r="L28" s="189">
        <f>L7*$R$28</f>
        <v>901.0485000000001</v>
      </c>
      <c r="M28" s="189">
        <f>M7*$R$28</f>
        <v>991.15335000000016</v>
      </c>
      <c r="N28" s="189">
        <f>N7*$S$28</f>
        <v>911.86108200000001</v>
      </c>
      <c r="O28" s="49">
        <f>O7*$S$28</f>
        <v>1048.6402443000002</v>
      </c>
      <c r="P28" s="37"/>
      <c r="Q28" s="441">
        <v>0.18</v>
      </c>
      <c r="R28" s="442">
        <v>0.15</v>
      </c>
      <c r="S28" s="443">
        <v>0.12</v>
      </c>
      <c r="T28" s="444" t="s">
        <v>98</v>
      </c>
      <c r="W28" s="346"/>
      <c r="X28" s="346"/>
      <c r="Y28" s="346"/>
      <c r="Z28" s="170"/>
    </row>
    <row r="29" spans="2:26">
      <c r="D29" s="337" t="s">
        <v>99</v>
      </c>
      <c r="E29" s="189">
        <f>(E25-E27)-(E26-E28)</f>
        <v>1619</v>
      </c>
      <c r="F29" s="189">
        <f>(F25-F27)-(F26-F28)</f>
        <v>2307</v>
      </c>
      <c r="G29" s="189">
        <f t="shared" ref="G29:I29" si="11">(G25-G27)-(G26-G28)</f>
        <v>3066</v>
      </c>
      <c r="H29" s="189">
        <f t="shared" si="11"/>
        <v>3528</v>
      </c>
      <c r="I29" s="189">
        <f t="shared" si="11"/>
        <v>4320</v>
      </c>
      <c r="J29" s="189">
        <f>(J25-J27)-(J26-J28)</f>
        <v>4519</v>
      </c>
      <c r="K29" s="451">
        <f>(K25-K27)-(K26-K28)</f>
        <v>3918.96</v>
      </c>
      <c r="L29" s="189">
        <f>(L25-L27)-(L26-L28)</f>
        <v>3607.4670000000006</v>
      </c>
      <c r="M29" s="189">
        <f>(M25-M27)-(M26-M28)</f>
        <v>3371.9451750000017</v>
      </c>
      <c r="N29" s="189">
        <f>(N25-N27)-(N26-N28)</f>
        <v>1616.2224637500021</v>
      </c>
      <c r="O29" s="49">
        <f t="shared" ref="O29" si="12">(O25-O27)-(O26-O28)</f>
        <v>-438.67359689249679</v>
      </c>
      <c r="P29" s="37"/>
      <c r="Q29" s="275"/>
      <c r="R29" s="90"/>
      <c r="S29" s="45"/>
      <c r="T29" s="19"/>
      <c r="W29" s="346"/>
      <c r="X29" s="346"/>
      <c r="Y29" s="346"/>
      <c r="Z29" s="170"/>
    </row>
    <row r="30" spans="2:26" ht="15" thickBot="1">
      <c r="D30" s="341" t="s">
        <v>100</v>
      </c>
      <c r="E30" s="193"/>
      <c r="F30" s="193">
        <f>F29-E29</f>
        <v>688</v>
      </c>
      <c r="G30" s="193">
        <f>G29-F29</f>
        <v>759</v>
      </c>
      <c r="H30" s="193">
        <f>H29-G29</f>
        <v>462</v>
      </c>
      <c r="I30" s="193">
        <f t="shared" ref="I30" si="13">I29-H29</f>
        <v>792</v>
      </c>
      <c r="J30" s="193">
        <f t="shared" ref="J30:O30" si="14">J29-I29</f>
        <v>199</v>
      </c>
      <c r="K30" s="51">
        <f>K29-J29</f>
        <v>-600.04</v>
      </c>
      <c r="L30" s="193">
        <f>L29-K29</f>
        <v>-311.49299999999948</v>
      </c>
      <c r="M30" s="193">
        <f>M29-L29</f>
        <v>-235.5218249999989</v>
      </c>
      <c r="N30" s="193">
        <f>N29-M29</f>
        <v>-1755.7227112499995</v>
      </c>
      <c r="O30" s="52">
        <f t="shared" si="14"/>
        <v>-2054.8960606424989</v>
      </c>
      <c r="P30" s="37"/>
      <c r="Q30" s="275"/>
      <c r="R30" s="90"/>
      <c r="S30" s="45"/>
      <c r="T30" s="19"/>
      <c r="W30" s="346"/>
      <c r="X30" s="346"/>
      <c r="Y30" s="346"/>
      <c r="Z30" s="170"/>
    </row>
    <row r="31" spans="2:26">
      <c r="D31" s="335"/>
      <c r="E31" s="195"/>
      <c r="F31" s="195"/>
      <c r="G31" s="195"/>
      <c r="H31" s="195"/>
      <c r="I31" s="195"/>
      <c r="J31" s="195"/>
      <c r="K31" s="48"/>
      <c r="L31" s="189"/>
      <c r="M31" s="189"/>
      <c r="N31" s="189"/>
      <c r="O31" s="49"/>
      <c r="P31" s="37"/>
      <c r="Q31" s="275"/>
      <c r="R31" s="90"/>
      <c r="S31" s="45"/>
      <c r="T31" s="19"/>
      <c r="W31" s="346"/>
      <c r="X31" s="346"/>
      <c r="Y31" s="346"/>
      <c r="Z31" s="170"/>
    </row>
    <row r="32" spans="2:26">
      <c r="D32" s="337" t="s">
        <v>101</v>
      </c>
      <c r="E32" s="189">
        <f>E17-E21+E16-E30</f>
        <v>367</v>
      </c>
      <c r="F32" s="189">
        <f>F17-F21+F16-F30</f>
        <v>1040</v>
      </c>
      <c r="G32" s="189">
        <f t="shared" ref="G32:O32" si="15">G17-G21+G16-G30</f>
        <v>161</v>
      </c>
      <c r="H32" s="189">
        <f t="shared" si="15"/>
        <v>203</v>
      </c>
      <c r="I32" s="189">
        <f t="shared" ref="I32:J32" si="16">I17-I21+I16-I30</f>
        <v>63</v>
      </c>
      <c r="J32" s="189">
        <f t="shared" si="16"/>
        <v>747</v>
      </c>
      <c r="K32" s="48">
        <f>K17-K21+K16-K30</f>
        <v>1595.0478500000002</v>
      </c>
      <c r="L32" s="189">
        <f>L17-L21+L16-L30</f>
        <v>1530.9119699999997</v>
      </c>
      <c r="M32" s="189">
        <f>M17-M21+M16-M30</f>
        <v>1576.8826919999995</v>
      </c>
      <c r="N32" s="189">
        <f>N17-N21+N16-N30</f>
        <v>3273.5914706624999</v>
      </c>
      <c r="O32" s="49">
        <f t="shared" si="15"/>
        <v>3800.445133966874</v>
      </c>
      <c r="P32" s="37"/>
      <c r="Q32" s="275"/>
      <c r="R32" s="90"/>
      <c r="S32" s="45"/>
      <c r="T32" s="19"/>
      <c r="W32" s="348"/>
      <c r="X32" s="346"/>
      <c r="Y32" s="346"/>
      <c r="Z32" s="170"/>
    </row>
    <row r="33" spans="2:26" ht="15" thickBot="1">
      <c r="B33" s="250"/>
      <c r="C33" s="250"/>
      <c r="D33" s="341" t="s">
        <v>102</v>
      </c>
      <c r="E33" s="193">
        <f>CF!C18</f>
        <v>-98</v>
      </c>
      <c r="F33" s="193">
        <f>CF!D18</f>
        <v>-139</v>
      </c>
      <c r="G33" s="193">
        <f>CF!E18</f>
        <v>-183</v>
      </c>
      <c r="H33" s="193">
        <f>CF!F18</f>
        <v>-255</v>
      </c>
      <c r="I33" s="193">
        <f>CF!G18</f>
        <v>-122</v>
      </c>
      <c r="J33" s="193">
        <f>CF!H18</f>
        <v>-86</v>
      </c>
      <c r="K33" s="48">
        <f>K7*Q33</f>
        <v>-109.21800000000002</v>
      </c>
      <c r="L33" s="189">
        <f>L7*$R$33</f>
        <v>-180.20970000000003</v>
      </c>
      <c r="M33" s="189">
        <f>M7*$R$33</f>
        <v>-198.23067000000003</v>
      </c>
      <c r="N33" s="189">
        <f>N7*$S$33</f>
        <v>-227.9652705</v>
      </c>
      <c r="O33" s="49">
        <f>O7*$S$33</f>
        <v>-262.16006107500004</v>
      </c>
      <c r="P33" s="37"/>
      <c r="Q33" s="300">
        <v>-0.02</v>
      </c>
      <c r="R33" s="276">
        <v>-0.03</v>
      </c>
      <c r="S33" s="277">
        <v>-0.03</v>
      </c>
      <c r="T33" s="97" t="s">
        <v>86</v>
      </c>
      <c r="W33" s="185"/>
      <c r="X33" s="185"/>
      <c r="Y33" s="185"/>
      <c r="Z33" s="170"/>
    </row>
    <row r="34" spans="2:26" ht="15" thickBot="1">
      <c r="D34" s="345" t="s">
        <v>103</v>
      </c>
      <c r="E34" s="196">
        <f t="shared" ref="E34:G34" si="17">SUM(E32:E33)</f>
        <v>269</v>
      </c>
      <c r="F34" s="196">
        <f>SUM(F32:F33)</f>
        <v>901</v>
      </c>
      <c r="G34" s="196">
        <f t="shared" si="17"/>
        <v>-22</v>
      </c>
      <c r="H34" s="196">
        <f>SUM(H32:H33)</f>
        <v>-52</v>
      </c>
      <c r="I34" s="196">
        <f t="shared" ref="I34:J34" si="18">SUM(I32:I33)</f>
        <v>-59</v>
      </c>
      <c r="J34" s="196">
        <f t="shared" si="18"/>
        <v>661</v>
      </c>
      <c r="K34" s="53">
        <f>SUM(K32:K33)</f>
        <v>1485.8298500000001</v>
      </c>
      <c r="L34" s="196">
        <f>SUM(L32:L33)</f>
        <v>1350.7022699999995</v>
      </c>
      <c r="M34" s="196">
        <f>SUM(M32:M33)</f>
        <v>1378.6520219999993</v>
      </c>
      <c r="N34" s="196">
        <f>SUM(N32:N33)</f>
        <v>3045.6262001625</v>
      </c>
      <c r="O34" s="54">
        <f>SUM(O32:O33)</f>
        <v>3538.2850728918738</v>
      </c>
      <c r="P34" s="37"/>
      <c r="Q34" s="185"/>
      <c r="R34" s="185"/>
      <c r="S34" s="185"/>
    </row>
    <row r="35" spans="2:26" ht="15" thickTop="1">
      <c r="D35" s="337"/>
      <c r="E35" s="185"/>
      <c r="F35" s="185"/>
      <c r="G35" s="185"/>
      <c r="H35" s="185"/>
      <c r="I35" s="185"/>
      <c r="J35" s="185"/>
      <c r="K35" s="39"/>
      <c r="L35" s="185"/>
      <c r="M35" s="185"/>
      <c r="N35" s="185"/>
      <c r="O35" s="40"/>
      <c r="P35" s="37"/>
      <c r="Q35" s="185"/>
      <c r="R35" s="185"/>
      <c r="S35" s="185"/>
    </row>
    <row r="36" spans="2:26">
      <c r="D36" s="337" t="s">
        <v>104</v>
      </c>
      <c r="E36" s="185"/>
      <c r="F36" s="185"/>
      <c r="G36" s="185"/>
      <c r="H36" s="185"/>
      <c r="I36" s="185"/>
      <c r="J36" s="185"/>
      <c r="K36" s="39">
        <v>1</v>
      </c>
      <c r="L36" s="185">
        <v>2</v>
      </c>
      <c r="M36" s="185">
        <v>3</v>
      </c>
      <c r="N36" s="185">
        <v>4</v>
      </c>
      <c r="O36" s="40">
        <v>5</v>
      </c>
      <c r="P36" s="37"/>
      <c r="Q36" s="185"/>
      <c r="R36" s="185"/>
      <c r="S36" s="185"/>
    </row>
    <row r="37" spans="2:26" ht="15" thickBot="1">
      <c r="D37" s="341" t="s">
        <v>105</v>
      </c>
      <c r="E37" s="197"/>
      <c r="F37" s="197"/>
      <c r="G37" s="197"/>
      <c r="H37" s="197"/>
      <c r="I37" s="197"/>
      <c r="J37" s="197"/>
      <c r="K37" s="51">
        <f>(K34)/((1+$L$48)^(K36))</f>
        <v>1353.1813890981871</v>
      </c>
      <c r="L37" s="193">
        <f>(L34)/((1+$L$48)^(L36))</f>
        <v>1120.2978538689349</v>
      </c>
      <c r="M37" s="193">
        <f>(M34)/((1+$L$48)^(M36))</f>
        <v>1041.3949648043824</v>
      </c>
      <c r="N37" s="193">
        <f>(N34)/((1+$L$48)^(N36))</f>
        <v>2095.1945145424015</v>
      </c>
      <c r="O37" s="52">
        <f>(O34)/((1+$L$48)^(O36))</f>
        <v>2216.8050693691152</v>
      </c>
      <c r="P37" s="37"/>
      <c r="Q37" s="37"/>
      <c r="R37" s="37"/>
      <c r="S37" s="37"/>
    </row>
    <row r="38" spans="2:26" ht="15" thickBot="1"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S38" s="170"/>
      <c r="T38" s="180"/>
      <c r="U38" s="170"/>
    </row>
    <row r="39" spans="2:26">
      <c r="D39" s="523" t="s">
        <v>106</v>
      </c>
      <c r="E39" s="524"/>
      <c r="F39" s="279"/>
      <c r="G39" s="37"/>
      <c r="H39" s="37"/>
      <c r="I39" s="37"/>
      <c r="J39" s="517" t="s">
        <v>107</v>
      </c>
      <c r="K39" s="518"/>
      <c r="L39" s="519"/>
      <c r="M39" s="37"/>
      <c r="N39" s="517" t="s">
        <v>108</v>
      </c>
      <c r="O39" s="518"/>
      <c r="P39" s="518"/>
      <c r="Q39" s="519"/>
      <c r="S39" s="172"/>
      <c r="T39" s="172"/>
      <c r="U39" s="170"/>
    </row>
    <row r="40" spans="2:26">
      <c r="D40" s="39" t="s">
        <v>109</v>
      </c>
      <c r="E40" s="49">
        <f>SUM(K37:O37)</f>
        <v>7826.8737916830214</v>
      </c>
      <c r="F40" s="37"/>
      <c r="G40" s="37"/>
      <c r="H40" s="37"/>
      <c r="I40" s="37"/>
      <c r="J40" s="511" t="s">
        <v>68</v>
      </c>
      <c r="K40" s="512"/>
      <c r="L40" s="56">
        <v>1.24</v>
      </c>
      <c r="M40" s="37"/>
      <c r="N40" s="39" t="s">
        <v>9</v>
      </c>
      <c r="O40" s="46">
        <f>Q40/($Q$40+$Q$41)</f>
        <v>0.93495290577238677</v>
      </c>
      <c r="P40" s="37"/>
      <c r="Q40" s="49">
        <f>E47*E49</f>
        <v>36299.549999999996</v>
      </c>
      <c r="S40" s="170"/>
      <c r="T40" s="172"/>
      <c r="U40" s="170"/>
    </row>
    <row r="41" spans="2:26" ht="15" thickBot="1">
      <c r="D41" s="39" t="s">
        <v>110</v>
      </c>
      <c r="E41" s="49">
        <f>((O34*(1+L43))/(L48-L43))/((1+L48)^O36)</f>
        <v>33564.695323472224</v>
      </c>
      <c r="F41" s="37"/>
      <c r="G41" s="37"/>
      <c r="H41" s="37"/>
      <c r="I41" s="37"/>
      <c r="J41" s="513" t="s">
        <v>111</v>
      </c>
      <c r="K41" s="514"/>
      <c r="L41" s="57">
        <v>2.9000000000000001E-2</v>
      </c>
      <c r="M41" s="37"/>
      <c r="N41" s="50" t="s">
        <v>112</v>
      </c>
      <c r="O41" s="278">
        <f>Q41/($Q$40+$Q$41)</f>
        <v>6.5047094227613206E-2</v>
      </c>
      <c r="P41" s="55"/>
      <c r="Q41" s="58">
        <f>(Obligations!C18)+BS!H20</f>
        <v>2525.4536722567109</v>
      </c>
      <c r="S41" s="76"/>
      <c r="T41" s="175"/>
    </row>
    <row r="42" spans="2:26" ht="15" thickBot="1">
      <c r="D42" s="39" t="s">
        <v>113</v>
      </c>
      <c r="E42" s="49">
        <f>E40+E41</f>
        <v>41391.569115155246</v>
      </c>
      <c r="F42" s="37"/>
      <c r="G42" s="37"/>
      <c r="H42" s="37"/>
      <c r="I42" s="37"/>
      <c r="J42" s="513" t="s">
        <v>114</v>
      </c>
      <c r="K42" s="514"/>
      <c r="L42" s="59">
        <v>0.06</v>
      </c>
      <c r="M42" s="37"/>
      <c r="N42" s="37"/>
      <c r="O42" s="37"/>
      <c r="P42" s="37"/>
      <c r="Q42" s="37"/>
      <c r="S42" s="76"/>
    </row>
    <row r="43" spans="2:26" ht="15" thickBot="1">
      <c r="B43" s="222"/>
      <c r="C43" s="222"/>
      <c r="D43" s="39" t="s">
        <v>115</v>
      </c>
      <c r="E43" s="49">
        <f>BS!H4</f>
        <v>596</v>
      </c>
      <c r="F43" s="37"/>
      <c r="G43" s="37"/>
      <c r="H43" s="37"/>
      <c r="I43" s="37"/>
      <c r="J43" s="515" t="s">
        <v>116</v>
      </c>
      <c r="K43" s="516"/>
      <c r="L43" s="60">
        <v>0.03</v>
      </c>
      <c r="M43" s="37"/>
      <c r="N43" s="517" t="s">
        <v>117</v>
      </c>
      <c r="O43" s="518"/>
      <c r="P43" s="518"/>
      <c r="Q43" s="519"/>
      <c r="S43" s="76"/>
    </row>
    <row r="44" spans="2:26" ht="15" thickBot="1">
      <c r="D44" s="39" t="s">
        <v>112</v>
      </c>
      <c r="E44" s="49">
        <f>Q41</f>
        <v>2525.4536722567109</v>
      </c>
      <c r="F44" s="37"/>
      <c r="G44" s="37"/>
      <c r="H44" s="37"/>
      <c r="I44" s="37"/>
      <c r="J44" s="37"/>
      <c r="K44" s="37"/>
      <c r="L44" s="37"/>
      <c r="M44" s="37"/>
      <c r="N44" s="50" t="s">
        <v>118</v>
      </c>
      <c r="O44" s="55"/>
      <c r="P44" s="55"/>
      <c r="Q44" s="61">
        <v>0.35</v>
      </c>
      <c r="S44" s="76"/>
    </row>
    <row r="45" spans="2:26" ht="15" thickBot="1">
      <c r="D45" s="50" t="s">
        <v>119</v>
      </c>
      <c r="E45" s="52">
        <f>E42-(E44-E43)</f>
        <v>39462.115442898532</v>
      </c>
      <c r="F45" s="37"/>
      <c r="G45" s="37"/>
      <c r="H45" s="37"/>
      <c r="I45" s="37"/>
      <c r="J45" s="517" t="s">
        <v>120</v>
      </c>
      <c r="K45" s="518"/>
      <c r="L45" s="519"/>
      <c r="M45" s="37"/>
      <c r="N45" s="37"/>
      <c r="O45" s="37"/>
      <c r="P45" s="37"/>
      <c r="Q45" s="37"/>
      <c r="S45" s="76"/>
    </row>
    <row r="46" spans="2:26" ht="15" thickBot="1">
      <c r="D46" s="37"/>
      <c r="E46" s="37"/>
      <c r="F46" s="37"/>
      <c r="G46" s="37"/>
      <c r="H46" s="37"/>
      <c r="I46" s="37"/>
      <c r="J46" s="511" t="s">
        <v>121</v>
      </c>
      <c r="K46" s="512"/>
      <c r="L46" s="59">
        <f>L41+L40*L42</f>
        <v>0.10339999999999999</v>
      </c>
      <c r="M46" s="37"/>
      <c r="N46" s="37"/>
      <c r="O46" s="37"/>
      <c r="P46" s="37"/>
      <c r="Q46" s="37"/>
      <c r="S46" s="76"/>
    </row>
    <row r="47" spans="2:26">
      <c r="D47" s="62" t="s">
        <v>8</v>
      </c>
      <c r="E47" s="63">
        <f>J23</f>
        <v>543</v>
      </c>
      <c r="F47" s="37"/>
      <c r="G47" s="37"/>
      <c r="H47" s="37"/>
      <c r="I47" s="37"/>
      <c r="J47" s="513" t="s">
        <v>122</v>
      </c>
      <c r="K47" s="514"/>
      <c r="L47" s="59">
        <v>3.2000000000000001E-2</v>
      </c>
      <c r="M47" s="37"/>
      <c r="N47" s="37"/>
      <c r="O47" s="37"/>
      <c r="P47" s="37"/>
      <c r="Q47" s="37"/>
      <c r="S47" s="76"/>
    </row>
    <row r="48" spans="2:26" ht="15" thickBot="1">
      <c r="D48" s="64" t="s">
        <v>62</v>
      </c>
      <c r="E48" s="65">
        <f>E45/E47</f>
        <v>72.674245751194348</v>
      </c>
      <c r="F48" s="37"/>
      <c r="G48" s="37"/>
      <c r="H48" s="37"/>
      <c r="I48" s="37"/>
      <c r="J48" s="515" t="s">
        <v>14</v>
      </c>
      <c r="K48" s="516"/>
      <c r="L48" s="66">
        <f>(O40*L46)+((O41*L47)*(1-Q44))</f>
        <v>9.8027110016799132E-2</v>
      </c>
      <c r="M48" s="37"/>
      <c r="N48" s="37"/>
      <c r="O48" s="37"/>
      <c r="P48" s="37"/>
      <c r="Q48" s="37"/>
      <c r="S48" s="76"/>
    </row>
    <row r="49" spans="1:19">
      <c r="D49" s="64" t="s">
        <v>61</v>
      </c>
      <c r="E49" s="65">
        <f>Valuation!F10</f>
        <v>66.849999999999994</v>
      </c>
      <c r="F49" s="37"/>
      <c r="G49" s="37"/>
      <c r="H49" s="37"/>
      <c r="I49" s="37"/>
      <c r="J49" s="67"/>
      <c r="K49" s="67"/>
      <c r="L49" s="68"/>
      <c r="M49" s="37"/>
      <c r="N49" s="37"/>
      <c r="O49" s="37"/>
      <c r="P49" s="37"/>
      <c r="Q49" s="37"/>
      <c r="S49" s="76"/>
    </row>
    <row r="50" spans="1:19" ht="15" thickBot="1">
      <c r="D50" s="69" t="s">
        <v>123</v>
      </c>
      <c r="E50" s="70">
        <f>E48/E49-1</f>
        <v>8.7124095006646973E-2</v>
      </c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S50" s="76"/>
    </row>
    <row r="51" spans="1:19" ht="47.85" customHeight="1">
      <c r="E51" s="2"/>
      <c r="F51" s="2"/>
      <c r="P51" s="15"/>
      <c r="S51" s="76"/>
    </row>
    <row r="52" spans="1:19" s="464" customFormat="1" ht="47.85" customHeight="1">
      <c r="A52" s="367"/>
    </row>
    <row r="54" spans="1:19">
      <c r="E54" s="8"/>
      <c r="F54" s="8"/>
      <c r="G54" s="124"/>
      <c r="H54" s="8"/>
      <c r="I54" s="8"/>
    </row>
    <row r="55" spans="1:19">
      <c r="E55" s="8"/>
      <c r="F55" s="8"/>
      <c r="G55" s="125"/>
      <c r="H55" s="8"/>
      <c r="I55" s="8"/>
      <c r="J55" s="76"/>
      <c r="K55" s="76"/>
      <c r="L55" s="76"/>
      <c r="M55" s="76"/>
      <c r="N55" s="76"/>
      <c r="O55" s="76"/>
      <c r="P55" s="76"/>
    </row>
    <row r="56" spans="1:19">
      <c r="E56" s="8"/>
      <c r="F56" s="8"/>
      <c r="G56" s="125"/>
      <c r="H56" s="8"/>
      <c r="I56" s="8"/>
    </row>
    <row r="57" spans="1:19">
      <c r="E57" s="8"/>
      <c r="F57" s="8"/>
      <c r="G57" s="125"/>
      <c r="H57" s="8"/>
      <c r="I57" s="8"/>
    </row>
    <row r="58" spans="1:19">
      <c r="E58" s="8"/>
      <c r="F58" s="8"/>
      <c r="G58" s="125"/>
      <c r="H58" s="8"/>
      <c r="I58" s="8"/>
    </row>
    <row r="59" spans="1:19">
      <c r="E59" s="8"/>
      <c r="F59" s="8"/>
      <c r="G59" s="125"/>
      <c r="H59" s="8"/>
      <c r="I59" s="8"/>
    </row>
    <row r="60" spans="1:19">
      <c r="E60" s="8"/>
      <c r="F60" s="8"/>
      <c r="G60" s="125"/>
      <c r="H60" s="8"/>
      <c r="I60" s="8"/>
    </row>
    <row r="61" spans="1:19">
      <c r="E61" s="8"/>
      <c r="F61" s="8"/>
      <c r="G61" s="125"/>
      <c r="H61" s="8"/>
      <c r="I61" s="8"/>
    </row>
    <row r="62" spans="1:19">
      <c r="E62" s="8"/>
      <c r="F62" s="8"/>
      <c r="G62" s="8"/>
      <c r="H62" s="8"/>
      <c r="I62" s="8"/>
    </row>
    <row r="63" spans="1:19">
      <c r="E63" s="8"/>
      <c r="F63" s="8"/>
      <c r="G63" s="8"/>
      <c r="H63" s="8"/>
      <c r="I63" s="8"/>
    </row>
    <row r="64" spans="1:19">
      <c r="E64" s="8"/>
      <c r="F64" s="8"/>
      <c r="G64" s="8"/>
      <c r="H64" s="8"/>
      <c r="I64" s="8"/>
    </row>
    <row r="65" spans="5:9">
      <c r="E65" s="8"/>
      <c r="F65" s="8"/>
      <c r="G65" s="8"/>
      <c r="H65" s="8"/>
      <c r="I65" s="8"/>
    </row>
  </sheetData>
  <mergeCells count="13">
    <mergeCell ref="N43:Q43"/>
    <mergeCell ref="Q5:S5"/>
    <mergeCell ref="D39:E39"/>
    <mergeCell ref="J39:L39"/>
    <mergeCell ref="N39:Q39"/>
    <mergeCell ref="J46:K46"/>
    <mergeCell ref="J47:K47"/>
    <mergeCell ref="J48:K48"/>
    <mergeCell ref="J45:L45"/>
    <mergeCell ref="J40:K40"/>
    <mergeCell ref="J41:K41"/>
    <mergeCell ref="J42:K42"/>
    <mergeCell ref="J43:K43"/>
  </mergeCells>
  <pageMargins left="0.7" right="0.7" top="0.75" bottom="0.75" header="0.3" footer="0.3"/>
  <pageSetup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autoPageBreaks="0"/>
  </sheetPr>
  <dimension ref="A1:AM33"/>
  <sheetViews>
    <sheetView showGridLines="0" tabSelected="1" zoomScale="70" zoomScaleNormal="70" zoomScalePageLayoutView="70" workbookViewId="0">
      <selection activeCell="G19" sqref="G19:H19"/>
    </sheetView>
  </sheetViews>
  <sheetFormatPr defaultColWidth="8.6640625" defaultRowHeight="14.4"/>
  <cols>
    <col min="1" max="1" width="3.44140625" style="367" customWidth="1"/>
    <col min="2" max="2" width="25.109375" customWidth="1"/>
    <col min="3" max="3" width="1.109375" style="76" customWidth="1"/>
    <col min="5" max="5" width="1.109375" style="76" customWidth="1"/>
    <col min="6" max="6" width="11.33203125" customWidth="1"/>
    <col min="8" max="8" width="13.5546875" customWidth="1"/>
    <col min="9" max="10" width="18.33203125" customWidth="1"/>
    <col min="12" max="12" width="1.44140625" style="76" customWidth="1"/>
    <col min="13" max="13" width="3.33203125" style="76" customWidth="1"/>
    <col min="16" max="16" width="12.109375" bestFit="1" customWidth="1"/>
    <col min="18" max="18" width="17.6640625" bestFit="1" customWidth="1"/>
    <col min="20" max="20" width="11.6640625" bestFit="1" customWidth="1"/>
    <col min="22" max="22" width="10.6640625" bestFit="1" customWidth="1"/>
    <col min="23" max="23" width="9.44140625" style="169" customWidth="1"/>
    <col min="24" max="24" width="1" customWidth="1"/>
    <col min="26" max="26" width="18.33203125" customWidth="1"/>
    <col min="27" max="27" width="11.44140625" bestFit="1" customWidth="1"/>
    <col min="29" max="29" width="8.6640625" style="455"/>
  </cols>
  <sheetData>
    <row r="1" spans="1:27" s="367" customFormat="1" ht="18" customHeight="1">
      <c r="A1" s="365"/>
      <c r="B1" s="365"/>
      <c r="C1" s="365"/>
      <c r="D1" s="365"/>
      <c r="E1" s="365"/>
      <c r="F1" s="365"/>
      <c r="G1" s="365"/>
      <c r="H1" s="365"/>
      <c r="I1" s="365"/>
      <c r="J1" s="365"/>
      <c r="K1" s="365"/>
      <c r="L1" s="365"/>
      <c r="M1" s="365"/>
      <c r="N1" s="365"/>
      <c r="O1" s="365"/>
      <c r="P1" s="365"/>
      <c r="Q1" s="365"/>
      <c r="R1" s="365"/>
      <c r="S1" s="365"/>
      <c r="T1" s="365"/>
      <c r="U1" s="365"/>
      <c r="V1" s="365"/>
      <c r="W1" s="365"/>
    </row>
    <row r="2" spans="1:27" ht="52.35" customHeight="1">
      <c r="A2" s="365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172"/>
    </row>
    <row r="3" spans="1:27" ht="3.75" customHeight="1">
      <c r="A3" s="365"/>
      <c r="B3" s="365"/>
      <c r="C3" s="365"/>
      <c r="D3" s="365"/>
      <c r="E3" s="365"/>
      <c r="F3" s="365"/>
      <c r="G3" s="365"/>
      <c r="H3" s="365"/>
      <c r="I3" s="365"/>
      <c r="J3" s="365"/>
      <c r="K3" s="365"/>
      <c r="L3" s="365"/>
      <c r="M3" s="365"/>
      <c r="N3" s="365"/>
      <c r="O3" s="365"/>
      <c r="P3" s="365"/>
      <c r="Q3" s="365"/>
      <c r="R3" s="365"/>
      <c r="S3" s="365"/>
      <c r="T3" s="365"/>
      <c r="U3" s="365"/>
      <c r="V3" s="365"/>
      <c r="W3" s="172"/>
    </row>
    <row r="4" spans="1:27">
      <c r="A4" s="365"/>
      <c r="B4" s="2" t="s">
        <v>0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172"/>
      <c r="X4" s="2"/>
    </row>
    <row r="5" spans="1:27" ht="29.1" customHeight="1">
      <c r="A5" s="365"/>
      <c r="B5" s="2"/>
      <c r="C5" s="2"/>
      <c r="D5" s="5" t="s">
        <v>256</v>
      </c>
      <c r="E5" s="5"/>
      <c r="F5" s="5" t="s">
        <v>257</v>
      </c>
      <c r="G5" s="171" t="s">
        <v>259</v>
      </c>
      <c r="H5" s="399" t="s">
        <v>266</v>
      </c>
      <c r="I5" s="399"/>
      <c r="J5" s="399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172"/>
      <c r="X5" s="2"/>
    </row>
    <row r="6" spans="1:27" ht="15" thickBot="1">
      <c r="A6" s="365"/>
      <c r="B6" s="2"/>
      <c r="C6" s="2"/>
      <c r="D6" s="6" t="s">
        <v>240</v>
      </c>
      <c r="E6" s="6"/>
      <c r="F6" s="6" t="s">
        <v>257</v>
      </c>
      <c r="G6" s="6" t="s">
        <v>258</v>
      </c>
      <c r="H6" s="248" t="s">
        <v>266</v>
      </c>
      <c r="I6" s="6"/>
      <c r="J6" s="6"/>
      <c r="K6" s="2"/>
      <c r="L6" s="2"/>
      <c r="M6" s="2"/>
      <c r="N6" s="6" t="s">
        <v>1</v>
      </c>
      <c r="O6" s="7"/>
      <c r="P6" s="6" t="s">
        <v>260</v>
      </c>
      <c r="Q6" s="7"/>
      <c r="R6" s="6" t="s">
        <v>2</v>
      </c>
      <c r="S6" s="2"/>
      <c r="T6" s="6" t="s">
        <v>3</v>
      </c>
      <c r="U6" s="2"/>
      <c r="V6" s="6" t="s">
        <v>4</v>
      </c>
      <c r="W6" s="248"/>
      <c r="X6" s="2"/>
      <c r="Y6" t="s">
        <v>158</v>
      </c>
    </row>
    <row r="7" spans="1:27">
      <c r="A7" s="365"/>
      <c r="B7" s="80"/>
      <c r="C7" s="80"/>
      <c r="D7" s="6"/>
      <c r="E7" s="119"/>
      <c r="F7" s="6"/>
      <c r="G7" s="119"/>
      <c r="H7" s="532"/>
      <c r="I7" s="6"/>
      <c r="J7" s="6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172"/>
      <c r="X7" s="2"/>
      <c r="Y7" s="529" t="s">
        <v>166</v>
      </c>
      <c r="Z7" s="529"/>
      <c r="AA7" s="98">
        <f>DCF!K7</f>
        <v>5460.9000000000005</v>
      </c>
    </row>
    <row r="8" spans="1:27" ht="15" customHeight="1" thickBot="1">
      <c r="A8" s="365"/>
      <c r="B8" s="2"/>
      <c r="C8" s="8"/>
      <c r="D8" s="4"/>
      <c r="E8" s="8"/>
      <c r="F8" s="2"/>
      <c r="G8" s="2"/>
      <c r="H8" s="172"/>
      <c r="I8" s="2"/>
      <c r="J8" s="120"/>
      <c r="K8" s="2"/>
      <c r="L8" s="2"/>
      <c r="M8" s="2"/>
      <c r="N8" s="309"/>
      <c r="O8" s="309"/>
      <c r="P8" s="309"/>
      <c r="Q8" s="309"/>
      <c r="R8" s="309"/>
      <c r="S8" s="309"/>
      <c r="T8" s="310"/>
      <c r="U8" s="309"/>
      <c r="V8" s="309"/>
      <c r="W8" s="172"/>
      <c r="X8" s="2"/>
      <c r="Y8" s="528" t="s">
        <v>165</v>
      </c>
      <c r="Z8" s="528"/>
      <c r="AA8" s="99">
        <f>DCF!K22</f>
        <v>788.96285000000012</v>
      </c>
    </row>
    <row r="9" spans="1:27">
      <c r="A9" s="365"/>
      <c r="B9" s="111" t="s">
        <v>5</v>
      </c>
      <c r="C9" s="111"/>
      <c r="D9" s="79"/>
      <c r="E9" s="8"/>
      <c r="F9" s="8"/>
      <c r="G9" s="8"/>
      <c r="H9" s="172"/>
      <c r="I9" s="8"/>
      <c r="J9" s="8"/>
      <c r="K9" s="8"/>
      <c r="L9" s="298"/>
      <c r="N9" s="8"/>
      <c r="O9" s="8"/>
      <c r="P9" s="79" t="s">
        <v>6</v>
      </c>
      <c r="Q9" s="79"/>
      <c r="R9" s="79"/>
      <c r="S9" s="79"/>
      <c r="T9" s="79"/>
      <c r="U9" s="79"/>
      <c r="V9" s="79"/>
      <c r="W9" s="143"/>
      <c r="X9" s="2"/>
      <c r="Y9" s="528" t="s">
        <v>157</v>
      </c>
      <c r="Z9" s="528"/>
      <c r="AA9" s="78">
        <f>Historical!K7</f>
        <v>1.4244806449283214</v>
      </c>
    </row>
    <row r="10" spans="1:27">
      <c r="A10" s="365"/>
      <c r="B10" s="305" t="s">
        <v>7</v>
      </c>
      <c r="C10" s="111"/>
      <c r="D10" s="306">
        <v>61.9</v>
      </c>
      <c r="E10" s="8"/>
      <c r="F10" s="306">
        <v>-8.0399999999999991</v>
      </c>
      <c r="G10" s="306">
        <v>16.350000000000001</v>
      </c>
      <c r="H10" s="306">
        <v>20.43</v>
      </c>
      <c r="I10" s="306">
        <v>20.43</v>
      </c>
      <c r="J10" s="306" t="s">
        <v>132</v>
      </c>
      <c r="K10" s="8"/>
      <c r="L10" s="312"/>
      <c r="M10" s="8"/>
      <c r="N10" s="314">
        <f>SUMPRODUCT(F10:H10,F11:H11)</f>
        <v>9.2415000000000003</v>
      </c>
      <c r="O10" s="232"/>
      <c r="P10" s="316">
        <f>AA9</f>
        <v>1.4244806449283214</v>
      </c>
      <c r="Q10" s="308"/>
      <c r="R10" s="315">
        <f>N10*P10</f>
        <v>13.164337880105082</v>
      </c>
      <c r="S10" s="308"/>
      <c r="T10" s="315">
        <f>R10/(1+$AA$14)</f>
        <v>11.989082746694365</v>
      </c>
      <c r="U10" s="308"/>
      <c r="V10" s="270">
        <v>0.2</v>
      </c>
      <c r="W10" s="116"/>
      <c r="X10" s="2"/>
      <c r="Y10" s="528" t="s">
        <v>8</v>
      </c>
      <c r="Z10" s="528"/>
      <c r="AA10" s="100">
        <f>DCF!E47</f>
        <v>543</v>
      </c>
    </row>
    <row r="11" spans="1:27">
      <c r="A11" s="365"/>
      <c r="B11" s="232" t="s">
        <v>4</v>
      </c>
      <c r="C11" s="232"/>
      <c r="D11" s="308"/>
      <c r="E11" s="232"/>
      <c r="F11" s="270">
        <v>0.35</v>
      </c>
      <c r="G11" s="270">
        <v>0.3</v>
      </c>
      <c r="H11" s="270">
        <v>0.35</v>
      </c>
      <c r="I11" s="270">
        <v>0</v>
      </c>
      <c r="J11" s="270">
        <v>0</v>
      </c>
      <c r="K11" s="8"/>
      <c r="L11" s="312"/>
      <c r="M11" s="8"/>
      <c r="N11" s="10"/>
      <c r="O11" s="8"/>
      <c r="P11" s="79"/>
      <c r="Q11" s="79"/>
      <c r="R11" s="122"/>
      <c r="S11" s="79"/>
      <c r="T11" s="122"/>
      <c r="U11" s="79"/>
      <c r="V11" s="116"/>
      <c r="W11" s="116"/>
      <c r="X11" s="219"/>
      <c r="Y11" s="528" t="s">
        <v>9</v>
      </c>
      <c r="Z11" s="528"/>
      <c r="AA11" s="395">
        <f>BS!G34</f>
        <v>4418</v>
      </c>
    </row>
    <row r="12" spans="1:27">
      <c r="A12" s="365"/>
      <c r="B12" s="8"/>
      <c r="C12" s="8"/>
      <c r="D12" s="79"/>
      <c r="E12" s="8"/>
      <c r="F12" s="143"/>
      <c r="G12" s="143"/>
      <c r="H12" s="501"/>
      <c r="I12" s="143"/>
      <c r="J12" s="143"/>
      <c r="K12" s="8"/>
      <c r="L12" s="312"/>
      <c r="M12" s="8"/>
      <c r="N12" s="10"/>
      <c r="O12" s="8"/>
      <c r="P12" s="79"/>
      <c r="Q12" s="79"/>
      <c r="R12" s="122"/>
      <c r="S12" s="79"/>
      <c r="T12" s="122"/>
      <c r="U12" s="79"/>
      <c r="V12" s="116"/>
      <c r="W12" s="116"/>
      <c r="X12" s="2"/>
      <c r="Y12" s="528" t="s">
        <v>10</v>
      </c>
      <c r="Z12" s="528"/>
      <c r="AA12" s="11">
        <f>'DCF Growth Rates'!K80</f>
        <v>0.17380227808086243</v>
      </c>
    </row>
    <row r="13" spans="1:27">
      <c r="A13" s="365"/>
      <c r="B13" s="111" t="s">
        <v>11</v>
      </c>
      <c r="C13" s="111"/>
      <c r="D13" s="79"/>
      <c r="E13" s="8"/>
      <c r="F13" s="143"/>
      <c r="G13" s="143"/>
      <c r="H13" s="501"/>
      <c r="I13" s="143"/>
      <c r="J13" s="143"/>
      <c r="K13" s="8"/>
      <c r="L13" s="312"/>
      <c r="M13" s="8"/>
      <c r="N13" s="174"/>
      <c r="O13" s="172"/>
      <c r="P13" s="143" t="s">
        <v>12</v>
      </c>
      <c r="Q13" s="143"/>
      <c r="R13" s="122"/>
      <c r="S13" s="143"/>
      <c r="T13" s="122"/>
      <c r="U13" s="143"/>
      <c r="V13" s="116"/>
      <c r="W13" s="116"/>
      <c r="X13" s="2"/>
      <c r="Y13" s="528" t="s">
        <v>159</v>
      </c>
      <c r="Z13" s="528"/>
      <c r="AA13" s="99">
        <f>DCF!K17+DCF!K16</f>
        <v>1419.8340000000003</v>
      </c>
    </row>
    <row r="14" spans="1:27">
      <c r="A14" s="365"/>
      <c r="B14" s="305" t="s">
        <v>13</v>
      </c>
      <c r="C14" s="111"/>
      <c r="D14" s="306">
        <v>3.33</v>
      </c>
      <c r="E14" s="8"/>
      <c r="F14" s="306">
        <v>0.56999999999999995</v>
      </c>
      <c r="G14" s="306">
        <v>3.09</v>
      </c>
      <c r="H14" s="306">
        <v>3.45</v>
      </c>
      <c r="I14" s="306" t="s">
        <v>132</v>
      </c>
      <c r="J14" s="306" t="s">
        <v>132</v>
      </c>
      <c r="K14" s="8"/>
      <c r="L14" s="312"/>
      <c r="M14" s="8"/>
      <c r="N14" s="314">
        <f>SUMPRODUCT(F14:H14,F15:H15)</f>
        <v>2.3339999999999996</v>
      </c>
      <c r="O14" s="232"/>
      <c r="P14" s="316">
        <f>AA7/AA10</f>
        <v>10.056906077348067</v>
      </c>
      <c r="Q14" s="308"/>
      <c r="R14" s="315">
        <f>N14*P14</f>
        <v>23.472818784530386</v>
      </c>
      <c r="S14" s="308"/>
      <c r="T14" s="315">
        <f>R14/(1+$AA$14)</f>
        <v>21.377267073279519</v>
      </c>
      <c r="U14" s="308"/>
      <c r="V14" s="270">
        <v>0.2</v>
      </c>
      <c r="W14" s="116"/>
      <c r="X14" s="2"/>
      <c r="Y14" s="528" t="s">
        <v>14</v>
      </c>
      <c r="Z14" s="528"/>
      <c r="AA14" s="101">
        <f>DCF!L48</f>
        <v>9.8027110016799132E-2</v>
      </c>
    </row>
    <row r="15" spans="1:27">
      <c r="A15" s="365"/>
      <c r="B15" s="232" t="s">
        <v>4</v>
      </c>
      <c r="C15" s="232"/>
      <c r="D15" s="308"/>
      <c r="E15" s="232"/>
      <c r="F15" s="270">
        <v>0.35</v>
      </c>
      <c r="G15" s="270">
        <v>0.3</v>
      </c>
      <c r="H15" s="270">
        <v>0.35</v>
      </c>
      <c r="I15" s="270">
        <v>0</v>
      </c>
      <c r="J15" s="270">
        <v>0</v>
      </c>
      <c r="K15" s="8"/>
      <c r="L15" s="312"/>
      <c r="M15" s="8"/>
      <c r="N15" s="10"/>
      <c r="O15" s="8"/>
      <c r="P15" s="79"/>
      <c r="Q15" s="79"/>
      <c r="R15" s="122"/>
      <c r="S15" s="79"/>
      <c r="T15" s="122"/>
      <c r="U15" s="79"/>
      <c r="V15" s="116"/>
      <c r="W15" s="116"/>
      <c r="X15" s="219"/>
      <c r="Y15" s="528" t="s">
        <v>15</v>
      </c>
      <c r="Z15" s="528"/>
      <c r="AA15" s="102">
        <f>BS!H4</f>
        <v>596</v>
      </c>
    </row>
    <row r="16" spans="1:27">
      <c r="A16" s="365"/>
      <c r="B16" s="8"/>
      <c r="C16" s="8"/>
      <c r="D16" s="79"/>
      <c r="E16" s="8"/>
      <c r="F16" s="143"/>
      <c r="G16" s="143"/>
      <c r="H16" s="501"/>
      <c r="I16" s="143"/>
      <c r="J16" s="143"/>
      <c r="K16" s="8"/>
      <c r="L16" s="312"/>
      <c r="M16" s="8"/>
      <c r="N16" s="10"/>
      <c r="O16" s="8"/>
      <c r="P16" s="79"/>
      <c r="Q16" s="79"/>
      <c r="R16" s="122"/>
      <c r="S16" s="79"/>
      <c r="T16" s="122"/>
      <c r="U16" s="79"/>
      <c r="V16" s="116"/>
      <c r="W16" s="116"/>
      <c r="X16" s="219"/>
      <c r="Y16" s="528" t="s">
        <v>16</v>
      </c>
      <c r="Z16" s="528"/>
      <c r="AA16" s="249">
        <f>BS!H21</f>
        <v>0</v>
      </c>
    </row>
    <row r="17" spans="1:39">
      <c r="A17" s="365"/>
      <c r="B17" s="111" t="s">
        <v>17</v>
      </c>
      <c r="C17" s="111"/>
      <c r="D17" s="79"/>
      <c r="E17" s="8"/>
      <c r="F17" s="143"/>
      <c r="G17" s="143"/>
      <c r="H17" s="501"/>
      <c r="I17" s="143"/>
      <c r="J17" s="143"/>
      <c r="K17" s="8"/>
      <c r="L17" s="312"/>
      <c r="M17" s="8"/>
      <c r="N17" s="10"/>
      <c r="O17" s="8"/>
      <c r="P17" s="79" t="s">
        <v>18</v>
      </c>
      <c r="Q17" s="79"/>
      <c r="R17" s="122"/>
      <c r="S17" s="79"/>
      <c r="T17" s="122"/>
      <c r="U17" s="79"/>
      <c r="V17" s="116"/>
      <c r="W17" s="116"/>
      <c r="X17" s="2"/>
      <c r="Y17" s="528" t="s">
        <v>19</v>
      </c>
      <c r="Z17" s="528"/>
      <c r="AA17" s="19">
        <v>0</v>
      </c>
    </row>
    <row r="18" spans="1:39">
      <c r="A18" s="365"/>
      <c r="B18" s="305" t="s">
        <v>20</v>
      </c>
      <c r="C18" s="111"/>
      <c r="D18" s="306">
        <v>3.53</v>
      </c>
      <c r="E18" s="8"/>
      <c r="F18" s="306" t="s">
        <v>132</v>
      </c>
      <c r="G18" s="307">
        <v>2.71</v>
      </c>
      <c r="H18" s="306">
        <v>2.58</v>
      </c>
      <c r="I18" s="306" t="s">
        <v>132</v>
      </c>
      <c r="J18" s="306" t="s">
        <v>132</v>
      </c>
      <c r="K18" s="8"/>
      <c r="L18" s="312"/>
      <c r="M18" s="8"/>
      <c r="N18" s="314">
        <f>SUMPRODUCT(G18:H18,G19:H19)</f>
        <v>2.645</v>
      </c>
      <c r="O18" s="232"/>
      <c r="P18" s="316">
        <f>AA11/AA10</f>
        <v>8.1362799263351757</v>
      </c>
      <c r="Q18" s="308"/>
      <c r="R18" s="315">
        <f>N18*P18</f>
        <v>21.520460405156541</v>
      </c>
      <c r="S18" s="308"/>
      <c r="T18" s="315">
        <f>P18*N18</f>
        <v>21.520460405156541</v>
      </c>
      <c r="U18" s="308"/>
      <c r="V18" s="270">
        <v>0.2</v>
      </c>
      <c r="W18" s="116"/>
      <c r="X18" s="2"/>
      <c r="Y18" s="528" t="s">
        <v>21</v>
      </c>
      <c r="Z18" s="528"/>
      <c r="AA18" s="19">
        <v>0</v>
      </c>
    </row>
    <row r="19" spans="1:39">
      <c r="A19" s="365"/>
      <c r="B19" s="232" t="s">
        <v>4</v>
      </c>
      <c r="C19" s="232"/>
      <c r="D19" s="308"/>
      <c r="E19" s="232"/>
      <c r="F19" s="270">
        <v>0</v>
      </c>
      <c r="G19" s="270">
        <v>0.5</v>
      </c>
      <c r="H19" s="270">
        <v>0.5</v>
      </c>
      <c r="I19" s="270">
        <v>0</v>
      </c>
      <c r="J19" s="270">
        <v>0</v>
      </c>
      <c r="K19" s="8"/>
      <c r="L19" s="312"/>
      <c r="M19" s="8"/>
      <c r="N19" s="10"/>
      <c r="O19" s="8"/>
      <c r="P19" s="79"/>
      <c r="Q19" s="79"/>
      <c r="R19" s="122"/>
      <c r="S19" s="79"/>
      <c r="T19" s="122"/>
      <c r="U19" s="79"/>
      <c r="V19" s="116"/>
      <c r="W19" s="116"/>
      <c r="X19" s="2"/>
      <c r="Y19" s="525" t="s">
        <v>22</v>
      </c>
      <c r="Z19" s="525"/>
      <c r="AA19" s="103">
        <v>1</v>
      </c>
    </row>
    <row r="20" spans="1:39" ht="15" thickBot="1">
      <c r="A20" s="365"/>
      <c r="B20" s="8"/>
      <c r="C20" s="8"/>
      <c r="D20" s="79"/>
      <c r="E20" s="8"/>
      <c r="F20" s="143"/>
      <c r="G20" s="143"/>
      <c r="H20" s="501"/>
      <c r="I20" s="143"/>
      <c r="J20" s="143"/>
      <c r="K20" s="8"/>
      <c r="L20" s="312"/>
      <c r="M20" s="8"/>
      <c r="N20" s="10"/>
      <c r="O20" s="8"/>
      <c r="P20" s="79"/>
      <c r="Q20" s="79"/>
      <c r="R20" s="122"/>
      <c r="S20" s="79"/>
      <c r="T20" s="122"/>
      <c r="U20" s="79"/>
      <c r="V20" s="116"/>
      <c r="W20" s="116"/>
      <c r="X20" s="2"/>
      <c r="Y20" s="526" t="s">
        <v>23</v>
      </c>
      <c r="Z20" s="526"/>
      <c r="AA20" s="104">
        <v>1</v>
      </c>
    </row>
    <row r="21" spans="1:39">
      <c r="A21" s="365"/>
      <c r="B21" s="111" t="s">
        <v>24</v>
      </c>
      <c r="C21" s="111"/>
      <c r="D21" s="79"/>
      <c r="E21" s="8"/>
      <c r="F21" s="143"/>
      <c r="G21" s="143"/>
      <c r="H21" s="501"/>
      <c r="I21" s="143"/>
      <c r="J21" s="143"/>
      <c r="K21" s="8"/>
      <c r="L21" s="312"/>
      <c r="M21" s="8"/>
      <c r="N21" s="10"/>
      <c r="O21" s="8"/>
      <c r="P21" s="79" t="s">
        <v>25</v>
      </c>
      <c r="Q21" s="79"/>
      <c r="R21" s="122"/>
      <c r="S21" s="121"/>
      <c r="T21" s="123"/>
      <c r="U21" s="79"/>
      <c r="V21" s="116"/>
      <c r="W21" s="116"/>
      <c r="X21" s="2"/>
      <c r="AA21" s="15"/>
    </row>
    <row r="22" spans="1:39">
      <c r="A22" s="365"/>
      <c r="B22" s="305" t="s">
        <v>26</v>
      </c>
      <c r="C22" s="111"/>
      <c r="D22" s="306">
        <v>1.87</v>
      </c>
      <c r="E22" s="8"/>
      <c r="F22" s="306" t="s">
        <v>132</v>
      </c>
      <c r="G22" s="307">
        <v>1.83</v>
      </c>
      <c r="H22" s="306">
        <v>1.83</v>
      </c>
      <c r="I22" s="306" t="s">
        <v>132</v>
      </c>
      <c r="J22" s="306" t="s">
        <v>132</v>
      </c>
      <c r="K22" s="8"/>
      <c r="L22" s="312"/>
      <c r="M22" s="8"/>
      <c r="N22" s="314">
        <f>SUMPRODUCT(G22,G23)</f>
        <v>0.91500000000000004</v>
      </c>
      <c r="O22" s="232"/>
      <c r="P22" s="317">
        <f>AA12</f>
        <v>0.17380227808086243</v>
      </c>
      <c r="Q22" s="308"/>
      <c r="R22" s="315">
        <f>N22*(P22*100)*AA9</f>
        <v>22.653385277113411</v>
      </c>
      <c r="S22" s="315"/>
      <c r="T22" s="315">
        <v>194.59</v>
      </c>
      <c r="U22" s="308"/>
      <c r="V22" s="270">
        <v>0.3</v>
      </c>
      <c r="W22" s="116"/>
      <c r="X22" s="2"/>
      <c r="AA22" s="15"/>
      <c r="AM22" s="76"/>
    </row>
    <row r="23" spans="1:39">
      <c r="A23" s="365"/>
      <c r="B23" s="232" t="s">
        <v>4</v>
      </c>
      <c r="C23" s="232"/>
      <c r="D23" s="308"/>
      <c r="E23" s="232"/>
      <c r="F23" s="270">
        <v>0</v>
      </c>
      <c r="G23" s="270">
        <v>0.5</v>
      </c>
      <c r="H23" s="270">
        <v>0.5</v>
      </c>
      <c r="I23" s="270">
        <v>0</v>
      </c>
      <c r="J23" s="270">
        <v>0</v>
      </c>
      <c r="K23" s="8"/>
      <c r="L23" s="312"/>
      <c r="M23" s="8"/>
      <c r="N23" s="10"/>
      <c r="O23" s="8"/>
      <c r="P23" s="79"/>
      <c r="Q23" s="79"/>
      <c r="R23" s="122"/>
      <c r="S23" s="79"/>
      <c r="T23" s="122"/>
      <c r="U23" s="79"/>
      <c r="V23" s="116"/>
      <c r="W23" s="116"/>
      <c r="X23" s="2"/>
      <c r="AA23" s="15"/>
    </row>
    <row r="24" spans="1:39">
      <c r="A24" s="365"/>
      <c r="B24" s="8"/>
      <c r="C24" s="8"/>
      <c r="D24" s="79"/>
      <c r="E24" s="8"/>
      <c r="F24" s="143"/>
      <c r="G24" s="143"/>
      <c r="H24" s="501"/>
      <c r="I24" s="143"/>
      <c r="J24" s="143"/>
      <c r="K24" s="8"/>
      <c r="L24" s="312"/>
      <c r="M24" s="8"/>
      <c r="N24" s="10"/>
      <c r="O24" s="8"/>
      <c r="P24" s="79"/>
      <c r="Q24" s="79"/>
      <c r="R24" s="122"/>
      <c r="S24" s="79"/>
      <c r="T24" s="122"/>
      <c r="U24" s="79"/>
      <c r="V24" s="116"/>
      <c r="W24" s="116"/>
      <c r="X24" s="2"/>
      <c r="AA24" s="15"/>
    </row>
    <row r="25" spans="1:39">
      <c r="A25" s="365"/>
      <c r="B25" s="111" t="s">
        <v>27</v>
      </c>
      <c r="C25" s="111"/>
      <c r="D25" s="79"/>
      <c r="E25" s="8"/>
      <c r="F25" s="143"/>
      <c r="G25" s="143"/>
      <c r="H25" s="501"/>
      <c r="I25" s="143"/>
      <c r="J25" s="143"/>
      <c r="K25" s="8"/>
      <c r="L25" s="312"/>
      <c r="M25" s="8"/>
      <c r="N25" s="10"/>
      <c r="O25" s="8"/>
      <c r="P25" s="79" t="s">
        <v>28</v>
      </c>
      <c r="Q25" s="79"/>
      <c r="R25" s="122"/>
      <c r="S25" s="79"/>
      <c r="T25" s="122"/>
      <c r="U25" s="79"/>
      <c r="V25" s="116"/>
      <c r="W25" s="116"/>
      <c r="X25" s="2"/>
      <c r="AA25" s="76"/>
    </row>
    <row r="26" spans="1:39">
      <c r="A26" s="365"/>
      <c r="B26" s="305" t="s">
        <v>29</v>
      </c>
      <c r="C26" s="111"/>
      <c r="D26" s="306">
        <v>28.16</v>
      </c>
      <c r="E26" s="8"/>
      <c r="F26" s="306">
        <v>-45.84</v>
      </c>
      <c r="G26" s="306">
        <v>7.53</v>
      </c>
      <c r="H26" s="306">
        <v>10.89</v>
      </c>
      <c r="I26" s="306" t="s">
        <v>132</v>
      </c>
      <c r="J26" s="306" t="s">
        <v>132</v>
      </c>
      <c r="K26" s="8"/>
      <c r="L26" s="312"/>
      <c r="M26" s="8"/>
      <c r="N26" s="314">
        <f>SUMPRODUCT(F26:H26,F27:H27)</f>
        <v>-9.9734999999999996</v>
      </c>
      <c r="O26" s="232"/>
      <c r="P26" s="316">
        <f>AA13/AA10</f>
        <v>2.6147955801104978</v>
      </c>
      <c r="Q26" s="308"/>
      <c r="R26" s="315">
        <f>N26*P26-(AA16+AA17+AA18)/AA10+(AA15)/AA10</f>
        <v>-24.981057825046047</v>
      </c>
      <c r="S26" s="308"/>
      <c r="T26" s="315">
        <f>R26/(1+$AA$14)</f>
        <v>-22.750857057312412</v>
      </c>
      <c r="U26" s="308"/>
      <c r="V26" s="270">
        <v>0.1</v>
      </c>
      <c r="W26" s="116"/>
      <c r="X26" s="2"/>
    </row>
    <row r="27" spans="1:39" ht="15" thickBot="1">
      <c r="A27" s="365"/>
      <c r="B27" s="232" t="s">
        <v>4</v>
      </c>
      <c r="C27" s="232"/>
      <c r="D27" s="308"/>
      <c r="E27" s="232"/>
      <c r="F27" s="270">
        <v>0.35</v>
      </c>
      <c r="G27" s="270">
        <v>0.3</v>
      </c>
      <c r="H27" s="270">
        <v>0.35</v>
      </c>
      <c r="I27" s="270">
        <v>0</v>
      </c>
      <c r="J27" s="270">
        <v>0</v>
      </c>
      <c r="K27" s="143"/>
      <c r="L27" s="313"/>
      <c r="M27" s="8"/>
      <c r="N27" s="311"/>
      <c r="O27" s="310"/>
      <c r="P27" s="310"/>
      <c r="Q27" s="310"/>
      <c r="R27" s="310"/>
      <c r="S27" s="310"/>
      <c r="T27" s="310"/>
      <c r="U27" s="310"/>
      <c r="V27" s="310"/>
      <c r="W27" s="172"/>
      <c r="X27" s="2"/>
    </row>
    <row r="28" spans="1:39" ht="15" thickBot="1">
      <c r="A28" s="365"/>
      <c r="B28" s="2"/>
      <c r="C28" s="2"/>
      <c r="D28" s="2"/>
      <c r="E28" s="8"/>
      <c r="F28" s="2"/>
      <c r="G28" s="2"/>
      <c r="H28" s="172"/>
      <c r="I28" s="2"/>
      <c r="J28" s="2"/>
      <c r="K28" s="2"/>
      <c r="L28" s="2"/>
      <c r="M28" s="2"/>
      <c r="N28" s="10"/>
      <c r="O28" s="2"/>
      <c r="P28" s="2"/>
      <c r="Q28" s="2"/>
      <c r="R28" s="2"/>
      <c r="S28" s="2"/>
    </row>
    <row r="29" spans="1:39">
      <c r="A29" s="365"/>
      <c r="B29" s="2"/>
      <c r="C29" s="2"/>
      <c r="D29" s="2"/>
      <c r="E29" s="2"/>
      <c r="F29" s="2"/>
      <c r="G29" s="2"/>
      <c r="H29" s="172"/>
      <c r="I29" s="2"/>
      <c r="J29" s="2"/>
      <c r="K29" s="2"/>
      <c r="L29" s="2"/>
      <c r="M29" s="2"/>
      <c r="N29" s="10"/>
      <c r="O29" s="2"/>
      <c r="P29" s="2"/>
      <c r="Q29" s="2"/>
      <c r="R29" s="2"/>
      <c r="T29" s="12" t="s">
        <v>30</v>
      </c>
      <c r="U29" s="3"/>
      <c r="V29" s="109">
        <f>SUMPRODUCT(T10:T26,V10:V26)</f>
        <v>67.079276339294836</v>
      </c>
      <c r="W29" s="240"/>
      <c r="X29" s="15"/>
      <c r="Y29" s="15"/>
    </row>
    <row r="30" spans="1:39" ht="15" thickBot="1">
      <c r="A30" s="365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10"/>
      <c r="O30" s="2"/>
      <c r="P30" s="2"/>
      <c r="Q30" s="2"/>
      <c r="R30" s="2"/>
      <c r="T30" s="527" t="s">
        <v>31</v>
      </c>
      <c r="U30" s="526"/>
      <c r="V30" s="13">
        <f>(V29-Valuation!F10)/Valuation!F10</f>
        <v>3.4297133776341302E-3</v>
      </c>
      <c r="W30" s="247"/>
    </row>
    <row r="31" spans="1:39" ht="48" customHeight="1">
      <c r="A31" s="365"/>
      <c r="B31" s="2"/>
      <c r="C31" s="2"/>
      <c r="D31" s="2"/>
      <c r="E31" s="2"/>
      <c r="F31" s="17"/>
      <c r="G31" s="17"/>
      <c r="H31" s="17"/>
      <c r="I31" s="17"/>
      <c r="J31" s="17"/>
      <c r="K31" s="2"/>
      <c r="L31" s="2"/>
      <c r="M31" s="2"/>
      <c r="N31" s="2"/>
      <c r="O31" s="2"/>
      <c r="P31" s="2"/>
      <c r="Q31" s="2"/>
      <c r="R31" s="2"/>
      <c r="V31" s="15"/>
      <c r="W31" s="175"/>
    </row>
    <row r="32" spans="1:39" s="464" customFormat="1" ht="48" customHeight="1">
      <c r="A32" s="367"/>
    </row>
    <row r="33" spans="22:23">
      <c r="V33" s="15"/>
      <c r="W33" s="175"/>
    </row>
  </sheetData>
  <mergeCells count="15">
    <mergeCell ref="Y12:Z12"/>
    <mergeCell ref="Y7:Z7"/>
    <mergeCell ref="Y8:Z8"/>
    <mergeCell ref="Y9:Z9"/>
    <mergeCell ref="Y10:Z10"/>
    <mergeCell ref="Y11:Z11"/>
    <mergeCell ref="Y19:Z19"/>
    <mergeCell ref="Y20:Z20"/>
    <mergeCell ref="T30:U30"/>
    <mergeCell ref="Y13:Z13"/>
    <mergeCell ref="Y14:Z14"/>
    <mergeCell ref="Y15:Z15"/>
    <mergeCell ref="Y16:Z16"/>
    <mergeCell ref="Y17:Z17"/>
    <mergeCell ref="Y18:Z18"/>
  </mergeCell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9A2CC525B44464FA614728C776CFA17" ma:contentTypeVersion="5" ma:contentTypeDescription="Create a new document." ma:contentTypeScope="" ma:versionID="2cff5b954241817594eff5be621abbee">
  <xsd:schema xmlns:xsd="http://www.w3.org/2001/XMLSchema" xmlns:xs="http://www.w3.org/2001/XMLSchema" xmlns:p="http://schemas.microsoft.com/office/2006/metadata/properties" xmlns:ns2="faf8ab08-df85-4b45-9a25-4853a5308fc4" xmlns:ns3="2992665c-6a9e-43ea-8d81-3e749169cff1" targetNamespace="http://schemas.microsoft.com/office/2006/metadata/properties" ma:root="true" ma:fieldsID="30be19432e397eab5c92934052675e1e" ns2:_="" ns3:_="">
    <xsd:import namespace="faf8ab08-df85-4b45-9a25-4853a5308fc4"/>
    <xsd:import namespace="2992665c-6a9e-43ea-8d81-3e749169cff1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ingHintHash" minOccurs="0"/>
                <xsd:element ref="ns2:SharedWithDetails" minOccurs="0"/>
                <xsd:element ref="ns3:LastSharedByUser" minOccurs="0"/>
                <xsd:element ref="ns3:LastSharedBy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f8ab08-df85-4b45-9a25-4853a5308fc4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ingHintHash" ma:index="9" nillable="true" ma:displayName="Sharing Hint Hash" ma:internalName="SharingHintHash" ma:readOnly="true">
      <xsd:simpleType>
        <xsd:restriction base="dms:Text"/>
      </xsd:simpleType>
    </xsd:element>
    <xsd:element name="SharedWithDetails" ma:index="1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92665c-6a9e-43ea-8d81-3e749169cff1" elementFormDefault="qualified">
    <xsd:import namespace="http://schemas.microsoft.com/office/2006/documentManagement/types"/>
    <xsd:import namespace="http://schemas.microsoft.com/office/infopath/2007/PartnerControls"/>
    <xsd:element name="LastSharedByUser" ma:index="11" nillable="true" ma:displayName="Last Shared By User" ma:description="" ma:internalName="LastSharedByUser" ma:readOnly="true">
      <xsd:simpleType>
        <xsd:restriction base="dms:Note">
          <xsd:maxLength value="255"/>
        </xsd:restriction>
      </xsd:simpleType>
    </xsd:element>
    <xsd:element name="LastSharedByTime" ma:index="12" nillable="true" ma:displayName="Last Shared By Time" ma:description="" ma:internalName="LastSharedByTime" ma:readOnly="tru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00B3292-4C9E-4E89-AC27-5FD015D8ADA8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faf8ab08-df85-4b45-9a25-4853a5308fc4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7161264B-DD80-47B5-9425-043E8743344B}"/>
</file>

<file path=customXml/itemProps3.xml><?xml version="1.0" encoding="utf-8"?>
<ds:datastoreItem xmlns:ds="http://schemas.openxmlformats.org/officeDocument/2006/customXml" ds:itemID="{642B63FF-63DA-46E3-87CE-C2D7A91EB85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Valuation</vt:lpstr>
      <vt:lpstr>BS</vt:lpstr>
      <vt:lpstr>IS</vt:lpstr>
      <vt:lpstr>CF</vt:lpstr>
      <vt:lpstr>Beta</vt:lpstr>
      <vt:lpstr>Obligations</vt:lpstr>
      <vt:lpstr>DCF Growth Rates</vt:lpstr>
      <vt:lpstr>DCF</vt:lpstr>
      <vt:lpstr>Comparable</vt:lpstr>
      <vt:lpstr>Historical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AHastings756@gmail.com</dc:creator>
  <cp:lastModifiedBy>Arman Hastings</cp:lastModifiedBy>
  <dcterms:created xsi:type="dcterms:W3CDTF">2015-12-28T00:50:07Z</dcterms:created>
  <dcterms:modified xsi:type="dcterms:W3CDTF">2016-10-14T16:06:02Z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0x01010099A2CC525B44464FA614728C776CFA17</vt:lpwstr>
  </property>
</Properties>
</file>