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8376" windowHeight="8748" tabRatio="743" activeTab="10"/>
  </bookViews>
  <sheets>
    <sheet name="Valuation" sheetId="1" r:id="rId1"/>
    <sheet name="BS" sheetId="2" r:id="rId2"/>
    <sheet name="IS" sheetId="3" r:id="rId3"/>
    <sheet name="CF" sheetId="4" r:id="rId4"/>
    <sheet name="Beta" sheetId="5" r:id="rId5"/>
    <sheet name="Obligations" sheetId="6" r:id="rId6"/>
    <sheet name="DCF Growth Rates" sheetId="7" r:id="rId7"/>
    <sheet name="DCF" sheetId="8" r:id="rId8"/>
    <sheet name="Relative" sheetId="9" r:id="rId9"/>
    <sheet name="Historical" sheetId="10" r:id="rId10"/>
    <sheet name="DuPoint" sheetId="11" r:id="rId11"/>
  </sheets>
  <calcPr calcId="144525" iterateDelta="1E-4"/>
</workbook>
</file>

<file path=xl/calcChain.xml><?xml version="1.0" encoding="utf-8"?>
<calcChain xmlns="http://schemas.openxmlformats.org/spreadsheetml/2006/main">
  <c r="E20" i="6" l="1"/>
  <c r="C21" i="6" l="1"/>
  <c r="M7" i="8"/>
  <c r="I10" i="7"/>
  <c r="I99" i="7" l="1"/>
  <c r="J99" i="7"/>
  <c r="P18" i="9"/>
  <c r="N18" i="9"/>
  <c r="V14" i="9"/>
  <c r="J14" i="9" l="1"/>
  <c r="J10" i="9"/>
  <c r="V12" i="9"/>
  <c r="G13" i="11"/>
  <c r="F13" i="11"/>
  <c r="E13" i="11"/>
  <c r="D13" i="11"/>
  <c r="C13" i="11"/>
  <c r="G12" i="11"/>
  <c r="F12" i="11"/>
  <c r="E12" i="11"/>
  <c r="D12" i="11"/>
  <c r="C12" i="11"/>
  <c r="G11" i="11"/>
  <c r="F11" i="11"/>
  <c r="E11" i="11"/>
  <c r="D11" i="11"/>
  <c r="C11" i="11"/>
  <c r="G10" i="11"/>
  <c r="G14" i="11" s="1"/>
  <c r="F10" i="11"/>
  <c r="E10" i="11"/>
  <c r="E14" i="11" s="1"/>
  <c r="D10" i="11"/>
  <c r="C10" i="11"/>
  <c r="C14" i="11" s="1"/>
  <c r="G9" i="11"/>
  <c r="F9" i="11"/>
  <c r="F14" i="11" s="1"/>
  <c r="E9" i="11"/>
  <c r="D9" i="11"/>
  <c r="D14" i="11" s="1"/>
  <c r="C9" i="11"/>
  <c r="E8" i="11"/>
  <c r="G7" i="11"/>
  <c r="F7" i="11"/>
  <c r="F8" i="11" s="1"/>
  <c r="E7" i="11"/>
  <c r="D7" i="11"/>
  <c r="D8" i="11" s="1"/>
  <c r="C7" i="11"/>
  <c r="G6" i="11"/>
  <c r="G8" i="11" s="1"/>
  <c r="F6" i="11"/>
  <c r="E6" i="11"/>
  <c r="D6" i="11"/>
  <c r="C6" i="11"/>
  <c r="C8" i="11" s="1"/>
  <c r="M12" i="10"/>
  <c r="L12" i="10"/>
  <c r="K12" i="10"/>
  <c r="H16" i="10" s="1"/>
  <c r="J12" i="10"/>
  <c r="I12" i="10"/>
  <c r="J16" i="10" s="1"/>
  <c r="H12" i="10"/>
  <c r="G12" i="10"/>
  <c r="N16" i="10" s="1"/>
  <c r="F12" i="10"/>
  <c r="E12" i="10"/>
  <c r="D12" i="10"/>
  <c r="M11" i="10"/>
  <c r="D15" i="10" s="1"/>
  <c r="L11" i="10"/>
  <c r="K11" i="10"/>
  <c r="F15" i="10" s="1"/>
  <c r="J11" i="10"/>
  <c r="I11" i="10"/>
  <c r="J15" i="10" s="1"/>
  <c r="H11" i="10"/>
  <c r="G11" i="10"/>
  <c r="N15" i="10" s="1"/>
  <c r="F11" i="10"/>
  <c r="E11" i="10"/>
  <c r="D11" i="10"/>
  <c r="J26" i="9"/>
  <c r="J22" i="9"/>
  <c r="J18" i="9"/>
  <c r="V16" i="9"/>
  <c r="V15" i="9"/>
  <c r="V11" i="9"/>
  <c r="V10" i="9"/>
  <c r="C41" i="8"/>
  <c r="F31" i="8"/>
  <c r="E31" i="8"/>
  <c r="D31" i="8"/>
  <c r="C31" i="8"/>
  <c r="F25" i="8"/>
  <c r="E25" i="8"/>
  <c r="D25" i="8"/>
  <c r="C25" i="8"/>
  <c r="F24" i="8"/>
  <c r="E24" i="8"/>
  <c r="D24" i="8"/>
  <c r="C24" i="8"/>
  <c r="F23" i="8"/>
  <c r="E23" i="8"/>
  <c r="D23" i="8"/>
  <c r="C23" i="8"/>
  <c r="F21" i="8"/>
  <c r="E21" i="8"/>
  <c r="D21" i="8"/>
  <c r="C21" i="8"/>
  <c r="F20" i="8"/>
  <c r="E20" i="8"/>
  <c r="D20" i="8"/>
  <c r="C20" i="8"/>
  <c r="F19" i="8"/>
  <c r="E19" i="8"/>
  <c r="D19" i="8"/>
  <c r="C19" i="8"/>
  <c r="F18" i="8"/>
  <c r="E18" i="8"/>
  <c r="D18" i="8"/>
  <c r="C18" i="8"/>
  <c r="F16" i="8"/>
  <c r="E16" i="8"/>
  <c r="D16" i="8"/>
  <c r="C16" i="8"/>
  <c r="F14" i="8"/>
  <c r="E14" i="8"/>
  <c r="D14" i="8"/>
  <c r="C14" i="8"/>
  <c r="F13" i="8"/>
  <c r="E13" i="8"/>
  <c r="D13" i="8"/>
  <c r="C13" i="8"/>
  <c r="F12" i="8"/>
  <c r="F15" i="8" s="1"/>
  <c r="E12" i="8"/>
  <c r="E15" i="8" s="1"/>
  <c r="D12" i="8"/>
  <c r="D15" i="8" s="1"/>
  <c r="C12" i="8"/>
  <c r="C15" i="8" s="1"/>
  <c r="F8" i="8"/>
  <c r="E8" i="8"/>
  <c r="D8" i="8"/>
  <c r="C8" i="8"/>
  <c r="C9" i="8" s="1"/>
  <c r="F7" i="8"/>
  <c r="F9" i="8" s="1"/>
  <c r="E7" i="8"/>
  <c r="E9" i="8" s="1"/>
  <c r="E17" i="8" s="1"/>
  <c r="D7" i="8"/>
  <c r="D9" i="8" s="1"/>
  <c r="C7" i="8"/>
  <c r="G99" i="7"/>
  <c r="E99" i="7"/>
  <c r="D99" i="7"/>
  <c r="D98" i="7"/>
  <c r="H97" i="7"/>
  <c r="H99" i="7" s="1"/>
  <c r="G97" i="7"/>
  <c r="F97" i="7"/>
  <c r="F99" i="7" s="1"/>
  <c r="E97" i="7"/>
  <c r="D97" i="7"/>
  <c r="F89" i="7"/>
  <c r="E89" i="7"/>
  <c r="D89" i="7"/>
  <c r="G88" i="7"/>
  <c r="D88" i="7"/>
  <c r="E87" i="7"/>
  <c r="G86" i="7"/>
  <c r="G87" i="7" s="1"/>
  <c r="M24" i="8" s="1"/>
  <c r="F86" i="7"/>
  <c r="F87" i="7" s="1"/>
  <c r="E86" i="7"/>
  <c r="E88" i="7" s="1"/>
  <c r="D86" i="7"/>
  <c r="C86" i="7"/>
  <c r="F84" i="7"/>
  <c r="E84" i="7"/>
  <c r="D84" i="7"/>
  <c r="G83" i="7"/>
  <c r="D83" i="7"/>
  <c r="E82" i="7"/>
  <c r="C82" i="7"/>
  <c r="G81" i="7"/>
  <c r="H98" i="7" s="1"/>
  <c r="F81" i="7"/>
  <c r="F82" i="7" s="1"/>
  <c r="E81" i="7"/>
  <c r="E98" i="7" s="1"/>
  <c r="D81" i="7"/>
  <c r="C81" i="7"/>
  <c r="G78" i="7"/>
  <c r="D78" i="7"/>
  <c r="G76" i="7"/>
  <c r="G77" i="7" s="1"/>
  <c r="D76" i="7"/>
  <c r="D77" i="7" s="1"/>
  <c r="C76" i="7"/>
  <c r="G75" i="7"/>
  <c r="G79" i="7" s="1"/>
  <c r="F75" i="7"/>
  <c r="F76" i="7" s="1"/>
  <c r="F77" i="7" s="1"/>
  <c r="E75" i="7"/>
  <c r="E76" i="7" s="1"/>
  <c r="E77" i="7" s="1"/>
  <c r="D75" i="7"/>
  <c r="D79" i="7" s="1"/>
  <c r="C75" i="7"/>
  <c r="E73" i="7"/>
  <c r="D73" i="7"/>
  <c r="F72" i="7"/>
  <c r="G71" i="7"/>
  <c r="D71" i="7"/>
  <c r="G70" i="7"/>
  <c r="G72" i="7" s="1"/>
  <c r="F70" i="7"/>
  <c r="F71" i="7" s="1"/>
  <c r="M23" i="8" s="1"/>
  <c r="E70" i="7"/>
  <c r="E71" i="7" s="1"/>
  <c r="D70" i="7"/>
  <c r="D82" i="7" s="1"/>
  <c r="C70" i="7"/>
  <c r="G65" i="7"/>
  <c r="F65" i="7"/>
  <c r="F66" i="7" s="1"/>
  <c r="E65" i="7"/>
  <c r="E66" i="7" s="1"/>
  <c r="D65" i="7"/>
  <c r="C65" i="7"/>
  <c r="D61" i="7"/>
  <c r="G60" i="7"/>
  <c r="G61" i="7" s="1"/>
  <c r="F60" i="7"/>
  <c r="F61" i="7" s="1"/>
  <c r="E60" i="7"/>
  <c r="E61" i="7" s="1"/>
  <c r="D60" i="7"/>
  <c r="C60" i="7"/>
  <c r="G56" i="7"/>
  <c r="D56" i="7"/>
  <c r="G55" i="7"/>
  <c r="F55" i="7"/>
  <c r="C55" i="7"/>
  <c r="G54" i="7"/>
  <c r="G58" i="7" s="1"/>
  <c r="F54" i="7"/>
  <c r="F56" i="7" s="1"/>
  <c r="E54" i="7"/>
  <c r="E56" i="7" s="1"/>
  <c r="D54" i="7"/>
  <c r="D58" i="7" s="1"/>
  <c r="C54" i="7"/>
  <c r="C56" i="7" s="1"/>
  <c r="G53" i="7"/>
  <c r="F53" i="7"/>
  <c r="G57" i="7" s="1"/>
  <c r="E53" i="7"/>
  <c r="E55" i="7" s="1"/>
  <c r="D53" i="7"/>
  <c r="D55" i="7" s="1"/>
  <c r="C53" i="7"/>
  <c r="D57" i="7" s="1"/>
  <c r="G51" i="7"/>
  <c r="D51" i="7"/>
  <c r="G50" i="7"/>
  <c r="D49" i="7"/>
  <c r="G48" i="7"/>
  <c r="F48" i="7"/>
  <c r="F51" i="7" s="1"/>
  <c r="E48" i="7"/>
  <c r="E51" i="7" s="1"/>
  <c r="D48" i="7"/>
  <c r="D50" i="7" s="1"/>
  <c r="C48" i="7"/>
  <c r="G46" i="7"/>
  <c r="D46" i="7"/>
  <c r="G45" i="7"/>
  <c r="D44" i="7"/>
  <c r="G43" i="7"/>
  <c r="F43" i="7"/>
  <c r="F46" i="7" s="1"/>
  <c r="E43" i="7"/>
  <c r="E46" i="7" s="1"/>
  <c r="D43" i="7"/>
  <c r="D45" i="7" s="1"/>
  <c r="C43" i="7"/>
  <c r="G41" i="7"/>
  <c r="D41" i="7"/>
  <c r="G40" i="7"/>
  <c r="D39" i="7"/>
  <c r="G38" i="7"/>
  <c r="F38" i="7"/>
  <c r="F41" i="7" s="1"/>
  <c r="E38" i="7"/>
  <c r="E41" i="7" s="1"/>
  <c r="D38" i="7"/>
  <c r="D40" i="7" s="1"/>
  <c r="C38" i="7"/>
  <c r="G36" i="7"/>
  <c r="D36" i="7"/>
  <c r="G35" i="7"/>
  <c r="D34" i="7"/>
  <c r="G33" i="7"/>
  <c r="F33" i="7"/>
  <c r="F36" i="7" s="1"/>
  <c r="E33" i="7"/>
  <c r="E36" i="7" s="1"/>
  <c r="D33" i="7"/>
  <c r="D35" i="7" s="1"/>
  <c r="C33" i="7"/>
  <c r="G31" i="7"/>
  <c r="D31" i="7"/>
  <c r="G30" i="7"/>
  <c r="D29" i="7"/>
  <c r="G28" i="7"/>
  <c r="F28" i="7"/>
  <c r="F31" i="7" s="1"/>
  <c r="E28" i="7"/>
  <c r="E31" i="7" s="1"/>
  <c r="D28" i="7"/>
  <c r="D30" i="7" s="1"/>
  <c r="C28" i="7"/>
  <c r="G26" i="7"/>
  <c r="D26" i="7"/>
  <c r="I26" i="7" s="1"/>
  <c r="G25" i="7"/>
  <c r="D24" i="7"/>
  <c r="G23" i="7"/>
  <c r="F23" i="7"/>
  <c r="F26" i="7" s="1"/>
  <c r="E23" i="7"/>
  <c r="E26" i="7" s="1"/>
  <c r="D23" i="7"/>
  <c r="D25" i="7" s="1"/>
  <c r="C23" i="7"/>
  <c r="G21" i="7"/>
  <c r="D21" i="7"/>
  <c r="G20" i="7"/>
  <c r="D19" i="7"/>
  <c r="C19" i="7"/>
  <c r="G18" i="7"/>
  <c r="F18" i="7"/>
  <c r="F21" i="7" s="1"/>
  <c r="E18" i="7"/>
  <c r="E21" i="7" s="1"/>
  <c r="D18" i="7"/>
  <c r="D20" i="7" s="1"/>
  <c r="C18" i="7"/>
  <c r="G16" i="7"/>
  <c r="D16" i="7"/>
  <c r="G15" i="7"/>
  <c r="D14" i="7"/>
  <c r="G13" i="7"/>
  <c r="F13" i="7"/>
  <c r="F16" i="7" s="1"/>
  <c r="E13" i="7"/>
  <c r="E16" i="7" s="1"/>
  <c r="D13" i="7"/>
  <c r="D15" i="7" s="1"/>
  <c r="C13" i="7"/>
  <c r="D11" i="7"/>
  <c r="E10" i="7"/>
  <c r="G9" i="7"/>
  <c r="G49" i="7" s="1"/>
  <c r="F9" i="7"/>
  <c r="F11" i="7" s="1"/>
  <c r="E9" i="7"/>
  <c r="D9" i="7"/>
  <c r="D10" i="7" s="1"/>
  <c r="C9" i="7"/>
  <c r="C20" i="6"/>
  <c r="F20" i="6" s="1"/>
  <c r="F1265" i="5"/>
  <c r="D1265" i="5"/>
  <c r="F1264" i="5"/>
  <c r="D1264" i="5"/>
  <c r="F1263" i="5"/>
  <c r="D1263" i="5"/>
  <c r="F1262" i="5"/>
  <c r="D1262" i="5"/>
  <c r="F1261" i="5"/>
  <c r="D1261" i="5"/>
  <c r="F1260" i="5"/>
  <c r="D1260" i="5"/>
  <c r="F1259" i="5"/>
  <c r="D1259" i="5"/>
  <c r="F1258" i="5"/>
  <c r="D1258" i="5"/>
  <c r="F1257" i="5"/>
  <c r="D1257" i="5"/>
  <c r="F1256" i="5"/>
  <c r="D1256" i="5"/>
  <c r="F1255" i="5"/>
  <c r="D1255" i="5"/>
  <c r="F1254" i="5"/>
  <c r="D1254" i="5"/>
  <c r="F1253" i="5"/>
  <c r="D1253" i="5"/>
  <c r="F1252" i="5"/>
  <c r="D1252" i="5"/>
  <c r="F1251" i="5"/>
  <c r="D1251" i="5"/>
  <c r="F1250" i="5"/>
  <c r="D1250" i="5"/>
  <c r="F1249" i="5"/>
  <c r="D1249" i="5"/>
  <c r="F1248" i="5"/>
  <c r="D1248" i="5"/>
  <c r="F1247" i="5"/>
  <c r="D1247" i="5"/>
  <c r="F1246" i="5"/>
  <c r="D1246" i="5"/>
  <c r="F1245" i="5"/>
  <c r="D1245" i="5"/>
  <c r="F1244" i="5"/>
  <c r="D1244" i="5"/>
  <c r="F1243" i="5"/>
  <c r="D1243" i="5"/>
  <c r="F1242" i="5"/>
  <c r="D1242" i="5"/>
  <c r="F1241" i="5"/>
  <c r="D1241" i="5"/>
  <c r="F1240" i="5"/>
  <c r="D1240" i="5"/>
  <c r="F1239" i="5"/>
  <c r="D1239" i="5"/>
  <c r="F1238" i="5"/>
  <c r="D1238" i="5"/>
  <c r="F1237" i="5"/>
  <c r="D1237" i="5"/>
  <c r="F1236" i="5"/>
  <c r="D1236" i="5"/>
  <c r="F1235" i="5"/>
  <c r="D1235" i="5"/>
  <c r="F1234" i="5"/>
  <c r="D1234" i="5"/>
  <c r="F1233" i="5"/>
  <c r="D1233" i="5"/>
  <c r="F1232" i="5"/>
  <c r="D1232" i="5"/>
  <c r="F1231" i="5"/>
  <c r="D1231" i="5"/>
  <c r="F1230" i="5"/>
  <c r="D1230" i="5"/>
  <c r="F1229" i="5"/>
  <c r="D1229" i="5"/>
  <c r="F1228" i="5"/>
  <c r="D1228" i="5"/>
  <c r="F1227" i="5"/>
  <c r="D1227" i="5"/>
  <c r="F1226" i="5"/>
  <c r="D1226" i="5"/>
  <c r="F1225" i="5"/>
  <c r="D1225" i="5"/>
  <c r="F1224" i="5"/>
  <c r="D1224" i="5"/>
  <c r="F1223" i="5"/>
  <c r="D1223" i="5"/>
  <c r="F1222" i="5"/>
  <c r="D1222" i="5"/>
  <c r="F1221" i="5"/>
  <c r="D1221" i="5"/>
  <c r="F1220" i="5"/>
  <c r="D1220" i="5"/>
  <c r="F1219" i="5"/>
  <c r="D1219" i="5"/>
  <c r="F1218" i="5"/>
  <c r="D1218" i="5"/>
  <c r="F1217" i="5"/>
  <c r="D1217" i="5"/>
  <c r="F1216" i="5"/>
  <c r="D1216" i="5"/>
  <c r="F1215" i="5"/>
  <c r="D1215" i="5"/>
  <c r="F1214" i="5"/>
  <c r="D1214" i="5"/>
  <c r="F1213" i="5"/>
  <c r="D1213" i="5"/>
  <c r="F1212" i="5"/>
  <c r="D1212" i="5"/>
  <c r="F1211" i="5"/>
  <c r="D1211" i="5"/>
  <c r="F1210" i="5"/>
  <c r="D1210" i="5"/>
  <c r="F1209" i="5"/>
  <c r="D1209" i="5"/>
  <c r="F1208" i="5"/>
  <c r="D1208" i="5"/>
  <c r="F1207" i="5"/>
  <c r="D1207" i="5"/>
  <c r="F1206" i="5"/>
  <c r="D1206" i="5"/>
  <c r="F1205" i="5"/>
  <c r="D1205" i="5"/>
  <c r="F1204" i="5"/>
  <c r="D1204" i="5"/>
  <c r="F1203" i="5"/>
  <c r="D1203" i="5"/>
  <c r="F1202" i="5"/>
  <c r="D1202" i="5"/>
  <c r="F1201" i="5"/>
  <c r="D1201" i="5"/>
  <c r="F1200" i="5"/>
  <c r="D1200" i="5"/>
  <c r="F1199" i="5"/>
  <c r="D1199" i="5"/>
  <c r="F1198" i="5"/>
  <c r="D1198" i="5"/>
  <c r="F1197" i="5"/>
  <c r="D1197" i="5"/>
  <c r="F1196" i="5"/>
  <c r="D1196" i="5"/>
  <c r="F1195" i="5"/>
  <c r="D1195" i="5"/>
  <c r="F1194" i="5"/>
  <c r="D1194" i="5"/>
  <c r="F1193" i="5"/>
  <c r="D1193" i="5"/>
  <c r="F1192" i="5"/>
  <c r="D1192" i="5"/>
  <c r="F1191" i="5"/>
  <c r="D1191" i="5"/>
  <c r="F1190" i="5"/>
  <c r="D1190" i="5"/>
  <c r="F1189" i="5"/>
  <c r="D1189" i="5"/>
  <c r="F1188" i="5"/>
  <c r="D1188" i="5"/>
  <c r="F1187" i="5"/>
  <c r="D1187" i="5"/>
  <c r="F1186" i="5"/>
  <c r="D1186" i="5"/>
  <c r="F1185" i="5"/>
  <c r="D1185" i="5"/>
  <c r="F1184" i="5"/>
  <c r="D1184" i="5"/>
  <c r="F1183" i="5"/>
  <c r="D1183" i="5"/>
  <c r="F1182" i="5"/>
  <c r="D1182" i="5"/>
  <c r="F1181" i="5"/>
  <c r="D1181" i="5"/>
  <c r="F1180" i="5"/>
  <c r="D1180" i="5"/>
  <c r="F1179" i="5"/>
  <c r="D1179" i="5"/>
  <c r="F1178" i="5"/>
  <c r="D1178" i="5"/>
  <c r="F1177" i="5"/>
  <c r="D1177" i="5"/>
  <c r="F1176" i="5"/>
  <c r="D1176" i="5"/>
  <c r="F1175" i="5"/>
  <c r="D1175" i="5"/>
  <c r="F1174" i="5"/>
  <c r="D1174" i="5"/>
  <c r="F1173" i="5"/>
  <c r="D1173" i="5"/>
  <c r="F1172" i="5"/>
  <c r="D1172" i="5"/>
  <c r="F1171" i="5"/>
  <c r="D1171" i="5"/>
  <c r="F1170" i="5"/>
  <c r="D1170" i="5"/>
  <c r="F1169" i="5"/>
  <c r="D1169" i="5"/>
  <c r="F1168" i="5"/>
  <c r="D1168" i="5"/>
  <c r="F1167" i="5"/>
  <c r="D1167" i="5"/>
  <c r="F1166" i="5"/>
  <c r="D1166" i="5"/>
  <c r="F1165" i="5"/>
  <c r="D1165" i="5"/>
  <c r="F1164" i="5"/>
  <c r="D1164" i="5"/>
  <c r="F1163" i="5"/>
  <c r="D1163" i="5"/>
  <c r="F1162" i="5"/>
  <c r="D1162" i="5"/>
  <c r="F1161" i="5"/>
  <c r="D1161" i="5"/>
  <c r="F1160" i="5"/>
  <c r="D1160" i="5"/>
  <c r="F1159" i="5"/>
  <c r="D1159" i="5"/>
  <c r="F1158" i="5"/>
  <c r="D1158" i="5"/>
  <c r="F1157" i="5"/>
  <c r="D1157" i="5"/>
  <c r="F1156" i="5"/>
  <c r="D1156" i="5"/>
  <c r="F1155" i="5"/>
  <c r="D1155" i="5"/>
  <c r="F1154" i="5"/>
  <c r="D1154" i="5"/>
  <c r="F1153" i="5"/>
  <c r="D1153" i="5"/>
  <c r="F1152" i="5"/>
  <c r="D1152" i="5"/>
  <c r="F1151" i="5"/>
  <c r="D1151" i="5"/>
  <c r="F1150" i="5"/>
  <c r="D1150" i="5"/>
  <c r="F1149" i="5"/>
  <c r="D1149" i="5"/>
  <c r="F1148" i="5"/>
  <c r="D1148" i="5"/>
  <c r="F1147" i="5"/>
  <c r="D1147" i="5"/>
  <c r="F1146" i="5"/>
  <c r="D1146" i="5"/>
  <c r="F1145" i="5"/>
  <c r="D1145" i="5"/>
  <c r="F1144" i="5"/>
  <c r="D1144" i="5"/>
  <c r="F1143" i="5"/>
  <c r="D1143" i="5"/>
  <c r="F1142" i="5"/>
  <c r="D1142" i="5"/>
  <c r="F1141" i="5"/>
  <c r="D1141" i="5"/>
  <c r="F1140" i="5"/>
  <c r="D1140" i="5"/>
  <c r="F1139" i="5"/>
  <c r="D1139" i="5"/>
  <c r="F1138" i="5"/>
  <c r="D1138" i="5"/>
  <c r="F1137" i="5"/>
  <c r="D1137" i="5"/>
  <c r="F1136" i="5"/>
  <c r="D1136" i="5"/>
  <c r="F1135" i="5"/>
  <c r="D1135" i="5"/>
  <c r="F1134" i="5"/>
  <c r="D1134" i="5"/>
  <c r="F1133" i="5"/>
  <c r="D1133" i="5"/>
  <c r="F1132" i="5"/>
  <c r="D1132" i="5"/>
  <c r="F1131" i="5"/>
  <c r="D1131" i="5"/>
  <c r="F1130" i="5"/>
  <c r="D1130" i="5"/>
  <c r="F1129" i="5"/>
  <c r="D1129" i="5"/>
  <c r="F1128" i="5"/>
  <c r="D1128" i="5"/>
  <c r="F1127" i="5"/>
  <c r="D1127" i="5"/>
  <c r="F1126" i="5"/>
  <c r="D1126" i="5"/>
  <c r="F1125" i="5"/>
  <c r="D1125" i="5"/>
  <c r="F1124" i="5"/>
  <c r="D1124" i="5"/>
  <c r="F1123" i="5"/>
  <c r="D1123" i="5"/>
  <c r="F1122" i="5"/>
  <c r="D1122" i="5"/>
  <c r="F1121" i="5"/>
  <c r="D1121" i="5"/>
  <c r="F1120" i="5"/>
  <c r="D1120" i="5"/>
  <c r="F1119" i="5"/>
  <c r="D1119" i="5"/>
  <c r="F1118" i="5"/>
  <c r="D1118" i="5"/>
  <c r="F1117" i="5"/>
  <c r="D1117" i="5"/>
  <c r="F1116" i="5"/>
  <c r="D1116" i="5"/>
  <c r="F1115" i="5"/>
  <c r="D1115" i="5"/>
  <c r="F1114" i="5"/>
  <c r="D1114" i="5"/>
  <c r="F1113" i="5"/>
  <c r="D1113" i="5"/>
  <c r="F1112" i="5"/>
  <c r="D1112" i="5"/>
  <c r="F1111" i="5"/>
  <c r="D1111" i="5"/>
  <c r="F1110" i="5"/>
  <c r="D1110" i="5"/>
  <c r="F1109" i="5"/>
  <c r="D1109" i="5"/>
  <c r="F1108" i="5"/>
  <c r="D1108" i="5"/>
  <c r="F1107" i="5"/>
  <c r="D1107" i="5"/>
  <c r="F1106" i="5"/>
  <c r="D1106" i="5"/>
  <c r="F1105" i="5"/>
  <c r="D1105" i="5"/>
  <c r="F1104" i="5"/>
  <c r="D1104" i="5"/>
  <c r="F1103" i="5"/>
  <c r="D1103" i="5"/>
  <c r="F1102" i="5"/>
  <c r="D1102" i="5"/>
  <c r="F1101" i="5"/>
  <c r="D1101" i="5"/>
  <c r="F1100" i="5"/>
  <c r="D1100" i="5"/>
  <c r="F1099" i="5"/>
  <c r="D1099" i="5"/>
  <c r="F1098" i="5"/>
  <c r="D1098" i="5"/>
  <c r="F1097" i="5"/>
  <c r="D1097" i="5"/>
  <c r="F1096" i="5"/>
  <c r="D1096" i="5"/>
  <c r="F1095" i="5"/>
  <c r="D1095" i="5"/>
  <c r="F1094" i="5"/>
  <c r="D1094" i="5"/>
  <c r="F1093" i="5"/>
  <c r="D1093" i="5"/>
  <c r="F1092" i="5"/>
  <c r="D1092" i="5"/>
  <c r="F1091" i="5"/>
  <c r="D1091" i="5"/>
  <c r="F1090" i="5"/>
  <c r="D1090" i="5"/>
  <c r="F1089" i="5"/>
  <c r="D1089" i="5"/>
  <c r="F1088" i="5"/>
  <c r="D1088" i="5"/>
  <c r="F1087" i="5"/>
  <c r="D1087" i="5"/>
  <c r="F1086" i="5"/>
  <c r="D1086" i="5"/>
  <c r="F1085" i="5"/>
  <c r="D1085" i="5"/>
  <c r="F1084" i="5"/>
  <c r="D1084" i="5"/>
  <c r="F1083" i="5"/>
  <c r="D1083" i="5"/>
  <c r="F1082" i="5"/>
  <c r="D1082" i="5"/>
  <c r="F1081" i="5"/>
  <c r="D1081" i="5"/>
  <c r="F1080" i="5"/>
  <c r="D1080" i="5"/>
  <c r="F1079" i="5"/>
  <c r="D1079" i="5"/>
  <c r="F1078" i="5"/>
  <c r="D1078" i="5"/>
  <c r="F1077" i="5"/>
  <c r="D1077" i="5"/>
  <c r="F1076" i="5"/>
  <c r="D1076" i="5"/>
  <c r="F1075" i="5"/>
  <c r="D1075" i="5"/>
  <c r="F1074" i="5"/>
  <c r="D1074" i="5"/>
  <c r="F1073" i="5"/>
  <c r="D1073" i="5"/>
  <c r="F1072" i="5"/>
  <c r="D1072" i="5"/>
  <c r="F1071" i="5"/>
  <c r="D1071" i="5"/>
  <c r="F1070" i="5"/>
  <c r="D1070" i="5"/>
  <c r="F1069" i="5"/>
  <c r="D1069" i="5"/>
  <c r="F1068" i="5"/>
  <c r="D1068" i="5"/>
  <c r="F1067" i="5"/>
  <c r="D1067" i="5"/>
  <c r="F1066" i="5"/>
  <c r="D1066" i="5"/>
  <c r="F1065" i="5"/>
  <c r="D1065" i="5"/>
  <c r="F1064" i="5"/>
  <c r="D1064" i="5"/>
  <c r="F1063" i="5"/>
  <c r="D1063" i="5"/>
  <c r="F1062" i="5"/>
  <c r="D1062" i="5"/>
  <c r="F1061" i="5"/>
  <c r="D1061" i="5"/>
  <c r="F1060" i="5"/>
  <c r="D1060" i="5"/>
  <c r="F1059" i="5"/>
  <c r="D1059" i="5"/>
  <c r="F1058" i="5"/>
  <c r="D1058" i="5"/>
  <c r="F1057" i="5"/>
  <c r="D1057" i="5"/>
  <c r="F1056" i="5"/>
  <c r="D1056" i="5"/>
  <c r="F1055" i="5"/>
  <c r="D1055" i="5"/>
  <c r="F1054" i="5"/>
  <c r="D1054" i="5"/>
  <c r="F1053" i="5"/>
  <c r="D1053" i="5"/>
  <c r="F1052" i="5"/>
  <c r="D1052" i="5"/>
  <c r="F1051" i="5"/>
  <c r="D1051" i="5"/>
  <c r="F1050" i="5"/>
  <c r="D1050" i="5"/>
  <c r="F1049" i="5"/>
  <c r="D1049" i="5"/>
  <c r="F1048" i="5"/>
  <c r="D1048" i="5"/>
  <c r="F1047" i="5"/>
  <c r="D1047" i="5"/>
  <c r="F1046" i="5"/>
  <c r="D1046" i="5"/>
  <c r="F1045" i="5"/>
  <c r="D1045" i="5"/>
  <c r="F1044" i="5"/>
  <c r="D1044" i="5"/>
  <c r="F1043" i="5"/>
  <c r="D1043" i="5"/>
  <c r="F1042" i="5"/>
  <c r="D1042" i="5"/>
  <c r="F1041" i="5"/>
  <c r="D1041" i="5"/>
  <c r="F1040" i="5"/>
  <c r="D1040" i="5"/>
  <c r="F1039" i="5"/>
  <c r="D1039" i="5"/>
  <c r="F1038" i="5"/>
  <c r="D1038" i="5"/>
  <c r="F1037" i="5"/>
  <c r="D1037" i="5"/>
  <c r="F1036" i="5"/>
  <c r="D1036" i="5"/>
  <c r="F1035" i="5"/>
  <c r="D1035" i="5"/>
  <c r="F1034" i="5"/>
  <c r="D1034" i="5"/>
  <c r="F1033" i="5"/>
  <c r="D1033" i="5"/>
  <c r="F1032" i="5"/>
  <c r="D1032" i="5"/>
  <c r="F1031" i="5"/>
  <c r="D1031" i="5"/>
  <c r="F1030" i="5"/>
  <c r="D1030" i="5"/>
  <c r="F1029" i="5"/>
  <c r="D1029" i="5"/>
  <c r="F1028" i="5"/>
  <c r="D1028" i="5"/>
  <c r="F1027" i="5"/>
  <c r="D1027" i="5"/>
  <c r="F1026" i="5"/>
  <c r="D1026" i="5"/>
  <c r="F1025" i="5"/>
  <c r="D1025" i="5"/>
  <c r="F1024" i="5"/>
  <c r="D1024" i="5"/>
  <c r="F1023" i="5"/>
  <c r="D1023" i="5"/>
  <c r="F1022" i="5"/>
  <c r="D1022" i="5"/>
  <c r="F1021" i="5"/>
  <c r="D1021" i="5"/>
  <c r="F1020" i="5"/>
  <c r="D1020" i="5"/>
  <c r="F1019" i="5"/>
  <c r="D1019" i="5"/>
  <c r="F1018" i="5"/>
  <c r="D1018" i="5"/>
  <c r="F1017" i="5"/>
  <c r="D1017" i="5"/>
  <c r="F1016" i="5"/>
  <c r="D1016" i="5"/>
  <c r="F1015" i="5"/>
  <c r="D1015" i="5"/>
  <c r="F1014" i="5"/>
  <c r="D1014" i="5"/>
  <c r="F1013" i="5"/>
  <c r="D1013" i="5"/>
  <c r="F1012" i="5"/>
  <c r="D1012" i="5"/>
  <c r="F1011" i="5"/>
  <c r="D1011" i="5"/>
  <c r="F1010" i="5"/>
  <c r="D1010" i="5"/>
  <c r="F1009" i="5"/>
  <c r="D1009" i="5"/>
  <c r="F1008" i="5"/>
  <c r="D1008" i="5"/>
  <c r="F1007" i="5"/>
  <c r="D1007" i="5"/>
  <c r="F1006" i="5"/>
  <c r="D1006" i="5"/>
  <c r="F1005" i="5"/>
  <c r="D1005" i="5"/>
  <c r="F1004" i="5"/>
  <c r="D1004" i="5"/>
  <c r="F1003" i="5"/>
  <c r="D1003" i="5"/>
  <c r="F1002" i="5"/>
  <c r="D1002" i="5"/>
  <c r="F1001" i="5"/>
  <c r="D1001" i="5"/>
  <c r="F1000" i="5"/>
  <c r="D1000" i="5"/>
  <c r="F999" i="5"/>
  <c r="D999" i="5"/>
  <c r="F998" i="5"/>
  <c r="D998" i="5"/>
  <c r="F997" i="5"/>
  <c r="D997" i="5"/>
  <c r="F996" i="5"/>
  <c r="D996" i="5"/>
  <c r="F995" i="5"/>
  <c r="D995" i="5"/>
  <c r="F994" i="5"/>
  <c r="D994" i="5"/>
  <c r="F993" i="5"/>
  <c r="D993" i="5"/>
  <c r="F992" i="5"/>
  <c r="D992" i="5"/>
  <c r="F991" i="5"/>
  <c r="D991" i="5"/>
  <c r="F990" i="5"/>
  <c r="D990" i="5"/>
  <c r="F989" i="5"/>
  <c r="D989" i="5"/>
  <c r="F988" i="5"/>
  <c r="D988" i="5"/>
  <c r="F987" i="5"/>
  <c r="D987" i="5"/>
  <c r="F986" i="5"/>
  <c r="D986" i="5"/>
  <c r="F985" i="5"/>
  <c r="D985" i="5"/>
  <c r="F984" i="5"/>
  <c r="D984" i="5"/>
  <c r="F983" i="5"/>
  <c r="D983" i="5"/>
  <c r="F982" i="5"/>
  <c r="D982" i="5"/>
  <c r="F981" i="5"/>
  <c r="D981" i="5"/>
  <c r="F980" i="5"/>
  <c r="D980" i="5"/>
  <c r="F979" i="5"/>
  <c r="D979" i="5"/>
  <c r="F978" i="5"/>
  <c r="D978" i="5"/>
  <c r="F977" i="5"/>
  <c r="D977" i="5"/>
  <c r="F976" i="5"/>
  <c r="D976" i="5"/>
  <c r="F975" i="5"/>
  <c r="D975" i="5"/>
  <c r="F974" i="5"/>
  <c r="D974" i="5"/>
  <c r="F973" i="5"/>
  <c r="D973" i="5"/>
  <c r="F972" i="5"/>
  <c r="D972" i="5"/>
  <c r="F971" i="5"/>
  <c r="D971" i="5"/>
  <c r="F970" i="5"/>
  <c r="D970" i="5"/>
  <c r="F969" i="5"/>
  <c r="D969" i="5"/>
  <c r="F968" i="5"/>
  <c r="D968" i="5"/>
  <c r="F967" i="5"/>
  <c r="D967" i="5"/>
  <c r="F966" i="5"/>
  <c r="D966" i="5"/>
  <c r="F965" i="5"/>
  <c r="D965" i="5"/>
  <c r="F964" i="5"/>
  <c r="D964" i="5"/>
  <c r="F963" i="5"/>
  <c r="D963" i="5"/>
  <c r="F962" i="5"/>
  <c r="D962" i="5"/>
  <c r="F961" i="5"/>
  <c r="D961" i="5"/>
  <c r="F960" i="5"/>
  <c r="D960" i="5"/>
  <c r="F959" i="5"/>
  <c r="D959" i="5"/>
  <c r="F958" i="5"/>
  <c r="D958" i="5"/>
  <c r="F957" i="5"/>
  <c r="D957" i="5"/>
  <c r="F956" i="5"/>
  <c r="D956" i="5"/>
  <c r="F955" i="5"/>
  <c r="D955" i="5"/>
  <c r="F954" i="5"/>
  <c r="D954" i="5"/>
  <c r="F953" i="5"/>
  <c r="D953" i="5"/>
  <c r="F952" i="5"/>
  <c r="D952" i="5"/>
  <c r="F951" i="5"/>
  <c r="D951" i="5"/>
  <c r="F950" i="5"/>
  <c r="D950" i="5"/>
  <c r="F949" i="5"/>
  <c r="D949" i="5"/>
  <c r="F948" i="5"/>
  <c r="D948" i="5"/>
  <c r="F947" i="5"/>
  <c r="D947" i="5"/>
  <c r="F946" i="5"/>
  <c r="D946" i="5"/>
  <c r="F945" i="5"/>
  <c r="D945" i="5"/>
  <c r="F944" i="5"/>
  <c r="D944" i="5"/>
  <c r="F943" i="5"/>
  <c r="D943" i="5"/>
  <c r="F942" i="5"/>
  <c r="D942" i="5"/>
  <c r="F941" i="5"/>
  <c r="D941" i="5"/>
  <c r="F940" i="5"/>
  <c r="D940" i="5"/>
  <c r="F939" i="5"/>
  <c r="D939" i="5"/>
  <c r="F938" i="5"/>
  <c r="D938" i="5"/>
  <c r="F937" i="5"/>
  <c r="D937" i="5"/>
  <c r="F936" i="5"/>
  <c r="D936" i="5"/>
  <c r="F935" i="5"/>
  <c r="D935" i="5"/>
  <c r="F934" i="5"/>
  <c r="D934" i="5"/>
  <c r="F933" i="5"/>
  <c r="D933" i="5"/>
  <c r="F932" i="5"/>
  <c r="D932" i="5"/>
  <c r="F931" i="5"/>
  <c r="D931" i="5"/>
  <c r="F930" i="5"/>
  <c r="D930" i="5"/>
  <c r="F929" i="5"/>
  <c r="D929" i="5"/>
  <c r="F928" i="5"/>
  <c r="D928" i="5"/>
  <c r="F927" i="5"/>
  <c r="D927" i="5"/>
  <c r="F926" i="5"/>
  <c r="D926" i="5"/>
  <c r="F925" i="5"/>
  <c r="D925" i="5"/>
  <c r="F924" i="5"/>
  <c r="D924" i="5"/>
  <c r="F923" i="5"/>
  <c r="D923" i="5"/>
  <c r="F922" i="5"/>
  <c r="D922" i="5"/>
  <c r="F921" i="5"/>
  <c r="D921" i="5"/>
  <c r="F920" i="5"/>
  <c r="D920" i="5"/>
  <c r="F919" i="5"/>
  <c r="D919" i="5"/>
  <c r="F918" i="5"/>
  <c r="D918" i="5"/>
  <c r="F917" i="5"/>
  <c r="D917" i="5"/>
  <c r="F916" i="5"/>
  <c r="D916" i="5"/>
  <c r="F915" i="5"/>
  <c r="D915" i="5"/>
  <c r="F914" i="5"/>
  <c r="D914" i="5"/>
  <c r="F913" i="5"/>
  <c r="D913" i="5"/>
  <c r="F912" i="5"/>
  <c r="D912" i="5"/>
  <c r="F911" i="5"/>
  <c r="D911" i="5"/>
  <c r="F910" i="5"/>
  <c r="D910" i="5"/>
  <c r="F909" i="5"/>
  <c r="D909" i="5"/>
  <c r="F908" i="5"/>
  <c r="D908" i="5"/>
  <c r="F907" i="5"/>
  <c r="D907" i="5"/>
  <c r="F906" i="5"/>
  <c r="D906" i="5"/>
  <c r="F905" i="5"/>
  <c r="D905" i="5"/>
  <c r="F904" i="5"/>
  <c r="D904" i="5"/>
  <c r="F903" i="5"/>
  <c r="D903" i="5"/>
  <c r="F902" i="5"/>
  <c r="D902" i="5"/>
  <c r="F901" i="5"/>
  <c r="D901" i="5"/>
  <c r="F900" i="5"/>
  <c r="D900" i="5"/>
  <c r="F899" i="5"/>
  <c r="D899" i="5"/>
  <c r="F898" i="5"/>
  <c r="D898" i="5"/>
  <c r="F897" i="5"/>
  <c r="D897" i="5"/>
  <c r="F896" i="5"/>
  <c r="D896" i="5"/>
  <c r="F895" i="5"/>
  <c r="D895" i="5"/>
  <c r="F894" i="5"/>
  <c r="D894" i="5"/>
  <c r="F893" i="5"/>
  <c r="D893" i="5"/>
  <c r="F892" i="5"/>
  <c r="D892" i="5"/>
  <c r="F891" i="5"/>
  <c r="D891" i="5"/>
  <c r="F890" i="5"/>
  <c r="D890" i="5"/>
  <c r="F889" i="5"/>
  <c r="D889" i="5"/>
  <c r="F888" i="5"/>
  <c r="D888" i="5"/>
  <c r="F887" i="5"/>
  <c r="D887" i="5"/>
  <c r="F886" i="5"/>
  <c r="D886" i="5"/>
  <c r="F885" i="5"/>
  <c r="D885" i="5"/>
  <c r="F884" i="5"/>
  <c r="D884" i="5"/>
  <c r="F883" i="5"/>
  <c r="D883" i="5"/>
  <c r="F882" i="5"/>
  <c r="D882" i="5"/>
  <c r="F881" i="5"/>
  <c r="D881" i="5"/>
  <c r="F880" i="5"/>
  <c r="D880" i="5"/>
  <c r="F879" i="5"/>
  <c r="D879" i="5"/>
  <c r="F878" i="5"/>
  <c r="D878" i="5"/>
  <c r="F877" i="5"/>
  <c r="D877" i="5"/>
  <c r="F876" i="5"/>
  <c r="D876" i="5"/>
  <c r="F875" i="5"/>
  <c r="D875" i="5"/>
  <c r="F874" i="5"/>
  <c r="D874" i="5"/>
  <c r="F873" i="5"/>
  <c r="D873" i="5"/>
  <c r="F872" i="5"/>
  <c r="D872" i="5"/>
  <c r="F871" i="5"/>
  <c r="D871" i="5"/>
  <c r="F870" i="5"/>
  <c r="D870" i="5"/>
  <c r="F869" i="5"/>
  <c r="D869" i="5"/>
  <c r="F868" i="5"/>
  <c r="D868" i="5"/>
  <c r="F867" i="5"/>
  <c r="D867" i="5"/>
  <c r="F866" i="5"/>
  <c r="D866" i="5"/>
  <c r="F865" i="5"/>
  <c r="D865" i="5"/>
  <c r="F864" i="5"/>
  <c r="D864" i="5"/>
  <c r="F863" i="5"/>
  <c r="D863" i="5"/>
  <c r="F862" i="5"/>
  <c r="D862" i="5"/>
  <c r="F861" i="5"/>
  <c r="D861" i="5"/>
  <c r="F860" i="5"/>
  <c r="D860" i="5"/>
  <c r="F859" i="5"/>
  <c r="D859" i="5"/>
  <c r="F858" i="5"/>
  <c r="D858" i="5"/>
  <c r="F857" i="5"/>
  <c r="D857" i="5"/>
  <c r="F856" i="5"/>
  <c r="D856" i="5"/>
  <c r="F855" i="5"/>
  <c r="D855" i="5"/>
  <c r="F854" i="5"/>
  <c r="D854" i="5"/>
  <c r="F853" i="5"/>
  <c r="D853" i="5"/>
  <c r="F852" i="5"/>
  <c r="D852" i="5"/>
  <c r="F851" i="5"/>
  <c r="D851" i="5"/>
  <c r="F850" i="5"/>
  <c r="D850" i="5"/>
  <c r="F849" i="5"/>
  <c r="D849" i="5"/>
  <c r="F848" i="5"/>
  <c r="D848" i="5"/>
  <c r="F847" i="5"/>
  <c r="D847" i="5"/>
  <c r="F846" i="5"/>
  <c r="D846" i="5"/>
  <c r="F845" i="5"/>
  <c r="D845" i="5"/>
  <c r="F844" i="5"/>
  <c r="D844" i="5"/>
  <c r="F843" i="5"/>
  <c r="D843" i="5"/>
  <c r="F842" i="5"/>
  <c r="D842" i="5"/>
  <c r="F841" i="5"/>
  <c r="D841" i="5"/>
  <c r="F840" i="5"/>
  <c r="D840" i="5"/>
  <c r="F839" i="5"/>
  <c r="D839" i="5"/>
  <c r="F838" i="5"/>
  <c r="D838" i="5"/>
  <c r="F837" i="5"/>
  <c r="D837" i="5"/>
  <c r="F836" i="5"/>
  <c r="D836" i="5"/>
  <c r="F835" i="5"/>
  <c r="D835" i="5"/>
  <c r="F834" i="5"/>
  <c r="D834" i="5"/>
  <c r="F833" i="5"/>
  <c r="D833" i="5"/>
  <c r="F832" i="5"/>
  <c r="D832" i="5"/>
  <c r="F831" i="5"/>
  <c r="D831" i="5"/>
  <c r="F830" i="5"/>
  <c r="D830" i="5"/>
  <c r="F829" i="5"/>
  <c r="D829" i="5"/>
  <c r="F828" i="5"/>
  <c r="D828" i="5"/>
  <c r="F827" i="5"/>
  <c r="D827" i="5"/>
  <c r="F826" i="5"/>
  <c r="D826" i="5"/>
  <c r="F825" i="5"/>
  <c r="D825" i="5"/>
  <c r="F824" i="5"/>
  <c r="D824" i="5"/>
  <c r="F823" i="5"/>
  <c r="D823" i="5"/>
  <c r="F822" i="5"/>
  <c r="D822" i="5"/>
  <c r="F821" i="5"/>
  <c r="D821" i="5"/>
  <c r="F820" i="5"/>
  <c r="D820" i="5"/>
  <c r="F819" i="5"/>
  <c r="D819" i="5"/>
  <c r="F818" i="5"/>
  <c r="D818" i="5"/>
  <c r="F817" i="5"/>
  <c r="D817" i="5"/>
  <c r="F816" i="5"/>
  <c r="D816" i="5"/>
  <c r="F815" i="5"/>
  <c r="D815" i="5"/>
  <c r="F814" i="5"/>
  <c r="D814" i="5"/>
  <c r="F813" i="5"/>
  <c r="D813" i="5"/>
  <c r="F812" i="5"/>
  <c r="D812" i="5"/>
  <c r="F811" i="5"/>
  <c r="D811" i="5"/>
  <c r="F810" i="5"/>
  <c r="D810" i="5"/>
  <c r="F809" i="5"/>
  <c r="D809" i="5"/>
  <c r="F808" i="5"/>
  <c r="D808" i="5"/>
  <c r="F807" i="5"/>
  <c r="D807" i="5"/>
  <c r="F806" i="5"/>
  <c r="D806" i="5"/>
  <c r="F805" i="5"/>
  <c r="D805" i="5"/>
  <c r="F804" i="5"/>
  <c r="D804" i="5"/>
  <c r="F803" i="5"/>
  <c r="D803" i="5"/>
  <c r="F802" i="5"/>
  <c r="D802" i="5"/>
  <c r="F801" i="5"/>
  <c r="D801" i="5"/>
  <c r="F800" i="5"/>
  <c r="D800" i="5"/>
  <c r="F799" i="5"/>
  <c r="D799" i="5"/>
  <c r="F798" i="5"/>
  <c r="D798" i="5"/>
  <c r="F797" i="5"/>
  <c r="D797" i="5"/>
  <c r="F796" i="5"/>
  <c r="D796" i="5"/>
  <c r="F795" i="5"/>
  <c r="D795" i="5"/>
  <c r="F794" i="5"/>
  <c r="D794" i="5"/>
  <c r="F793" i="5"/>
  <c r="D793" i="5"/>
  <c r="F792" i="5"/>
  <c r="D792" i="5"/>
  <c r="F791" i="5"/>
  <c r="D791" i="5"/>
  <c r="F790" i="5"/>
  <c r="D790" i="5"/>
  <c r="F789" i="5"/>
  <c r="D789" i="5"/>
  <c r="F788" i="5"/>
  <c r="D788" i="5"/>
  <c r="F787" i="5"/>
  <c r="D787" i="5"/>
  <c r="F786" i="5"/>
  <c r="D786" i="5"/>
  <c r="F785" i="5"/>
  <c r="D785" i="5"/>
  <c r="F784" i="5"/>
  <c r="D784" i="5"/>
  <c r="F783" i="5"/>
  <c r="D783" i="5"/>
  <c r="F782" i="5"/>
  <c r="D782" i="5"/>
  <c r="F781" i="5"/>
  <c r="D781" i="5"/>
  <c r="F780" i="5"/>
  <c r="D780" i="5"/>
  <c r="F779" i="5"/>
  <c r="D779" i="5"/>
  <c r="F778" i="5"/>
  <c r="D778" i="5"/>
  <c r="F777" i="5"/>
  <c r="D777" i="5"/>
  <c r="F776" i="5"/>
  <c r="D776" i="5"/>
  <c r="F775" i="5"/>
  <c r="D775" i="5"/>
  <c r="F774" i="5"/>
  <c r="D774" i="5"/>
  <c r="F773" i="5"/>
  <c r="D773" i="5"/>
  <c r="F772" i="5"/>
  <c r="D772" i="5"/>
  <c r="F771" i="5"/>
  <c r="D771" i="5"/>
  <c r="F770" i="5"/>
  <c r="D770" i="5"/>
  <c r="F769" i="5"/>
  <c r="D769" i="5"/>
  <c r="F768" i="5"/>
  <c r="D768" i="5"/>
  <c r="F767" i="5"/>
  <c r="D767" i="5"/>
  <c r="F766" i="5"/>
  <c r="D766" i="5"/>
  <c r="F765" i="5"/>
  <c r="D765" i="5"/>
  <c r="F764" i="5"/>
  <c r="D764" i="5"/>
  <c r="F763" i="5"/>
  <c r="D763" i="5"/>
  <c r="F762" i="5"/>
  <c r="D762" i="5"/>
  <c r="F761" i="5"/>
  <c r="D761" i="5"/>
  <c r="F760" i="5"/>
  <c r="D760" i="5"/>
  <c r="F759" i="5"/>
  <c r="D759" i="5"/>
  <c r="F758" i="5"/>
  <c r="D758" i="5"/>
  <c r="F757" i="5"/>
  <c r="D757" i="5"/>
  <c r="F756" i="5"/>
  <c r="D756" i="5"/>
  <c r="F755" i="5"/>
  <c r="D755" i="5"/>
  <c r="F754" i="5"/>
  <c r="D754" i="5"/>
  <c r="F753" i="5"/>
  <c r="D753" i="5"/>
  <c r="F752" i="5"/>
  <c r="D752" i="5"/>
  <c r="F751" i="5"/>
  <c r="D751" i="5"/>
  <c r="F750" i="5"/>
  <c r="D750" i="5"/>
  <c r="F749" i="5"/>
  <c r="D749" i="5"/>
  <c r="F748" i="5"/>
  <c r="D748" i="5"/>
  <c r="F747" i="5"/>
  <c r="D747" i="5"/>
  <c r="F746" i="5"/>
  <c r="D746" i="5"/>
  <c r="F745" i="5"/>
  <c r="D745" i="5"/>
  <c r="F744" i="5"/>
  <c r="D744" i="5"/>
  <c r="F743" i="5"/>
  <c r="D743" i="5"/>
  <c r="F742" i="5"/>
  <c r="D742" i="5"/>
  <c r="F741" i="5"/>
  <c r="D741" i="5"/>
  <c r="F740" i="5"/>
  <c r="D740" i="5"/>
  <c r="F739" i="5"/>
  <c r="D739" i="5"/>
  <c r="F738" i="5"/>
  <c r="D738" i="5"/>
  <c r="F737" i="5"/>
  <c r="D737" i="5"/>
  <c r="F736" i="5"/>
  <c r="D736" i="5"/>
  <c r="F735" i="5"/>
  <c r="D735" i="5"/>
  <c r="F734" i="5"/>
  <c r="D734" i="5"/>
  <c r="F733" i="5"/>
  <c r="D733" i="5"/>
  <c r="F732" i="5"/>
  <c r="D732" i="5"/>
  <c r="F731" i="5"/>
  <c r="D731" i="5"/>
  <c r="F730" i="5"/>
  <c r="D730" i="5"/>
  <c r="F729" i="5"/>
  <c r="D729" i="5"/>
  <c r="F728" i="5"/>
  <c r="D728" i="5"/>
  <c r="F727" i="5"/>
  <c r="D727" i="5"/>
  <c r="F726" i="5"/>
  <c r="D726" i="5"/>
  <c r="F725" i="5"/>
  <c r="D725" i="5"/>
  <c r="F724" i="5"/>
  <c r="D724" i="5"/>
  <c r="F723" i="5"/>
  <c r="D723" i="5"/>
  <c r="F722" i="5"/>
  <c r="D722" i="5"/>
  <c r="F721" i="5"/>
  <c r="D721" i="5"/>
  <c r="F720" i="5"/>
  <c r="D720" i="5"/>
  <c r="F719" i="5"/>
  <c r="D719" i="5"/>
  <c r="F718" i="5"/>
  <c r="D718" i="5"/>
  <c r="F717" i="5"/>
  <c r="D717" i="5"/>
  <c r="F716" i="5"/>
  <c r="D716" i="5"/>
  <c r="F715" i="5"/>
  <c r="D715" i="5"/>
  <c r="F714" i="5"/>
  <c r="D714" i="5"/>
  <c r="F713" i="5"/>
  <c r="D713" i="5"/>
  <c r="F712" i="5"/>
  <c r="D712" i="5"/>
  <c r="F711" i="5"/>
  <c r="D711" i="5"/>
  <c r="F710" i="5"/>
  <c r="D710" i="5"/>
  <c r="F709" i="5"/>
  <c r="D709" i="5"/>
  <c r="F708" i="5"/>
  <c r="D708" i="5"/>
  <c r="F707" i="5"/>
  <c r="D707" i="5"/>
  <c r="F706" i="5"/>
  <c r="D706" i="5"/>
  <c r="F705" i="5"/>
  <c r="D705" i="5"/>
  <c r="F704" i="5"/>
  <c r="D704" i="5"/>
  <c r="F703" i="5"/>
  <c r="D703" i="5"/>
  <c r="F702" i="5"/>
  <c r="D702" i="5"/>
  <c r="F701" i="5"/>
  <c r="D701" i="5"/>
  <c r="F700" i="5"/>
  <c r="D700" i="5"/>
  <c r="F699" i="5"/>
  <c r="D699" i="5"/>
  <c r="F698" i="5"/>
  <c r="D698" i="5"/>
  <c r="F697" i="5"/>
  <c r="D697" i="5"/>
  <c r="F696" i="5"/>
  <c r="D696" i="5"/>
  <c r="F695" i="5"/>
  <c r="D695" i="5"/>
  <c r="F694" i="5"/>
  <c r="D694" i="5"/>
  <c r="F693" i="5"/>
  <c r="D693" i="5"/>
  <c r="F692" i="5"/>
  <c r="D692" i="5"/>
  <c r="F691" i="5"/>
  <c r="D691" i="5"/>
  <c r="F690" i="5"/>
  <c r="D690" i="5"/>
  <c r="F689" i="5"/>
  <c r="D689" i="5"/>
  <c r="F688" i="5"/>
  <c r="D688" i="5"/>
  <c r="F687" i="5"/>
  <c r="D687" i="5"/>
  <c r="F686" i="5"/>
  <c r="D686" i="5"/>
  <c r="F685" i="5"/>
  <c r="D685" i="5"/>
  <c r="F684" i="5"/>
  <c r="D684" i="5"/>
  <c r="F683" i="5"/>
  <c r="D683" i="5"/>
  <c r="F682" i="5"/>
  <c r="D682" i="5"/>
  <c r="F681" i="5"/>
  <c r="D681" i="5"/>
  <c r="F680" i="5"/>
  <c r="D680" i="5"/>
  <c r="F679" i="5"/>
  <c r="D679" i="5"/>
  <c r="F678" i="5"/>
  <c r="D678" i="5"/>
  <c r="F677" i="5"/>
  <c r="D677" i="5"/>
  <c r="F676" i="5"/>
  <c r="D676" i="5"/>
  <c r="F675" i="5"/>
  <c r="D675" i="5"/>
  <c r="F674" i="5"/>
  <c r="D674" i="5"/>
  <c r="F673" i="5"/>
  <c r="D673" i="5"/>
  <c r="F672" i="5"/>
  <c r="D672" i="5"/>
  <c r="F671" i="5"/>
  <c r="D671" i="5"/>
  <c r="F670" i="5"/>
  <c r="D670" i="5"/>
  <c r="F669" i="5"/>
  <c r="D669" i="5"/>
  <c r="F668" i="5"/>
  <c r="D668" i="5"/>
  <c r="F667" i="5"/>
  <c r="D667" i="5"/>
  <c r="F666" i="5"/>
  <c r="D666" i="5"/>
  <c r="F665" i="5"/>
  <c r="D665" i="5"/>
  <c r="F664" i="5"/>
  <c r="D664" i="5"/>
  <c r="F663" i="5"/>
  <c r="D663" i="5"/>
  <c r="F662" i="5"/>
  <c r="D662" i="5"/>
  <c r="F661" i="5"/>
  <c r="D661" i="5"/>
  <c r="F660" i="5"/>
  <c r="D660" i="5"/>
  <c r="F659" i="5"/>
  <c r="D659" i="5"/>
  <c r="F658" i="5"/>
  <c r="D658" i="5"/>
  <c r="F657" i="5"/>
  <c r="D657" i="5"/>
  <c r="F656" i="5"/>
  <c r="D656" i="5"/>
  <c r="F655" i="5"/>
  <c r="D655" i="5"/>
  <c r="F654" i="5"/>
  <c r="D654" i="5"/>
  <c r="F653" i="5"/>
  <c r="D653" i="5"/>
  <c r="F652" i="5"/>
  <c r="D652" i="5"/>
  <c r="F651" i="5"/>
  <c r="D651" i="5"/>
  <c r="F650" i="5"/>
  <c r="D650" i="5"/>
  <c r="F649" i="5"/>
  <c r="D649" i="5"/>
  <c r="F648" i="5"/>
  <c r="D648" i="5"/>
  <c r="F647" i="5"/>
  <c r="D647" i="5"/>
  <c r="F646" i="5"/>
  <c r="D646" i="5"/>
  <c r="F645" i="5"/>
  <c r="D645" i="5"/>
  <c r="F644" i="5"/>
  <c r="D644" i="5"/>
  <c r="F643" i="5"/>
  <c r="D643" i="5"/>
  <c r="F642" i="5"/>
  <c r="D642" i="5"/>
  <c r="F641" i="5"/>
  <c r="D641" i="5"/>
  <c r="F640" i="5"/>
  <c r="D640" i="5"/>
  <c r="F639" i="5"/>
  <c r="D639" i="5"/>
  <c r="F638" i="5"/>
  <c r="D638" i="5"/>
  <c r="F637" i="5"/>
  <c r="D637" i="5"/>
  <c r="F636" i="5"/>
  <c r="D636" i="5"/>
  <c r="F635" i="5"/>
  <c r="D635" i="5"/>
  <c r="F634" i="5"/>
  <c r="D634" i="5"/>
  <c r="F633" i="5"/>
  <c r="D633" i="5"/>
  <c r="F632" i="5"/>
  <c r="D632" i="5"/>
  <c r="F631" i="5"/>
  <c r="D631" i="5"/>
  <c r="F630" i="5"/>
  <c r="D630" i="5"/>
  <c r="F629" i="5"/>
  <c r="D629" i="5"/>
  <c r="F628" i="5"/>
  <c r="D628" i="5"/>
  <c r="F627" i="5"/>
  <c r="D627" i="5"/>
  <c r="F626" i="5"/>
  <c r="D626" i="5"/>
  <c r="F625" i="5"/>
  <c r="D625" i="5"/>
  <c r="F624" i="5"/>
  <c r="D624" i="5"/>
  <c r="F623" i="5"/>
  <c r="D623" i="5"/>
  <c r="F622" i="5"/>
  <c r="D622" i="5"/>
  <c r="F621" i="5"/>
  <c r="D621" i="5"/>
  <c r="F620" i="5"/>
  <c r="D620" i="5"/>
  <c r="F619" i="5"/>
  <c r="D619" i="5"/>
  <c r="F618" i="5"/>
  <c r="D618" i="5"/>
  <c r="F617" i="5"/>
  <c r="D617" i="5"/>
  <c r="F616" i="5"/>
  <c r="D616" i="5"/>
  <c r="F615" i="5"/>
  <c r="D615" i="5"/>
  <c r="F614" i="5"/>
  <c r="D614" i="5"/>
  <c r="F613" i="5"/>
  <c r="D613" i="5"/>
  <c r="F612" i="5"/>
  <c r="D612" i="5"/>
  <c r="F611" i="5"/>
  <c r="D611" i="5"/>
  <c r="F610" i="5"/>
  <c r="D610" i="5"/>
  <c r="F609" i="5"/>
  <c r="D609" i="5"/>
  <c r="F608" i="5"/>
  <c r="D608" i="5"/>
  <c r="F607" i="5"/>
  <c r="D607" i="5"/>
  <c r="F606" i="5"/>
  <c r="D606" i="5"/>
  <c r="F605" i="5"/>
  <c r="D605" i="5"/>
  <c r="F604" i="5"/>
  <c r="D604" i="5"/>
  <c r="F603" i="5"/>
  <c r="D603" i="5"/>
  <c r="F602" i="5"/>
  <c r="D602" i="5"/>
  <c r="F601" i="5"/>
  <c r="D601" i="5"/>
  <c r="F600" i="5"/>
  <c r="D600" i="5"/>
  <c r="F599" i="5"/>
  <c r="D599" i="5"/>
  <c r="F598" i="5"/>
  <c r="D598" i="5"/>
  <c r="F597" i="5"/>
  <c r="D597" i="5"/>
  <c r="F596" i="5"/>
  <c r="D596" i="5"/>
  <c r="F595" i="5"/>
  <c r="D595" i="5"/>
  <c r="F594" i="5"/>
  <c r="D594" i="5"/>
  <c r="F593" i="5"/>
  <c r="D593" i="5"/>
  <c r="F592" i="5"/>
  <c r="D592" i="5"/>
  <c r="F591" i="5"/>
  <c r="D591" i="5"/>
  <c r="F590" i="5"/>
  <c r="D590" i="5"/>
  <c r="F589" i="5"/>
  <c r="D589" i="5"/>
  <c r="F588" i="5"/>
  <c r="D588" i="5"/>
  <c r="F587" i="5"/>
  <c r="D587" i="5"/>
  <c r="F586" i="5"/>
  <c r="D586" i="5"/>
  <c r="F585" i="5"/>
  <c r="D585" i="5"/>
  <c r="F584" i="5"/>
  <c r="D584" i="5"/>
  <c r="F583" i="5"/>
  <c r="D583" i="5"/>
  <c r="F582" i="5"/>
  <c r="D582" i="5"/>
  <c r="F581" i="5"/>
  <c r="D581" i="5"/>
  <c r="F580" i="5"/>
  <c r="D580" i="5"/>
  <c r="F579" i="5"/>
  <c r="D579" i="5"/>
  <c r="F578" i="5"/>
  <c r="D578" i="5"/>
  <c r="F577" i="5"/>
  <c r="D577" i="5"/>
  <c r="F576" i="5"/>
  <c r="D576" i="5"/>
  <c r="F575" i="5"/>
  <c r="D575" i="5"/>
  <c r="F574" i="5"/>
  <c r="D574" i="5"/>
  <c r="F573" i="5"/>
  <c r="D573" i="5"/>
  <c r="F572" i="5"/>
  <c r="D572" i="5"/>
  <c r="F571" i="5"/>
  <c r="D571" i="5"/>
  <c r="F570" i="5"/>
  <c r="D570" i="5"/>
  <c r="F569" i="5"/>
  <c r="D569" i="5"/>
  <c r="F568" i="5"/>
  <c r="D568" i="5"/>
  <c r="F567" i="5"/>
  <c r="D567" i="5"/>
  <c r="F566" i="5"/>
  <c r="D566" i="5"/>
  <c r="F565" i="5"/>
  <c r="D565" i="5"/>
  <c r="F564" i="5"/>
  <c r="D564" i="5"/>
  <c r="F563" i="5"/>
  <c r="D563" i="5"/>
  <c r="F562" i="5"/>
  <c r="D562" i="5"/>
  <c r="F561" i="5"/>
  <c r="D561" i="5"/>
  <c r="F560" i="5"/>
  <c r="D560" i="5"/>
  <c r="F559" i="5"/>
  <c r="D559" i="5"/>
  <c r="F558" i="5"/>
  <c r="D558" i="5"/>
  <c r="F557" i="5"/>
  <c r="D557" i="5"/>
  <c r="F556" i="5"/>
  <c r="D556" i="5"/>
  <c r="F555" i="5"/>
  <c r="D555" i="5"/>
  <c r="F554" i="5"/>
  <c r="D554" i="5"/>
  <c r="F553" i="5"/>
  <c r="D553" i="5"/>
  <c r="F552" i="5"/>
  <c r="D552" i="5"/>
  <c r="F551" i="5"/>
  <c r="D551" i="5"/>
  <c r="F550" i="5"/>
  <c r="D550" i="5"/>
  <c r="F549" i="5"/>
  <c r="D549" i="5"/>
  <c r="F548" i="5"/>
  <c r="D548" i="5"/>
  <c r="F547" i="5"/>
  <c r="D547" i="5"/>
  <c r="F546" i="5"/>
  <c r="D546" i="5"/>
  <c r="F545" i="5"/>
  <c r="D545" i="5"/>
  <c r="F544" i="5"/>
  <c r="D544" i="5"/>
  <c r="F543" i="5"/>
  <c r="D543" i="5"/>
  <c r="F542" i="5"/>
  <c r="D542" i="5"/>
  <c r="F541" i="5"/>
  <c r="D541" i="5"/>
  <c r="F540" i="5"/>
  <c r="D540" i="5"/>
  <c r="F539" i="5"/>
  <c r="D539" i="5"/>
  <c r="F538" i="5"/>
  <c r="D538" i="5"/>
  <c r="F537" i="5"/>
  <c r="D537" i="5"/>
  <c r="F536" i="5"/>
  <c r="D536" i="5"/>
  <c r="F535" i="5"/>
  <c r="D535" i="5"/>
  <c r="F534" i="5"/>
  <c r="D534" i="5"/>
  <c r="F533" i="5"/>
  <c r="D533" i="5"/>
  <c r="F532" i="5"/>
  <c r="D532" i="5"/>
  <c r="F531" i="5"/>
  <c r="D531" i="5"/>
  <c r="F530" i="5"/>
  <c r="D530" i="5"/>
  <c r="F529" i="5"/>
  <c r="D529" i="5"/>
  <c r="F528" i="5"/>
  <c r="D528" i="5"/>
  <c r="F527" i="5"/>
  <c r="D527" i="5"/>
  <c r="F526" i="5"/>
  <c r="D526" i="5"/>
  <c r="F525" i="5"/>
  <c r="D525" i="5"/>
  <c r="F524" i="5"/>
  <c r="D524" i="5"/>
  <c r="F523" i="5"/>
  <c r="D523" i="5"/>
  <c r="F522" i="5"/>
  <c r="D522" i="5"/>
  <c r="F521" i="5"/>
  <c r="D521" i="5"/>
  <c r="F520" i="5"/>
  <c r="D520" i="5"/>
  <c r="F519" i="5"/>
  <c r="D519" i="5"/>
  <c r="F518" i="5"/>
  <c r="D518" i="5"/>
  <c r="F517" i="5"/>
  <c r="D517" i="5"/>
  <c r="F516" i="5"/>
  <c r="D516" i="5"/>
  <c r="F515" i="5"/>
  <c r="D515" i="5"/>
  <c r="F514" i="5"/>
  <c r="D514" i="5"/>
  <c r="F513" i="5"/>
  <c r="D513" i="5"/>
  <c r="F512" i="5"/>
  <c r="D512" i="5"/>
  <c r="F511" i="5"/>
  <c r="D511" i="5"/>
  <c r="F510" i="5"/>
  <c r="D510" i="5"/>
  <c r="F509" i="5"/>
  <c r="D509" i="5"/>
  <c r="F508" i="5"/>
  <c r="D508" i="5"/>
  <c r="F507" i="5"/>
  <c r="D507" i="5"/>
  <c r="F506" i="5"/>
  <c r="D506" i="5"/>
  <c r="F505" i="5"/>
  <c r="D505" i="5"/>
  <c r="F504" i="5"/>
  <c r="D504" i="5"/>
  <c r="F503" i="5"/>
  <c r="D503" i="5"/>
  <c r="F502" i="5"/>
  <c r="D502" i="5"/>
  <c r="F501" i="5"/>
  <c r="D501" i="5"/>
  <c r="F500" i="5"/>
  <c r="D500" i="5"/>
  <c r="F499" i="5"/>
  <c r="D499" i="5"/>
  <c r="F498" i="5"/>
  <c r="D498" i="5"/>
  <c r="F497" i="5"/>
  <c r="D497" i="5"/>
  <c r="F496" i="5"/>
  <c r="D496" i="5"/>
  <c r="F495" i="5"/>
  <c r="D495" i="5"/>
  <c r="F494" i="5"/>
  <c r="D494" i="5"/>
  <c r="F493" i="5"/>
  <c r="D493" i="5"/>
  <c r="F492" i="5"/>
  <c r="D492" i="5"/>
  <c r="F491" i="5"/>
  <c r="D491" i="5"/>
  <c r="F490" i="5"/>
  <c r="D490" i="5"/>
  <c r="F489" i="5"/>
  <c r="D489" i="5"/>
  <c r="F488" i="5"/>
  <c r="D488" i="5"/>
  <c r="F487" i="5"/>
  <c r="D487" i="5"/>
  <c r="F486" i="5"/>
  <c r="D486" i="5"/>
  <c r="F485" i="5"/>
  <c r="D485" i="5"/>
  <c r="F484" i="5"/>
  <c r="D484" i="5"/>
  <c r="F483" i="5"/>
  <c r="D483" i="5"/>
  <c r="F482" i="5"/>
  <c r="D482" i="5"/>
  <c r="F481" i="5"/>
  <c r="D481" i="5"/>
  <c r="F480" i="5"/>
  <c r="D480" i="5"/>
  <c r="F479" i="5"/>
  <c r="D479" i="5"/>
  <c r="F478" i="5"/>
  <c r="D478" i="5"/>
  <c r="F477" i="5"/>
  <c r="D477" i="5"/>
  <c r="F476" i="5"/>
  <c r="D476" i="5"/>
  <c r="F475" i="5"/>
  <c r="D475" i="5"/>
  <c r="F474" i="5"/>
  <c r="D474" i="5"/>
  <c r="F473" i="5"/>
  <c r="D473" i="5"/>
  <c r="F472" i="5"/>
  <c r="D472" i="5"/>
  <c r="F471" i="5"/>
  <c r="D471" i="5"/>
  <c r="F470" i="5"/>
  <c r="D470" i="5"/>
  <c r="F469" i="5"/>
  <c r="D469" i="5"/>
  <c r="F468" i="5"/>
  <c r="D468" i="5"/>
  <c r="F467" i="5"/>
  <c r="D467" i="5"/>
  <c r="F466" i="5"/>
  <c r="D466" i="5"/>
  <c r="F465" i="5"/>
  <c r="D465" i="5"/>
  <c r="F464" i="5"/>
  <c r="D464" i="5"/>
  <c r="F463" i="5"/>
  <c r="D463" i="5"/>
  <c r="F462" i="5"/>
  <c r="D462" i="5"/>
  <c r="F461" i="5"/>
  <c r="D461" i="5"/>
  <c r="F460" i="5"/>
  <c r="D460" i="5"/>
  <c r="F459" i="5"/>
  <c r="D459" i="5"/>
  <c r="F458" i="5"/>
  <c r="D458" i="5"/>
  <c r="F457" i="5"/>
  <c r="D457" i="5"/>
  <c r="F456" i="5"/>
  <c r="D456" i="5"/>
  <c r="F455" i="5"/>
  <c r="D455" i="5"/>
  <c r="F454" i="5"/>
  <c r="D454" i="5"/>
  <c r="F453" i="5"/>
  <c r="D453" i="5"/>
  <c r="F452" i="5"/>
  <c r="D452" i="5"/>
  <c r="F451" i="5"/>
  <c r="D451" i="5"/>
  <c r="F450" i="5"/>
  <c r="D450" i="5"/>
  <c r="F449" i="5"/>
  <c r="D449" i="5"/>
  <c r="F448" i="5"/>
  <c r="D448" i="5"/>
  <c r="F447" i="5"/>
  <c r="D447" i="5"/>
  <c r="F446" i="5"/>
  <c r="D446" i="5"/>
  <c r="F445" i="5"/>
  <c r="D445" i="5"/>
  <c r="F444" i="5"/>
  <c r="D444" i="5"/>
  <c r="F443" i="5"/>
  <c r="D443" i="5"/>
  <c r="F442" i="5"/>
  <c r="D442" i="5"/>
  <c r="F441" i="5"/>
  <c r="D441" i="5"/>
  <c r="F440" i="5"/>
  <c r="D440" i="5"/>
  <c r="F439" i="5"/>
  <c r="D439" i="5"/>
  <c r="F438" i="5"/>
  <c r="D438" i="5"/>
  <c r="F437" i="5"/>
  <c r="D437" i="5"/>
  <c r="F436" i="5"/>
  <c r="D436" i="5"/>
  <c r="F435" i="5"/>
  <c r="D435" i="5"/>
  <c r="F434" i="5"/>
  <c r="D434" i="5"/>
  <c r="F433" i="5"/>
  <c r="D433" i="5"/>
  <c r="F432" i="5"/>
  <c r="D432" i="5"/>
  <c r="F431" i="5"/>
  <c r="D431" i="5"/>
  <c r="F430" i="5"/>
  <c r="D430" i="5"/>
  <c r="F429" i="5"/>
  <c r="D429" i="5"/>
  <c r="F428" i="5"/>
  <c r="D428" i="5"/>
  <c r="F427" i="5"/>
  <c r="D427" i="5"/>
  <c r="F426" i="5"/>
  <c r="D426" i="5"/>
  <c r="F425" i="5"/>
  <c r="D425" i="5"/>
  <c r="F424" i="5"/>
  <c r="D424" i="5"/>
  <c r="F423" i="5"/>
  <c r="D423" i="5"/>
  <c r="F422" i="5"/>
  <c r="D422" i="5"/>
  <c r="F421" i="5"/>
  <c r="D421" i="5"/>
  <c r="F420" i="5"/>
  <c r="D420" i="5"/>
  <c r="F419" i="5"/>
  <c r="D419" i="5"/>
  <c r="F418" i="5"/>
  <c r="D418" i="5"/>
  <c r="F417" i="5"/>
  <c r="D417" i="5"/>
  <c r="F416" i="5"/>
  <c r="D416" i="5"/>
  <c r="F415" i="5"/>
  <c r="D415" i="5"/>
  <c r="F414" i="5"/>
  <c r="D414" i="5"/>
  <c r="F413" i="5"/>
  <c r="D413" i="5"/>
  <c r="F412" i="5"/>
  <c r="D412" i="5"/>
  <c r="F411" i="5"/>
  <c r="D411" i="5"/>
  <c r="F410" i="5"/>
  <c r="D410" i="5"/>
  <c r="F409" i="5"/>
  <c r="D409" i="5"/>
  <c r="F408" i="5"/>
  <c r="D408" i="5"/>
  <c r="F407" i="5"/>
  <c r="D407" i="5"/>
  <c r="F406" i="5"/>
  <c r="D406" i="5"/>
  <c r="F405" i="5"/>
  <c r="D405" i="5"/>
  <c r="F404" i="5"/>
  <c r="D404" i="5"/>
  <c r="F403" i="5"/>
  <c r="D403" i="5"/>
  <c r="F402" i="5"/>
  <c r="D402" i="5"/>
  <c r="F401" i="5"/>
  <c r="D401" i="5"/>
  <c r="F400" i="5"/>
  <c r="D400" i="5"/>
  <c r="F399" i="5"/>
  <c r="D399" i="5"/>
  <c r="F398" i="5"/>
  <c r="D398" i="5"/>
  <c r="F397" i="5"/>
  <c r="D397" i="5"/>
  <c r="F396" i="5"/>
  <c r="D396" i="5"/>
  <c r="F395" i="5"/>
  <c r="D395" i="5"/>
  <c r="F394" i="5"/>
  <c r="D394" i="5"/>
  <c r="F393" i="5"/>
  <c r="D393" i="5"/>
  <c r="F392" i="5"/>
  <c r="D392" i="5"/>
  <c r="F391" i="5"/>
  <c r="D391" i="5"/>
  <c r="F390" i="5"/>
  <c r="D390" i="5"/>
  <c r="F389" i="5"/>
  <c r="D389" i="5"/>
  <c r="F388" i="5"/>
  <c r="D388" i="5"/>
  <c r="F387" i="5"/>
  <c r="D387" i="5"/>
  <c r="F386" i="5"/>
  <c r="D386" i="5"/>
  <c r="F385" i="5"/>
  <c r="D385" i="5"/>
  <c r="F384" i="5"/>
  <c r="D384" i="5"/>
  <c r="F383" i="5"/>
  <c r="D383" i="5"/>
  <c r="F382" i="5"/>
  <c r="D382" i="5"/>
  <c r="F381" i="5"/>
  <c r="D381" i="5"/>
  <c r="F380" i="5"/>
  <c r="D380" i="5"/>
  <c r="F379" i="5"/>
  <c r="D379" i="5"/>
  <c r="F378" i="5"/>
  <c r="D378" i="5"/>
  <c r="F377" i="5"/>
  <c r="D377" i="5"/>
  <c r="F376" i="5"/>
  <c r="D376" i="5"/>
  <c r="F375" i="5"/>
  <c r="D375" i="5"/>
  <c r="F374" i="5"/>
  <c r="D374" i="5"/>
  <c r="F373" i="5"/>
  <c r="D373" i="5"/>
  <c r="F372" i="5"/>
  <c r="D372" i="5"/>
  <c r="F371" i="5"/>
  <c r="D371" i="5"/>
  <c r="F370" i="5"/>
  <c r="D370" i="5"/>
  <c r="F369" i="5"/>
  <c r="D369" i="5"/>
  <c r="F368" i="5"/>
  <c r="D368" i="5"/>
  <c r="F367" i="5"/>
  <c r="D367" i="5"/>
  <c r="F366" i="5"/>
  <c r="D366" i="5"/>
  <c r="F365" i="5"/>
  <c r="D365" i="5"/>
  <c r="F364" i="5"/>
  <c r="D364" i="5"/>
  <c r="F363" i="5"/>
  <c r="D363" i="5"/>
  <c r="F362" i="5"/>
  <c r="D362" i="5"/>
  <c r="F361" i="5"/>
  <c r="D361" i="5"/>
  <c r="F360" i="5"/>
  <c r="D360" i="5"/>
  <c r="F359" i="5"/>
  <c r="D359" i="5"/>
  <c r="F358" i="5"/>
  <c r="D358" i="5"/>
  <c r="F357" i="5"/>
  <c r="D357" i="5"/>
  <c r="F356" i="5"/>
  <c r="D356" i="5"/>
  <c r="F355" i="5"/>
  <c r="D355" i="5"/>
  <c r="F354" i="5"/>
  <c r="D354" i="5"/>
  <c r="F353" i="5"/>
  <c r="D353" i="5"/>
  <c r="F352" i="5"/>
  <c r="D352" i="5"/>
  <c r="F351" i="5"/>
  <c r="D351" i="5"/>
  <c r="F350" i="5"/>
  <c r="D350" i="5"/>
  <c r="F349" i="5"/>
  <c r="D349" i="5"/>
  <c r="F348" i="5"/>
  <c r="D348" i="5"/>
  <c r="F347" i="5"/>
  <c r="D347" i="5"/>
  <c r="F346" i="5"/>
  <c r="D346" i="5"/>
  <c r="F345" i="5"/>
  <c r="D345" i="5"/>
  <c r="F344" i="5"/>
  <c r="D344" i="5"/>
  <c r="F343" i="5"/>
  <c r="D343" i="5"/>
  <c r="F342" i="5"/>
  <c r="D342" i="5"/>
  <c r="F341" i="5"/>
  <c r="D341" i="5"/>
  <c r="F340" i="5"/>
  <c r="D340" i="5"/>
  <c r="F339" i="5"/>
  <c r="D339" i="5"/>
  <c r="F338" i="5"/>
  <c r="D338" i="5"/>
  <c r="F337" i="5"/>
  <c r="D337" i="5"/>
  <c r="F336" i="5"/>
  <c r="D336" i="5"/>
  <c r="F335" i="5"/>
  <c r="D335" i="5"/>
  <c r="F334" i="5"/>
  <c r="D334" i="5"/>
  <c r="F333" i="5"/>
  <c r="D333" i="5"/>
  <c r="F332" i="5"/>
  <c r="D332" i="5"/>
  <c r="F331" i="5"/>
  <c r="D331" i="5"/>
  <c r="F330" i="5"/>
  <c r="D330" i="5"/>
  <c r="F329" i="5"/>
  <c r="D329" i="5"/>
  <c r="F328" i="5"/>
  <c r="D328" i="5"/>
  <c r="F327" i="5"/>
  <c r="D327" i="5"/>
  <c r="F326" i="5"/>
  <c r="D326" i="5"/>
  <c r="F325" i="5"/>
  <c r="D325" i="5"/>
  <c r="F324" i="5"/>
  <c r="D324" i="5"/>
  <c r="F323" i="5"/>
  <c r="D323" i="5"/>
  <c r="F322" i="5"/>
  <c r="D322" i="5"/>
  <c r="F321" i="5"/>
  <c r="D321" i="5"/>
  <c r="F320" i="5"/>
  <c r="D320" i="5"/>
  <c r="F319" i="5"/>
  <c r="D319" i="5"/>
  <c r="F318" i="5"/>
  <c r="D318" i="5"/>
  <c r="F317" i="5"/>
  <c r="D317" i="5"/>
  <c r="F316" i="5"/>
  <c r="D316" i="5"/>
  <c r="F315" i="5"/>
  <c r="D315" i="5"/>
  <c r="F314" i="5"/>
  <c r="D314" i="5"/>
  <c r="F313" i="5"/>
  <c r="D313" i="5"/>
  <c r="F312" i="5"/>
  <c r="D312" i="5"/>
  <c r="F311" i="5"/>
  <c r="D311" i="5"/>
  <c r="F310" i="5"/>
  <c r="D310" i="5"/>
  <c r="F309" i="5"/>
  <c r="D309" i="5"/>
  <c r="F308" i="5"/>
  <c r="D308" i="5"/>
  <c r="F307" i="5"/>
  <c r="D307" i="5"/>
  <c r="F306" i="5"/>
  <c r="D306" i="5"/>
  <c r="F305" i="5"/>
  <c r="D305" i="5"/>
  <c r="F304" i="5"/>
  <c r="D304" i="5"/>
  <c r="F303" i="5"/>
  <c r="D303" i="5"/>
  <c r="F302" i="5"/>
  <c r="D302" i="5"/>
  <c r="F301" i="5"/>
  <c r="D301" i="5"/>
  <c r="F300" i="5"/>
  <c r="D300" i="5"/>
  <c r="F299" i="5"/>
  <c r="D299" i="5"/>
  <c r="F298" i="5"/>
  <c r="D298" i="5"/>
  <c r="F297" i="5"/>
  <c r="D297" i="5"/>
  <c r="F296" i="5"/>
  <c r="D296" i="5"/>
  <c r="F295" i="5"/>
  <c r="D295" i="5"/>
  <c r="F294" i="5"/>
  <c r="D294" i="5"/>
  <c r="F293" i="5"/>
  <c r="D293" i="5"/>
  <c r="F292" i="5"/>
  <c r="D292" i="5"/>
  <c r="F291" i="5"/>
  <c r="D291" i="5"/>
  <c r="F290" i="5"/>
  <c r="D290" i="5"/>
  <c r="F289" i="5"/>
  <c r="D289" i="5"/>
  <c r="F288" i="5"/>
  <c r="D288" i="5"/>
  <c r="F287" i="5"/>
  <c r="D287" i="5"/>
  <c r="F286" i="5"/>
  <c r="D286" i="5"/>
  <c r="F285" i="5"/>
  <c r="D285" i="5"/>
  <c r="F284" i="5"/>
  <c r="D284" i="5"/>
  <c r="F283" i="5"/>
  <c r="D283" i="5"/>
  <c r="F282" i="5"/>
  <c r="D282" i="5"/>
  <c r="F281" i="5"/>
  <c r="D281" i="5"/>
  <c r="F280" i="5"/>
  <c r="D280" i="5"/>
  <c r="F279" i="5"/>
  <c r="D279" i="5"/>
  <c r="F278" i="5"/>
  <c r="D278" i="5"/>
  <c r="F277" i="5"/>
  <c r="D277" i="5"/>
  <c r="F276" i="5"/>
  <c r="D276" i="5"/>
  <c r="F275" i="5"/>
  <c r="D275" i="5"/>
  <c r="F274" i="5"/>
  <c r="D274" i="5"/>
  <c r="F273" i="5"/>
  <c r="D273" i="5"/>
  <c r="F272" i="5"/>
  <c r="D272" i="5"/>
  <c r="F271" i="5"/>
  <c r="D271" i="5"/>
  <c r="F270" i="5"/>
  <c r="D270" i="5"/>
  <c r="F269" i="5"/>
  <c r="D269" i="5"/>
  <c r="F268" i="5"/>
  <c r="D268" i="5"/>
  <c r="Q267" i="5"/>
  <c r="O267" i="5"/>
  <c r="F267" i="5"/>
  <c r="D267" i="5"/>
  <c r="Q266" i="5"/>
  <c r="O266" i="5"/>
  <c r="F266" i="5"/>
  <c r="D266" i="5"/>
  <c r="Q265" i="5"/>
  <c r="O265" i="5"/>
  <c r="F265" i="5"/>
  <c r="D265" i="5"/>
  <c r="Q264" i="5"/>
  <c r="O264" i="5"/>
  <c r="F264" i="5"/>
  <c r="D264" i="5"/>
  <c r="Q263" i="5"/>
  <c r="O263" i="5"/>
  <c r="F263" i="5"/>
  <c r="D263" i="5"/>
  <c r="Q262" i="5"/>
  <c r="O262" i="5"/>
  <c r="F262" i="5"/>
  <c r="D262" i="5"/>
  <c r="Q261" i="5"/>
  <c r="O261" i="5"/>
  <c r="F261" i="5"/>
  <c r="D261" i="5"/>
  <c r="Q260" i="5"/>
  <c r="O260" i="5"/>
  <c r="F260" i="5"/>
  <c r="D260" i="5"/>
  <c r="Q259" i="5"/>
  <c r="O259" i="5"/>
  <c r="F259" i="5"/>
  <c r="D259" i="5"/>
  <c r="Q258" i="5"/>
  <c r="O258" i="5"/>
  <c r="F258" i="5"/>
  <c r="D258" i="5"/>
  <c r="Q257" i="5"/>
  <c r="O257" i="5"/>
  <c r="F257" i="5"/>
  <c r="D257" i="5"/>
  <c r="Q256" i="5"/>
  <c r="O256" i="5"/>
  <c r="F256" i="5"/>
  <c r="D256" i="5"/>
  <c r="Q255" i="5"/>
  <c r="O255" i="5"/>
  <c r="F255" i="5"/>
  <c r="D255" i="5"/>
  <c r="Q254" i="5"/>
  <c r="O254" i="5"/>
  <c r="F254" i="5"/>
  <c r="D254" i="5"/>
  <c r="Q253" i="5"/>
  <c r="O253" i="5"/>
  <c r="F253" i="5"/>
  <c r="D253" i="5"/>
  <c r="Q252" i="5"/>
  <c r="O252" i="5"/>
  <c r="F252" i="5"/>
  <c r="D252" i="5"/>
  <c r="Q251" i="5"/>
  <c r="O251" i="5"/>
  <c r="F251" i="5"/>
  <c r="D251" i="5"/>
  <c r="Q250" i="5"/>
  <c r="O250" i="5"/>
  <c r="F250" i="5"/>
  <c r="D250" i="5"/>
  <c r="Q249" i="5"/>
  <c r="O249" i="5"/>
  <c r="F249" i="5"/>
  <c r="D249" i="5"/>
  <c r="Q248" i="5"/>
  <c r="O248" i="5"/>
  <c r="F248" i="5"/>
  <c r="D248" i="5"/>
  <c r="Q247" i="5"/>
  <c r="O247" i="5"/>
  <c r="F247" i="5"/>
  <c r="D247" i="5"/>
  <c r="Q246" i="5"/>
  <c r="O246" i="5"/>
  <c r="F246" i="5"/>
  <c r="D246" i="5"/>
  <c r="Q245" i="5"/>
  <c r="O245" i="5"/>
  <c r="F245" i="5"/>
  <c r="D245" i="5"/>
  <c r="Q244" i="5"/>
  <c r="O244" i="5"/>
  <c r="F244" i="5"/>
  <c r="D244" i="5"/>
  <c r="Q243" i="5"/>
  <c r="O243" i="5"/>
  <c r="F243" i="5"/>
  <c r="D243" i="5"/>
  <c r="Q242" i="5"/>
  <c r="O242" i="5"/>
  <c r="F242" i="5"/>
  <c r="D242" i="5"/>
  <c r="Q241" i="5"/>
  <c r="O241" i="5"/>
  <c r="F241" i="5"/>
  <c r="D241" i="5"/>
  <c r="Q240" i="5"/>
  <c r="O240" i="5"/>
  <c r="F240" i="5"/>
  <c r="D240" i="5"/>
  <c r="Q239" i="5"/>
  <c r="O239" i="5"/>
  <c r="F239" i="5"/>
  <c r="D239" i="5"/>
  <c r="Q238" i="5"/>
  <c r="O238" i="5"/>
  <c r="F238" i="5"/>
  <c r="D238" i="5"/>
  <c r="Q237" i="5"/>
  <c r="O237" i="5"/>
  <c r="F237" i="5"/>
  <c r="D237" i="5"/>
  <c r="Q236" i="5"/>
  <c r="O236" i="5"/>
  <c r="F236" i="5"/>
  <c r="D236" i="5"/>
  <c r="Q235" i="5"/>
  <c r="O235" i="5"/>
  <c r="F235" i="5"/>
  <c r="D235" i="5"/>
  <c r="Q234" i="5"/>
  <c r="O234" i="5"/>
  <c r="F234" i="5"/>
  <c r="D234" i="5"/>
  <c r="Q233" i="5"/>
  <c r="O233" i="5"/>
  <c r="F233" i="5"/>
  <c r="D233" i="5"/>
  <c r="Q232" i="5"/>
  <c r="O232" i="5"/>
  <c r="F232" i="5"/>
  <c r="D232" i="5"/>
  <c r="Q231" i="5"/>
  <c r="O231" i="5"/>
  <c r="F231" i="5"/>
  <c r="D231" i="5"/>
  <c r="Q230" i="5"/>
  <c r="O230" i="5"/>
  <c r="F230" i="5"/>
  <c r="D230" i="5"/>
  <c r="Q229" i="5"/>
  <c r="O229" i="5"/>
  <c r="F229" i="5"/>
  <c r="D229" i="5"/>
  <c r="Q228" i="5"/>
  <c r="O228" i="5"/>
  <c r="F228" i="5"/>
  <c r="D228" i="5"/>
  <c r="Q227" i="5"/>
  <c r="O227" i="5"/>
  <c r="F227" i="5"/>
  <c r="D227" i="5"/>
  <c r="Q226" i="5"/>
  <c r="O226" i="5"/>
  <c r="F226" i="5"/>
  <c r="D226" i="5"/>
  <c r="Q225" i="5"/>
  <c r="O225" i="5"/>
  <c r="F225" i="5"/>
  <c r="D225" i="5"/>
  <c r="Q224" i="5"/>
  <c r="O224" i="5"/>
  <c r="F224" i="5"/>
  <c r="D224" i="5"/>
  <c r="Q223" i="5"/>
  <c r="O223" i="5"/>
  <c r="F223" i="5"/>
  <c r="D223" i="5"/>
  <c r="Q222" i="5"/>
  <c r="O222" i="5"/>
  <c r="F222" i="5"/>
  <c r="D222" i="5"/>
  <c r="Q221" i="5"/>
  <c r="O221" i="5"/>
  <c r="F221" i="5"/>
  <c r="D221" i="5"/>
  <c r="Q220" i="5"/>
  <c r="O220" i="5"/>
  <c r="F220" i="5"/>
  <c r="D220" i="5"/>
  <c r="Q219" i="5"/>
  <c r="O219" i="5"/>
  <c r="F219" i="5"/>
  <c r="D219" i="5"/>
  <c r="Q218" i="5"/>
  <c r="O218" i="5"/>
  <c r="F218" i="5"/>
  <c r="D218" i="5"/>
  <c r="Q217" i="5"/>
  <c r="O217" i="5"/>
  <c r="F217" i="5"/>
  <c r="D217" i="5"/>
  <c r="Q216" i="5"/>
  <c r="O216" i="5"/>
  <c r="F216" i="5"/>
  <c r="D216" i="5"/>
  <c r="Q215" i="5"/>
  <c r="O215" i="5"/>
  <c r="F215" i="5"/>
  <c r="D215" i="5"/>
  <c r="Q214" i="5"/>
  <c r="O214" i="5"/>
  <c r="F214" i="5"/>
  <c r="D214" i="5"/>
  <c r="Q213" i="5"/>
  <c r="O213" i="5"/>
  <c r="F213" i="5"/>
  <c r="D213" i="5"/>
  <c r="Q212" i="5"/>
  <c r="O212" i="5"/>
  <c r="F212" i="5"/>
  <c r="D212" i="5"/>
  <c r="Q211" i="5"/>
  <c r="O211" i="5"/>
  <c r="F211" i="5"/>
  <c r="D211" i="5"/>
  <c r="Q210" i="5"/>
  <c r="O210" i="5"/>
  <c r="F210" i="5"/>
  <c r="D210" i="5"/>
  <c r="Q209" i="5"/>
  <c r="O209" i="5"/>
  <c r="F209" i="5"/>
  <c r="D209" i="5"/>
  <c r="Q208" i="5"/>
  <c r="O208" i="5"/>
  <c r="F208" i="5"/>
  <c r="D208" i="5"/>
  <c r="Q207" i="5"/>
  <c r="O207" i="5"/>
  <c r="F207" i="5"/>
  <c r="D207" i="5"/>
  <c r="Q206" i="5"/>
  <c r="O206" i="5"/>
  <c r="F206" i="5"/>
  <c r="D206" i="5"/>
  <c r="Q205" i="5"/>
  <c r="O205" i="5"/>
  <c r="F205" i="5"/>
  <c r="D205" i="5"/>
  <c r="Q204" i="5"/>
  <c r="O204" i="5"/>
  <c r="F204" i="5"/>
  <c r="D204" i="5"/>
  <c r="Q203" i="5"/>
  <c r="O203" i="5"/>
  <c r="F203" i="5"/>
  <c r="D203" i="5"/>
  <c r="Q202" i="5"/>
  <c r="O202" i="5"/>
  <c r="F202" i="5"/>
  <c r="D202" i="5"/>
  <c r="Q201" i="5"/>
  <c r="O201" i="5"/>
  <c r="F201" i="5"/>
  <c r="D201" i="5"/>
  <c r="Q200" i="5"/>
  <c r="O200" i="5"/>
  <c r="F200" i="5"/>
  <c r="D200" i="5"/>
  <c r="Q199" i="5"/>
  <c r="O199" i="5"/>
  <c r="F199" i="5"/>
  <c r="D199" i="5"/>
  <c r="Q198" i="5"/>
  <c r="O198" i="5"/>
  <c r="F198" i="5"/>
  <c r="D198" i="5"/>
  <c r="Q197" i="5"/>
  <c r="O197" i="5"/>
  <c r="F197" i="5"/>
  <c r="D197" i="5"/>
  <c r="Q196" i="5"/>
  <c r="O196" i="5"/>
  <c r="F196" i="5"/>
  <c r="D196" i="5"/>
  <c r="Q195" i="5"/>
  <c r="O195" i="5"/>
  <c r="F195" i="5"/>
  <c r="D195" i="5"/>
  <c r="Q194" i="5"/>
  <c r="O194" i="5"/>
  <c r="F194" i="5"/>
  <c r="D194" i="5"/>
  <c r="Q193" i="5"/>
  <c r="O193" i="5"/>
  <c r="F193" i="5"/>
  <c r="D193" i="5"/>
  <c r="Q192" i="5"/>
  <c r="O192" i="5"/>
  <c r="F192" i="5"/>
  <c r="D192" i="5"/>
  <c r="Q191" i="5"/>
  <c r="O191" i="5"/>
  <c r="F191" i="5"/>
  <c r="D191" i="5"/>
  <c r="Q190" i="5"/>
  <c r="O190" i="5"/>
  <c r="F190" i="5"/>
  <c r="D190" i="5"/>
  <c r="Q189" i="5"/>
  <c r="O189" i="5"/>
  <c r="F189" i="5"/>
  <c r="D189" i="5"/>
  <c r="Q188" i="5"/>
  <c r="O188" i="5"/>
  <c r="F188" i="5"/>
  <c r="D188" i="5"/>
  <c r="Q187" i="5"/>
  <c r="O187" i="5"/>
  <c r="F187" i="5"/>
  <c r="D187" i="5"/>
  <c r="Q186" i="5"/>
  <c r="O186" i="5"/>
  <c r="F186" i="5"/>
  <c r="D186" i="5"/>
  <c r="Q185" i="5"/>
  <c r="O185" i="5"/>
  <c r="F185" i="5"/>
  <c r="D185" i="5"/>
  <c r="Q184" i="5"/>
  <c r="O184" i="5"/>
  <c r="F184" i="5"/>
  <c r="D184" i="5"/>
  <c r="Q183" i="5"/>
  <c r="O183" i="5"/>
  <c r="F183" i="5"/>
  <c r="D183" i="5"/>
  <c r="Q182" i="5"/>
  <c r="O182" i="5"/>
  <c r="F182" i="5"/>
  <c r="D182" i="5"/>
  <c r="Q181" i="5"/>
  <c r="O181" i="5"/>
  <c r="F181" i="5"/>
  <c r="D181" i="5"/>
  <c r="Q180" i="5"/>
  <c r="O180" i="5"/>
  <c r="F180" i="5"/>
  <c r="D180" i="5"/>
  <c r="Q179" i="5"/>
  <c r="O179" i="5"/>
  <c r="F179" i="5"/>
  <c r="D179" i="5"/>
  <c r="Q178" i="5"/>
  <c r="O178" i="5"/>
  <c r="F178" i="5"/>
  <c r="D178" i="5"/>
  <c r="Q177" i="5"/>
  <c r="O177" i="5"/>
  <c r="F177" i="5"/>
  <c r="D177" i="5"/>
  <c r="Q176" i="5"/>
  <c r="O176" i="5"/>
  <c r="F176" i="5"/>
  <c r="D176" i="5"/>
  <c r="Q175" i="5"/>
  <c r="O175" i="5"/>
  <c r="F175" i="5"/>
  <c r="D175" i="5"/>
  <c r="Q174" i="5"/>
  <c r="O174" i="5"/>
  <c r="F174" i="5"/>
  <c r="D174" i="5"/>
  <c r="Q173" i="5"/>
  <c r="O173" i="5"/>
  <c r="F173" i="5"/>
  <c r="D173" i="5"/>
  <c r="Q172" i="5"/>
  <c r="O172" i="5"/>
  <c r="F172" i="5"/>
  <c r="D172" i="5"/>
  <c r="Q171" i="5"/>
  <c r="O171" i="5"/>
  <c r="F171" i="5"/>
  <c r="D171" i="5"/>
  <c r="Q170" i="5"/>
  <c r="O170" i="5"/>
  <c r="F170" i="5"/>
  <c r="D170" i="5"/>
  <c r="Q169" i="5"/>
  <c r="O169" i="5"/>
  <c r="F169" i="5"/>
  <c r="D169" i="5"/>
  <c r="Q168" i="5"/>
  <c r="O168" i="5"/>
  <c r="F168" i="5"/>
  <c r="D168" i="5"/>
  <c r="Q167" i="5"/>
  <c r="O167" i="5"/>
  <c r="F167" i="5"/>
  <c r="D167" i="5"/>
  <c r="Q166" i="5"/>
  <c r="O166" i="5"/>
  <c r="F166" i="5"/>
  <c r="D166" i="5"/>
  <c r="Q165" i="5"/>
  <c r="O165" i="5"/>
  <c r="F165" i="5"/>
  <c r="D165" i="5"/>
  <c r="Q164" i="5"/>
  <c r="O164" i="5"/>
  <c r="F164" i="5"/>
  <c r="D164" i="5"/>
  <c r="Q163" i="5"/>
  <c r="O163" i="5"/>
  <c r="F163" i="5"/>
  <c r="D163" i="5"/>
  <c r="Q162" i="5"/>
  <c r="O162" i="5"/>
  <c r="F162" i="5"/>
  <c r="D162" i="5"/>
  <c r="Q161" i="5"/>
  <c r="O161" i="5"/>
  <c r="F161" i="5"/>
  <c r="D161" i="5"/>
  <c r="Q160" i="5"/>
  <c r="O160" i="5"/>
  <c r="F160" i="5"/>
  <c r="D160" i="5"/>
  <c r="Q159" i="5"/>
  <c r="O159" i="5"/>
  <c r="F159" i="5"/>
  <c r="D159" i="5"/>
  <c r="Q158" i="5"/>
  <c r="O158" i="5"/>
  <c r="F158" i="5"/>
  <c r="D158" i="5"/>
  <c r="Q157" i="5"/>
  <c r="O157" i="5"/>
  <c r="F157" i="5"/>
  <c r="D157" i="5"/>
  <c r="Q156" i="5"/>
  <c r="O156" i="5"/>
  <c r="F156" i="5"/>
  <c r="D156" i="5"/>
  <c r="Q155" i="5"/>
  <c r="O155" i="5"/>
  <c r="F155" i="5"/>
  <c r="D155" i="5"/>
  <c r="Q154" i="5"/>
  <c r="O154" i="5"/>
  <c r="F154" i="5"/>
  <c r="D154" i="5"/>
  <c r="Q153" i="5"/>
  <c r="O153" i="5"/>
  <c r="F153" i="5"/>
  <c r="D153" i="5"/>
  <c r="Q152" i="5"/>
  <c r="O152" i="5"/>
  <c r="F152" i="5"/>
  <c r="D152" i="5"/>
  <c r="Q151" i="5"/>
  <c r="O151" i="5"/>
  <c r="F151" i="5"/>
  <c r="D151" i="5"/>
  <c r="Q150" i="5"/>
  <c r="O150" i="5"/>
  <c r="F150" i="5"/>
  <c r="D150" i="5"/>
  <c r="Q149" i="5"/>
  <c r="O149" i="5"/>
  <c r="F149" i="5"/>
  <c r="D149" i="5"/>
  <c r="Q148" i="5"/>
  <c r="O148" i="5"/>
  <c r="F148" i="5"/>
  <c r="D148" i="5"/>
  <c r="Q147" i="5"/>
  <c r="O147" i="5"/>
  <c r="F147" i="5"/>
  <c r="D147" i="5"/>
  <c r="Q146" i="5"/>
  <c r="O146" i="5"/>
  <c r="F146" i="5"/>
  <c r="D146" i="5"/>
  <c r="Q145" i="5"/>
  <c r="O145" i="5"/>
  <c r="F145" i="5"/>
  <c r="D145" i="5"/>
  <c r="Q144" i="5"/>
  <c r="O144" i="5"/>
  <c r="F144" i="5"/>
  <c r="D144" i="5"/>
  <c r="Q143" i="5"/>
  <c r="O143" i="5"/>
  <c r="F143" i="5"/>
  <c r="D143" i="5"/>
  <c r="Q142" i="5"/>
  <c r="O142" i="5"/>
  <c r="F142" i="5"/>
  <c r="D142" i="5"/>
  <c r="Q141" i="5"/>
  <c r="O141" i="5"/>
  <c r="F141" i="5"/>
  <c r="D141" i="5"/>
  <c r="Q140" i="5"/>
  <c r="O140" i="5"/>
  <c r="F140" i="5"/>
  <c r="D140" i="5"/>
  <c r="Q139" i="5"/>
  <c r="O139" i="5"/>
  <c r="F139" i="5"/>
  <c r="D139" i="5"/>
  <c r="Q138" i="5"/>
  <c r="O138" i="5"/>
  <c r="F138" i="5"/>
  <c r="D138" i="5"/>
  <c r="Q137" i="5"/>
  <c r="O137" i="5"/>
  <c r="F137" i="5"/>
  <c r="D137" i="5"/>
  <c r="Q136" i="5"/>
  <c r="O136" i="5"/>
  <c r="F136" i="5"/>
  <c r="D136" i="5"/>
  <c r="Q135" i="5"/>
  <c r="O135" i="5"/>
  <c r="F135" i="5"/>
  <c r="D135" i="5"/>
  <c r="Q134" i="5"/>
  <c r="O134" i="5"/>
  <c r="F134" i="5"/>
  <c r="D134" i="5"/>
  <c r="Q133" i="5"/>
  <c r="O133" i="5"/>
  <c r="F133" i="5"/>
  <c r="D133" i="5"/>
  <c r="Q132" i="5"/>
  <c r="O132" i="5"/>
  <c r="F132" i="5"/>
  <c r="D132" i="5"/>
  <c r="Q131" i="5"/>
  <c r="O131" i="5"/>
  <c r="F131" i="5"/>
  <c r="D131" i="5"/>
  <c r="Q130" i="5"/>
  <c r="O130" i="5"/>
  <c r="F130" i="5"/>
  <c r="D130" i="5"/>
  <c r="Q129" i="5"/>
  <c r="O129" i="5"/>
  <c r="F129" i="5"/>
  <c r="D129" i="5"/>
  <c r="Q128" i="5"/>
  <c r="O128" i="5"/>
  <c r="F128" i="5"/>
  <c r="D128" i="5"/>
  <c r="Q127" i="5"/>
  <c r="O127" i="5"/>
  <c r="F127" i="5"/>
  <c r="D127" i="5"/>
  <c r="Q126" i="5"/>
  <c r="O126" i="5"/>
  <c r="F126" i="5"/>
  <c r="D126" i="5"/>
  <c r="Q125" i="5"/>
  <c r="O125" i="5"/>
  <c r="F125" i="5"/>
  <c r="D125" i="5"/>
  <c r="Q124" i="5"/>
  <c r="O124" i="5"/>
  <c r="F124" i="5"/>
  <c r="D124" i="5"/>
  <c r="Q123" i="5"/>
  <c r="O123" i="5"/>
  <c r="F123" i="5"/>
  <c r="D123" i="5"/>
  <c r="Q122" i="5"/>
  <c r="O122" i="5"/>
  <c r="F122" i="5"/>
  <c r="D122" i="5"/>
  <c r="Q121" i="5"/>
  <c r="O121" i="5"/>
  <c r="F121" i="5"/>
  <c r="D121" i="5"/>
  <c r="Q120" i="5"/>
  <c r="O120" i="5"/>
  <c r="F120" i="5"/>
  <c r="D120" i="5"/>
  <c r="Q119" i="5"/>
  <c r="O119" i="5"/>
  <c r="F119" i="5"/>
  <c r="D119" i="5"/>
  <c r="Q118" i="5"/>
  <c r="O118" i="5"/>
  <c r="F118" i="5"/>
  <c r="D118" i="5"/>
  <c r="Q117" i="5"/>
  <c r="O117" i="5"/>
  <c r="F117" i="5"/>
  <c r="D117" i="5"/>
  <c r="Q116" i="5"/>
  <c r="O116" i="5"/>
  <c r="F116" i="5"/>
  <c r="D116" i="5"/>
  <c r="Q115" i="5"/>
  <c r="O115" i="5"/>
  <c r="F115" i="5"/>
  <c r="D115" i="5"/>
  <c r="Q114" i="5"/>
  <c r="O114" i="5"/>
  <c r="F114" i="5"/>
  <c r="D114" i="5"/>
  <c r="Q113" i="5"/>
  <c r="O113" i="5"/>
  <c r="F113" i="5"/>
  <c r="D113" i="5"/>
  <c r="Q112" i="5"/>
  <c r="O112" i="5"/>
  <c r="F112" i="5"/>
  <c r="D112" i="5"/>
  <c r="Q111" i="5"/>
  <c r="O111" i="5"/>
  <c r="F111" i="5"/>
  <c r="D111" i="5"/>
  <c r="Q110" i="5"/>
  <c r="O110" i="5"/>
  <c r="F110" i="5"/>
  <c r="D110" i="5"/>
  <c r="Q109" i="5"/>
  <c r="O109" i="5"/>
  <c r="F109" i="5"/>
  <c r="D109" i="5"/>
  <c r="Q108" i="5"/>
  <c r="O108" i="5"/>
  <c r="F108" i="5"/>
  <c r="D108" i="5"/>
  <c r="Q107" i="5"/>
  <c r="O107" i="5"/>
  <c r="F107" i="5"/>
  <c r="D107" i="5"/>
  <c r="Q106" i="5"/>
  <c r="O106" i="5"/>
  <c r="F106" i="5"/>
  <c r="D106" i="5"/>
  <c r="Q105" i="5"/>
  <c r="O105" i="5"/>
  <c r="F105" i="5"/>
  <c r="D105" i="5"/>
  <c r="Q104" i="5"/>
  <c r="O104" i="5"/>
  <c r="F104" i="5"/>
  <c r="D104" i="5"/>
  <c r="Q103" i="5"/>
  <c r="O103" i="5"/>
  <c r="F103" i="5"/>
  <c r="D103" i="5"/>
  <c r="Q102" i="5"/>
  <c r="O102" i="5"/>
  <c r="F102" i="5"/>
  <c r="D102" i="5"/>
  <c r="Q101" i="5"/>
  <c r="O101" i="5"/>
  <c r="F101" i="5"/>
  <c r="D101" i="5"/>
  <c r="Q100" i="5"/>
  <c r="O100" i="5"/>
  <c r="F100" i="5"/>
  <c r="D100" i="5"/>
  <c r="Q99" i="5"/>
  <c r="O99" i="5"/>
  <c r="F99" i="5"/>
  <c r="D99" i="5"/>
  <c r="Q98" i="5"/>
  <c r="O98" i="5"/>
  <c r="F98" i="5"/>
  <c r="D98" i="5"/>
  <c r="Q97" i="5"/>
  <c r="O97" i="5"/>
  <c r="F97" i="5"/>
  <c r="D97" i="5"/>
  <c r="Q96" i="5"/>
  <c r="O96" i="5"/>
  <c r="F96" i="5"/>
  <c r="D96" i="5"/>
  <c r="Q95" i="5"/>
  <c r="O95" i="5"/>
  <c r="F95" i="5"/>
  <c r="D95" i="5"/>
  <c r="Q94" i="5"/>
  <c r="O94" i="5"/>
  <c r="F94" i="5"/>
  <c r="D94" i="5"/>
  <c r="Q93" i="5"/>
  <c r="O93" i="5"/>
  <c r="F93" i="5"/>
  <c r="D93" i="5"/>
  <c r="Q92" i="5"/>
  <c r="O92" i="5"/>
  <c r="F92" i="5"/>
  <c r="D92" i="5"/>
  <c r="Q91" i="5"/>
  <c r="O91" i="5"/>
  <c r="F91" i="5"/>
  <c r="D91" i="5"/>
  <c r="Q90" i="5"/>
  <c r="O90" i="5"/>
  <c r="F90" i="5"/>
  <c r="D90" i="5"/>
  <c r="Q89" i="5"/>
  <c r="O89" i="5"/>
  <c r="F89" i="5"/>
  <c r="D89" i="5"/>
  <c r="Q88" i="5"/>
  <c r="O88" i="5"/>
  <c r="F88" i="5"/>
  <c r="D88" i="5"/>
  <c r="Q87" i="5"/>
  <c r="O87" i="5"/>
  <c r="F87" i="5"/>
  <c r="D87" i="5"/>
  <c r="Q86" i="5"/>
  <c r="O86" i="5"/>
  <c r="F86" i="5"/>
  <c r="D86" i="5"/>
  <c r="Q85" i="5"/>
  <c r="O85" i="5"/>
  <c r="F85" i="5"/>
  <c r="D85" i="5"/>
  <c r="Q84" i="5"/>
  <c r="O84" i="5"/>
  <c r="F84" i="5"/>
  <c r="D84" i="5"/>
  <c r="Q83" i="5"/>
  <c r="O83" i="5"/>
  <c r="F83" i="5"/>
  <c r="D83" i="5"/>
  <c r="Q82" i="5"/>
  <c r="O82" i="5"/>
  <c r="F82" i="5"/>
  <c r="D82" i="5"/>
  <c r="Q81" i="5"/>
  <c r="O81" i="5"/>
  <c r="F81" i="5"/>
  <c r="D81" i="5"/>
  <c r="Q80" i="5"/>
  <c r="O80" i="5"/>
  <c r="F80" i="5"/>
  <c r="D80" i="5"/>
  <c r="Q79" i="5"/>
  <c r="O79" i="5"/>
  <c r="F79" i="5"/>
  <c r="D79" i="5"/>
  <c r="Q78" i="5"/>
  <c r="O78" i="5"/>
  <c r="F78" i="5"/>
  <c r="D78" i="5"/>
  <c r="Q77" i="5"/>
  <c r="O77" i="5"/>
  <c r="F77" i="5"/>
  <c r="D77" i="5"/>
  <c r="Q76" i="5"/>
  <c r="O76" i="5"/>
  <c r="F76" i="5"/>
  <c r="D76" i="5"/>
  <c r="Q75" i="5"/>
  <c r="O75" i="5"/>
  <c r="F75" i="5"/>
  <c r="D75" i="5"/>
  <c r="Q74" i="5"/>
  <c r="O74" i="5"/>
  <c r="F74" i="5"/>
  <c r="D74" i="5"/>
  <c r="Q73" i="5"/>
  <c r="O73" i="5"/>
  <c r="F73" i="5"/>
  <c r="D73" i="5"/>
  <c r="Q72" i="5"/>
  <c r="O72" i="5"/>
  <c r="F72" i="5"/>
  <c r="D72" i="5"/>
  <c r="Q71" i="5"/>
  <c r="O71" i="5"/>
  <c r="F71" i="5"/>
  <c r="D71" i="5"/>
  <c r="Q70" i="5"/>
  <c r="O70" i="5"/>
  <c r="F70" i="5"/>
  <c r="D70" i="5"/>
  <c r="Q69" i="5"/>
  <c r="O69" i="5"/>
  <c r="F69" i="5"/>
  <c r="D69" i="5"/>
  <c r="Q68" i="5"/>
  <c r="O68" i="5"/>
  <c r="F68" i="5"/>
  <c r="D68" i="5"/>
  <c r="X67" i="5"/>
  <c r="V67" i="5"/>
  <c r="Q67" i="5"/>
  <c r="O67" i="5"/>
  <c r="F67" i="5"/>
  <c r="D67" i="5"/>
  <c r="X66" i="5"/>
  <c r="V66" i="5"/>
  <c r="Q66" i="5"/>
  <c r="O66" i="5"/>
  <c r="F66" i="5"/>
  <c r="D66" i="5"/>
  <c r="X65" i="5"/>
  <c r="V65" i="5"/>
  <c r="Q65" i="5"/>
  <c r="O65" i="5"/>
  <c r="F65" i="5"/>
  <c r="D65" i="5"/>
  <c r="X64" i="5"/>
  <c r="V64" i="5"/>
  <c r="Q64" i="5"/>
  <c r="O64" i="5"/>
  <c r="F64" i="5"/>
  <c r="D64" i="5"/>
  <c r="X63" i="5"/>
  <c r="V63" i="5"/>
  <c r="Q63" i="5"/>
  <c r="O63" i="5"/>
  <c r="F63" i="5"/>
  <c r="D63" i="5"/>
  <c r="X62" i="5"/>
  <c r="V62" i="5"/>
  <c r="Q62" i="5"/>
  <c r="O62" i="5"/>
  <c r="F62" i="5"/>
  <c r="D62" i="5"/>
  <c r="X61" i="5"/>
  <c r="V61" i="5"/>
  <c r="Q61" i="5"/>
  <c r="O61" i="5"/>
  <c r="F61" i="5"/>
  <c r="D61" i="5"/>
  <c r="X60" i="5"/>
  <c r="V60" i="5"/>
  <c r="Q60" i="5"/>
  <c r="O60" i="5"/>
  <c r="F60" i="5"/>
  <c r="D60" i="5"/>
  <c r="X59" i="5"/>
  <c r="V59" i="5"/>
  <c r="Q59" i="5"/>
  <c r="O59" i="5"/>
  <c r="F59" i="5"/>
  <c r="D59" i="5"/>
  <c r="X58" i="5"/>
  <c r="V58" i="5"/>
  <c r="Q58" i="5"/>
  <c r="O58" i="5"/>
  <c r="F58" i="5"/>
  <c r="D58" i="5"/>
  <c r="X57" i="5"/>
  <c r="V57" i="5"/>
  <c r="Q57" i="5"/>
  <c r="O57" i="5"/>
  <c r="F57" i="5"/>
  <c r="D57" i="5"/>
  <c r="X56" i="5"/>
  <c r="V56" i="5"/>
  <c r="Q56" i="5"/>
  <c r="O56" i="5"/>
  <c r="F56" i="5"/>
  <c r="D56" i="5"/>
  <c r="X55" i="5"/>
  <c r="V55" i="5"/>
  <c r="Q55" i="5"/>
  <c r="O55" i="5"/>
  <c r="F55" i="5"/>
  <c r="D55" i="5"/>
  <c r="X54" i="5"/>
  <c r="V54" i="5"/>
  <c r="Q54" i="5"/>
  <c r="O54" i="5"/>
  <c r="F54" i="5"/>
  <c r="D54" i="5"/>
  <c r="X53" i="5"/>
  <c r="V53" i="5"/>
  <c r="Q53" i="5"/>
  <c r="O53" i="5"/>
  <c r="F53" i="5"/>
  <c r="D53" i="5"/>
  <c r="X52" i="5"/>
  <c r="V52" i="5"/>
  <c r="Q52" i="5"/>
  <c r="O52" i="5"/>
  <c r="F52" i="5"/>
  <c r="D52" i="5"/>
  <c r="X51" i="5"/>
  <c r="V51" i="5"/>
  <c r="Q51" i="5"/>
  <c r="O51" i="5"/>
  <c r="F51" i="5"/>
  <c r="D51" i="5"/>
  <c r="X50" i="5"/>
  <c r="V50" i="5"/>
  <c r="Q50" i="5"/>
  <c r="O50" i="5"/>
  <c r="F50" i="5"/>
  <c r="D50" i="5"/>
  <c r="X49" i="5"/>
  <c r="V49" i="5"/>
  <c r="Q49" i="5"/>
  <c r="O49" i="5"/>
  <c r="F49" i="5"/>
  <c r="D49" i="5"/>
  <c r="X48" i="5"/>
  <c r="V48" i="5"/>
  <c r="Q48" i="5"/>
  <c r="O48" i="5"/>
  <c r="F48" i="5"/>
  <c r="D48" i="5"/>
  <c r="X47" i="5"/>
  <c r="V47" i="5"/>
  <c r="Q47" i="5"/>
  <c r="O47" i="5"/>
  <c r="F47" i="5"/>
  <c r="D47" i="5"/>
  <c r="X46" i="5"/>
  <c r="V46" i="5"/>
  <c r="Q46" i="5"/>
  <c r="O46" i="5"/>
  <c r="F46" i="5"/>
  <c r="D46" i="5"/>
  <c r="X45" i="5"/>
  <c r="V45" i="5"/>
  <c r="Q45" i="5"/>
  <c r="O45" i="5"/>
  <c r="F45" i="5"/>
  <c r="D45" i="5"/>
  <c r="X44" i="5"/>
  <c r="V44" i="5"/>
  <c r="Q44" i="5"/>
  <c r="O44" i="5"/>
  <c r="F44" i="5"/>
  <c r="D44" i="5"/>
  <c r="X43" i="5"/>
  <c r="V43" i="5"/>
  <c r="Q43" i="5"/>
  <c r="O43" i="5"/>
  <c r="F43" i="5"/>
  <c r="D43" i="5"/>
  <c r="X42" i="5"/>
  <c r="V42" i="5"/>
  <c r="Q42" i="5"/>
  <c r="O42" i="5"/>
  <c r="F42" i="5"/>
  <c r="D42" i="5"/>
  <c r="X41" i="5"/>
  <c r="V41" i="5"/>
  <c r="Q41" i="5"/>
  <c r="O41" i="5"/>
  <c r="F41" i="5"/>
  <c r="D41" i="5"/>
  <c r="X40" i="5"/>
  <c r="V40" i="5"/>
  <c r="Q40" i="5"/>
  <c r="O40" i="5"/>
  <c r="F40" i="5"/>
  <c r="D40" i="5"/>
  <c r="X39" i="5"/>
  <c r="V39" i="5"/>
  <c r="Q39" i="5"/>
  <c r="O39" i="5"/>
  <c r="F39" i="5"/>
  <c r="D39" i="5"/>
  <c r="X38" i="5"/>
  <c r="V38" i="5"/>
  <c r="Q38" i="5"/>
  <c r="O38" i="5"/>
  <c r="F38" i="5"/>
  <c r="D38" i="5"/>
  <c r="X37" i="5"/>
  <c r="V37" i="5"/>
  <c r="Q37" i="5"/>
  <c r="O37" i="5"/>
  <c r="F37" i="5"/>
  <c r="D37" i="5"/>
  <c r="X36" i="5"/>
  <c r="V36" i="5"/>
  <c r="Q36" i="5"/>
  <c r="O36" i="5"/>
  <c r="F36" i="5"/>
  <c r="D36" i="5"/>
  <c r="X35" i="5"/>
  <c r="V35" i="5"/>
  <c r="Q35" i="5"/>
  <c r="O35" i="5"/>
  <c r="F35" i="5"/>
  <c r="D35" i="5"/>
  <c r="X34" i="5"/>
  <c r="V34" i="5"/>
  <c r="Q34" i="5"/>
  <c r="O34" i="5"/>
  <c r="F34" i="5"/>
  <c r="D34" i="5"/>
  <c r="X33" i="5"/>
  <c r="V33" i="5"/>
  <c r="Q33" i="5"/>
  <c r="O33" i="5"/>
  <c r="F33" i="5"/>
  <c r="D33" i="5"/>
  <c r="X32" i="5"/>
  <c r="V32" i="5"/>
  <c r="Q32" i="5"/>
  <c r="O32" i="5"/>
  <c r="F32" i="5"/>
  <c r="D32" i="5"/>
  <c r="X31" i="5"/>
  <c r="V31" i="5"/>
  <c r="Q31" i="5"/>
  <c r="O31" i="5"/>
  <c r="F31" i="5"/>
  <c r="D31" i="5"/>
  <c r="X30" i="5"/>
  <c r="V30" i="5"/>
  <c r="Q30" i="5"/>
  <c r="O30" i="5"/>
  <c r="F30" i="5"/>
  <c r="D30" i="5"/>
  <c r="X29" i="5"/>
  <c r="V29" i="5"/>
  <c r="Q29" i="5"/>
  <c r="O29" i="5"/>
  <c r="F29" i="5"/>
  <c r="D29" i="5"/>
  <c r="X28" i="5"/>
  <c r="V28" i="5"/>
  <c r="Q28" i="5"/>
  <c r="O28" i="5"/>
  <c r="F28" i="5"/>
  <c r="D28" i="5"/>
  <c r="X27" i="5"/>
  <c r="V27" i="5"/>
  <c r="Q27" i="5"/>
  <c r="O27" i="5"/>
  <c r="F27" i="5"/>
  <c r="D27" i="5"/>
  <c r="X26" i="5"/>
  <c r="V26" i="5"/>
  <c r="Q26" i="5"/>
  <c r="O26" i="5"/>
  <c r="F26" i="5"/>
  <c r="D26" i="5"/>
  <c r="X25" i="5"/>
  <c r="V25" i="5"/>
  <c r="Q25" i="5"/>
  <c r="O25" i="5"/>
  <c r="F25" i="5"/>
  <c r="D25" i="5"/>
  <c r="X24" i="5"/>
  <c r="V24" i="5"/>
  <c r="Q24" i="5"/>
  <c r="O24" i="5"/>
  <c r="F24" i="5"/>
  <c r="D24" i="5"/>
  <c r="X23" i="5"/>
  <c r="V23" i="5"/>
  <c r="Q23" i="5"/>
  <c r="O23" i="5"/>
  <c r="F23" i="5"/>
  <c r="D23" i="5"/>
  <c r="X22" i="5"/>
  <c r="V22" i="5"/>
  <c r="Q22" i="5"/>
  <c r="O22" i="5"/>
  <c r="F22" i="5"/>
  <c r="D22" i="5"/>
  <c r="X21" i="5"/>
  <c r="V21" i="5"/>
  <c r="Q21" i="5"/>
  <c r="O21" i="5"/>
  <c r="F21" i="5"/>
  <c r="D21" i="5"/>
  <c r="X20" i="5"/>
  <c r="V20" i="5"/>
  <c r="Q20" i="5"/>
  <c r="O20" i="5"/>
  <c r="F20" i="5"/>
  <c r="D20" i="5"/>
  <c r="X19" i="5"/>
  <c r="V19" i="5"/>
  <c r="Q19" i="5"/>
  <c r="O19" i="5"/>
  <c r="F19" i="5"/>
  <c r="D19" i="5"/>
  <c r="X18" i="5"/>
  <c r="V18" i="5"/>
  <c r="Q18" i="5"/>
  <c r="O18" i="5"/>
  <c r="F18" i="5"/>
  <c r="D18" i="5"/>
  <c r="X17" i="5"/>
  <c r="V17" i="5"/>
  <c r="Q17" i="5"/>
  <c r="O17" i="5"/>
  <c r="F17" i="5"/>
  <c r="D17" i="5"/>
  <c r="X16" i="5"/>
  <c r="V16" i="5"/>
  <c r="Q16" i="5"/>
  <c r="O16" i="5"/>
  <c r="F16" i="5"/>
  <c r="D16" i="5"/>
  <c r="X15" i="5"/>
  <c r="V15" i="5"/>
  <c r="Q15" i="5"/>
  <c r="O15" i="5"/>
  <c r="F15" i="5"/>
  <c r="D15" i="5"/>
  <c r="X14" i="5"/>
  <c r="V14" i="5"/>
  <c r="Q14" i="5"/>
  <c r="O14" i="5"/>
  <c r="I14" i="5"/>
  <c r="F14" i="5"/>
  <c r="D14" i="5"/>
  <c r="X13" i="5"/>
  <c r="V13" i="5"/>
  <c r="Q13" i="5"/>
  <c r="O13" i="5"/>
  <c r="J13" i="5"/>
  <c r="I13" i="5"/>
  <c r="F13" i="5"/>
  <c r="D13" i="5"/>
  <c r="X12" i="5"/>
  <c r="V12" i="5"/>
  <c r="Q12" i="5"/>
  <c r="O12" i="5"/>
  <c r="J12" i="5"/>
  <c r="I12" i="5"/>
  <c r="F12" i="5"/>
  <c r="D12" i="5"/>
  <c r="X11" i="5"/>
  <c r="V11" i="5"/>
  <c r="Q11" i="5"/>
  <c r="O11" i="5"/>
  <c r="F11" i="5"/>
  <c r="D11" i="5"/>
  <c r="X10" i="5"/>
  <c r="V10" i="5"/>
  <c r="Q10" i="5"/>
  <c r="O10" i="5"/>
  <c r="F10" i="5"/>
  <c r="D10" i="5"/>
  <c r="I15" i="5" s="1"/>
  <c r="X9" i="5"/>
  <c r="V9" i="5"/>
  <c r="Q9" i="5"/>
  <c r="O9" i="5"/>
  <c r="F9" i="5"/>
  <c r="D9" i="5"/>
  <c r="X8" i="5"/>
  <c r="V8" i="5"/>
  <c r="K15" i="5" s="1"/>
  <c r="Q8" i="5"/>
  <c r="O8" i="5"/>
  <c r="J14" i="5" s="1"/>
  <c r="F8" i="5"/>
  <c r="D8" i="5"/>
  <c r="Q26" i="2"/>
  <c r="F26" i="8" s="1"/>
  <c r="P26" i="2"/>
  <c r="E26" i="8" s="1"/>
  <c r="O26" i="2"/>
  <c r="D26" i="8" s="1"/>
  <c r="N26" i="2"/>
  <c r="C26" i="8" s="1"/>
  <c r="M26" i="2"/>
  <c r="D91" i="7" s="1"/>
  <c r="L26" i="2"/>
  <c r="C91" i="7" s="1"/>
  <c r="C92" i="7" s="1"/>
  <c r="D67" i="7" l="1"/>
  <c r="E68" i="7"/>
  <c r="D62" i="7"/>
  <c r="G67" i="7"/>
  <c r="F62" i="7"/>
  <c r="D66" i="7"/>
  <c r="D63" i="7"/>
  <c r="G66" i="7"/>
  <c r="E63" i="7"/>
  <c r="F67" i="7"/>
  <c r="D68" i="7"/>
  <c r="G62" i="7"/>
  <c r="O38" i="8"/>
  <c r="E27" i="8"/>
  <c r="I36" i="7"/>
  <c r="I41" i="7"/>
  <c r="F27" i="8"/>
  <c r="F28" i="8" s="1"/>
  <c r="I25" i="7"/>
  <c r="C17" i="8"/>
  <c r="C10" i="8"/>
  <c r="I46" i="7"/>
  <c r="I56" i="7"/>
  <c r="H56" i="7"/>
  <c r="L18" i="9"/>
  <c r="D17" i="10"/>
  <c r="I16" i="7"/>
  <c r="I51" i="7"/>
  <c r="E22" i="8"/>
  <c r="I21" i="7"/>
  <c r="I57" i="7"/>
  <c r="D17" i="8"/>
  <c r="D10" i="8"/>
  <c r="D92" i="7"/>
  <c r="D93" i="7"/>
  <c r="D94" i="7"/>
  <c r="I20" i="7"/>
  <c r="H20" i="7"/>
  <c r="C27" i="8"/>
  <c r="I31" i="7"/>
  <c r="I55" i="7"/>
  <c r="M21" i="8" s="1"/>
  <c r="F10" i="8"/>
  <c r="F17" i="8"/>
  <c r="D27" i="8"/>
  <c r="G20" i="6"/>
  <c r="G11" i="7"/>
  <c r="C14" i="7"/>
  <c r="E15" i="7"/>
  <c r="E20" i="7"/>
  <c r="C24" i="7"/>
  <c r="E25" i="7"/>
  <c r="H25" i="7" s="1"/>
  <c r="C29" i="7"/>
  <c r="E30" i="7"/>
  <c r="I30" i="7" s="1"/>
  <c r="C34" i="7"/>
  <c r="H34" i="7" s="1"/>
  <c r="E35" i="7"/>
  <c r="H35" i="7" s="1"/>
  <c r="C39" i="7"/>
  <c r="E40" i="7"/>
  <c r="I40" i="7" s="1"/>
  <c r="M19" i="8" s="1"/>
  <c r="C44" i="7"/>
  <c r="E45" i="7"/>
  <c r="I45" i="7" s="1"/>
  <c r="C49" i="7"/>
  <c r="E50" i="7"/>
  <c r="I50" i="7" s="1"/>
  <c r="E91" i="7"/>
  <c r="G15" i="10"/>
  <c r="C16" i="10"/>
  <c r="K16" i="10"/>
  <c r="K12" i="5"/>
  <c r="J38" i="8" s="1"/>
  <c r="J44" i="8" s="1"/>
  <c r="F10" i="7"/>
  <c r="F15" i="7"/>
  <c r="I15" i="7" s="1"/>
  <c r="H16" i="7"/>
  <c r="F20" i="7"/>
  <c r="H21" i="7"/>
  <c r="F25" i="7"/>
  <c r="H26" i="7"/>
  <c r="F30" i="7"/>
  <c r="H31" i="7"/>
  <c r="F35" i="7"/>
  <c r="I35" i="7" s="1"/>
  <c r="H36" i="7"/>
  <c r="F40" i="7"/>
  <c r="H41" i="7"/>
  <c r="F45" i="7"/>
  <c r="H46" i="7"/>
  <c r="F50" i="7"/>
  <c r="H51" i="7"/>
  <c r="H76" i="7"/>
  <c r="M25" i="8" s="1"/>
  <c r="E79" i="7"/>
  <c r="I79" i="7" s="1"/>
  <c r="F91" i="7"/>
  <c r="H15" i="10"/>
  <c r="H17" i="10" s="1"/>
  <c r="D16" i="10"/>
  <c r="L16" i="10"/>
  <c r="G10" i="7"/>
  <c r="G7" i="8" s="1"/>
  <c r="H7" i="8" s="1"/>
  <c r="I7" i="8" s="1"/>
  <c r="E14" i="7"/>
  <c r="E19" i="7"/>
  <c r="H19" i="7" s="1"/>
  <c r="M12" i="8" s="1"/>
  <c r="E24" i="7"/>
  <c r="E29" i="7"/>
  <c r="E34" i="7"/>
  <c r="E39" i="7"/>
  <c r="E44" i="7"/>
  <c r="E49" i="7"/>
  <c r="H55" i="7"/>
  <c r="E58" i="7"/>
  <c r="I58" i="7" s="1"/>
  <c r="I76" i="7"/>
  <c r="F79" i="7"/>
  <c r="G91" i="7"/>
  <c r="I15" i="10"/>
  <c r="E16" i="10"/>
  <c r="M16" i="10"/>
  <c r="K14" i="5"/>
  <c r="J15" i="5"/>
  <c r="F14" i="7"/>
  <c r="F19" i="7"/>
  <c r="F24" i="7"/>
  <c r="F29" i="7"/>
  <c r="F34" i="7"/>
  <c r="F39" i="7"/>
  <c r="F44" i="7"/>
  <c r="F49" i="7"/>
  <c r="F58" i="7"/>
  <c r="F63" i="7"/>
  <c r="I63" i="7" s="1"/>
  <c r="F68" i="7"/>
  <c r="I68" i="7" s="1"/>
  <c r="D72" i="7"/>
  <c r="F73" i="7"/>
  <c r="C77" i="7"/>
  <c r="E78" i="7"/>
  <c r="I78" i="7" s="1"/>
  <c r="E83" i="7"/>
  <c r="I83" i="7" s="1"/>
  <c r="G84" i="7"/>
  <c r="I84" i="7" s="1"/>
  <c r="C87" i="7"/>
  <c r="G89" i="7"/>
  <c r="I89" i="7" s="1"/>
  <c r="F16" i="10"/>
  <c r="K13" i="5"/>
  <c r="G14" i="7"/>
  <c r="G19" i="7"/>
  <c r="G24" i="7"/>
  <c r="G29" i="7"/>
  <c r="G34" i="7"/>
  <c r="G39" i="7"/>
  <c r="G44" i="7"/>
  <c r="E57" i="7"/>
  <c r="H57" i="7" s="1"/>
  <c r="C61" i="7"/>
  <c r="E62" i="7"/>
  <c r="H62" i="7" s="1"/>
  <c r="G63" i="7"/>
  <c r="C66" i="7"/>
  <c r="E67" i="7"/>
  <c r="H67" i="7" s="1"/>
  <c r="G68" i="7"/>
  <c r="C71" i="7"/>
  <c r="E72" i="7"/>
  <c r="G73" i="7"/>
  <c r="I73" i="7" s="1"/>
  <c r="F78" i="7"/>
  <c r="F83" i="7"/>
  <c r="D87" i="7"/>
  <c r="F88" i="7"/>
  <c r="H88" i="7" s="1"/>
  <c r="C15" i="10"/>
  <c r="C17" i="10" s="1"/>
  <c r="K15" i="10"/>
  <c r="K17" i="10" s="1"/>
  <c r="G16" i="10"/>
  <c r="F57" i="7"/>
  <c r="F98" i="7"/>
  <c r="L15" i="10"/>
  <c r="L17" i="10" s="1"/>
  <c r="O39" i="8"/>
  <c r="E11" i="7"/>
  <c r="H11" i="7" s="1"/>
  <c r="G98" i="7"/>
  <c r="E10" i="8"/>
  <c r="E15" i="10"/>
  <c r="M15" i="10"/>
  <c r="I16" i="10"/>
  <c r="G82" i="7"/>
  <c r="I82" i="7" s="1"/>
  <c r="M39" i="8" l="1"/>
  <c r="M38" i="8"/>
  <c r="D28" i="8"/>
  <c r="D30" i="8" s="1"/>
  <c r="D32" i="8" s="1"/>
  <c r="V7" i="9"/>
  <c r="L14" i="9" s="1"/>
  <c r="G14" i="8"/>
  <c r="G31" i="8"/>
  <c r="G24" i="8"/>
  <c r="G19" i="8"/>
  <c r="G23" i="8"/>
  <c r="G12" i="8"/>
  <c r="G16" i="8"/>
  <c r="I29" i="7"/>
  <c r="H29" i="7"/>
  <c r="M14" i="8" s="1"/>
  <c r="H73" i="7"/>
  <c r="I44" i="7"/>
  <c r="H44" i="7"/>
  <c r="F30" i="8"/>
  <c r="F32" i="8" s="1"/>
  <c r="F22" i="8"/>
  <c r="H50" i="7"/>
  <c r="H82" i="7"/>
  <c r="H83" i="7"/>
  <c r="I71" i="7"/>
  <c r="H71" i="7"/>
  <c r="H72" i="7"/>
  <c r="I72" i="7"/>
  <c r="I88" i="7"/>
  <c r="H45" i="7"/>
  <c r="H40" i="7"/>
  <c r="C30" i="8"/>
  <c r="C32" i="8" s="1"/>
  <c r="C22" i="8"/>
  <c r="I49" i="7"/>
  <c r="H49" i="7"/>
  <c r="I61" i="7"/>
  <c r="H61" i="7"/>
  <c r="I24" i="7"/>
  <c r="H24" i="7"/>
  <c r="M13" i="8" s="1"/>
  <c r="G13" i="8" s="1"/>
  <c r="H78" i="7"/>
  <c r="H68" i="7"/>
  <c r="G92" i="7"/>
  <c r="I92" i="7" s="1"/>
  <c r="G93" i="7"/>
  <c r="I93" i="7" s="1"/>
  <c r="G94" i="7"/>
  <c r="I39" i="7"/>
  <c r="M18" i="8" s="1"/>
  <c r="G18" i="8" s="1"/>
  <c r="H39" i="7"/>
  <c r="I67" i="7"/>
  <c r="D22" i="8"/>
  <c r="H89" i="7"/>
  <c r="I87" i="7"/>
  <c r="H87" i="7"/>
  <c r="H63" i="7"/>
  <c r="F92" i="7"/>
  <c r="F93" i="7"/>
  <c r="F94" i="7"/>
  <c r="G17" i="10"/>
  <c r="I14" i="7"/>
  <c r="M8" i="8" s="1"/>
  <c r="G8" i="8" s="1"/>
  <c r="G9" i="8" s="1"/>
  <c r="H14" i="7"/>
  <c r="H84" i="7"/>
  <c r="H15" i="7"/>
  <c r="H30" i="7"/>
  <c r="E92" i="7"/>
  <c r="E93" i="7"/>
  <c r="E94" i="7"/>
  <c r="I94" i="7" s="1"/>
  <c r="I62" i="7"/>
  <c r="H79" i="7"/>
  <c r="I11" i="7"/>
  <c r="I34" i="7"/>
  <c r="I19" i="7"/>
  <c r="H10" i="7"/>
  <c r="I66" i="7"/>
  <c r="H66" i="7"/>
  <c r="H58" i="7"/>
  <c r="C42" i="8"/>
  <c r="H93" i="7"/>
  <c r="E28" i="8"/>
  <c r="E30" i="8" s="1"/>
  <c r="E32" i="8" s="1"/>
  <c r="I77" i="7"/>
  <c r="H77" i="7"/>
  <c r="N14" i="9" l="1"/>
  <c r="P14" i="9" s="1"/>
  <c r="G10" i="8"/>
  <c r="G25" i="8"/>
  <c r="H14" i="8"/>
  <c r="H8" i="8"/>
  <c r="H9" i="8" s="1"/>
  <c r="H31" i="8"/>
  <c r="H24" i="8"/>
  <c r="H19" i="8"/>
  <c r="H13" i="8"/>
  <c r="H23" i="8"/>
  <c r="H18" i="8"/>
  <c r="H12" i="8"/>
  <c r="H16" i="8"/>
  <c r="H94" i="7"/>
  <c r="H92" i="7"/>
  <c r="M26" i="8" s="1"/>
  <c r="G26" i="8" s="1"/>
  <c r="G27" i="8" s="1"/>
  <c r="G28" i="8" s="1"/>
  <c r="G15" i="8"/>
  <c r="G17" i="8" s="1"/>
  <c r="H15" i="8" l="1"/>
  <c r="G20" i="8"/>
  <c r="G21" i="8" s="1"/>
  <c r="G30" i="8" s="1"/>
  <c r="G32" i="8" s="1"/>
  <c r="V13" i="9"/>
  <c r="L26" i="9" s="1"/>
  <c r="G22" i="8"/>
  <c r="N7" i="10" s="1"/>
  <c r="H17" i="8"/>
  <c r="H10" i="8"/>
  <c r="I14" i="8"/>
  <c r="I8" i="8"/>
  <c r="I9" i="8" s="1"/>
  <c r="I31" i="8"/>
  <c r="I24" i="8"/>
  <c r="I26" i="8" s="1"/>
  <c r="I19" i="8"/>
  <c r="J7" i="8"/>
  <c r="I13" i="8"/>
  <c r="I23" i="8"/>
  <c r="I18" i="8"/>
  <c r="I12" i="8"/>
  <c r="I16" i="8"/>
  <c r="H26" i="8"/>
  <c r="H25" i="8"/>
  <c r="H27" i="8"/>
  <c r="H28" i="8" s="1"/>
  <c r="N26" i="9" l="1"/>
  <c r="P26" i="9" s="1"/>
  <c r="H20" i="8"/>
  <c r="H21" i="8" s="1"/>
  <c r="H30" i="8" s="1"/>
  <c r="H32" i="8" s="1"/>
  <c r="H22" i="8"/>
  <c r="J31" i="8"/>
  <c r="J24" i="8"/>
  <c r="J26" i="8" s="1"/>
  <c r="J19" i="8"/>
  <c r="K7" i="8"/>
  <c r="J13" i="8"/>
  <c r="J23" i="8"/>
  <c r="J18" i="8"/>
  <c r="J12" i="8"/>
  <c r="J16" i="8"/>
  <c r="J14" i="8"/>
  <c r="J8" i="8"/>
  <c r="J9" i="8" s="1"/>
  <c r="V8" i="9"/>
  <c r="I15" i="8"/>
  <c r="I17" i="8" s="1"/>
  <c r="I25" i="8"/>
  <c r="I27" i="8" s="1"/>
  <c r="I28" i="8" s="1"/>
  <c r="I10" i="8"/>
  <c r="J15" i="8" l="1"/>
  <c r="J17" i="8" s="1"/>
  <c r="I20" i="8"/>
  <c r="I21" i="8" s="1"/>
  <c r="I30" i="8" s="1"/>
  <c r="I32" i="8" s="1"/>
  <c r="J10" i="8"/>
  <c r="J25" i="8"/>
  <c r="J27" i="8" s="1"/>
  <c r="J28" i="8" s="1"/>
  <c r="V9" i="9"/>
  <c r="N22" i="9" s="1"/>
  <c r="P22" i="9" s="1"/>
  <c r="C18" i="10"/>
  <c r="D18" i="10"/>
  <c r="H18" i="10"/>
  <c r="L18" i="10"/>
  <c r="K18" i="10"/>
  <c r="G18" i="10"/>
  <c r="K13" i="8"/>
  <c r="K23" i="8"/>
  <c r="K18" i="8"/>
  <c r="K12" i="8"/>
  <c r="K16" i="8"/>
  <c r="K14" i="8"/>
  <c r="K8" i="8"/>
  <c r="K9" i="8" s="1"/>
  <c r="K31" i="8"/>
  <c r="K24" i="8"/>
  <c r="K26" i="8" s="1"/>
  <c r="K19" i="8"/>
  <c r="K10" i="8" l="1"/>
  <c r="J20" i="8"/>
  <c r="J21" i="8" s="1"/>
  <c r="J30" i="8" s="1"/>
  <c r="J32" i="8" s="1"/>
  <c r="K15" i="8"/>
  <c r="K17" i="8" s="1"/>
  <c r="I22" i="8"/>
  <c r="K25" i="8"/>
  <c r="K27" i="8" s="1"/>
  <c r="K28" i="8" s="1"/>
  <c r="L10" i="9"/>
  <c r="N10" i="9" s="1"/>
  <c r="P10" i="9" s="1"/>
  <c r="C20" i="10"/>
  <c r="K20" i="8" l="1"/>
  <c r="K21" i="8" s="1"/>
  <c r="K30" i="8" s="1"/>
  <c r="K32" i="8" s="1"/>
  <c r="J22" i="8"/>
  <c r="K22" i="8" l="1"/>
  <c r="J46" i="8"/>
  <c r="C39" i="8" s="1"/>
  <c r="G35" i="8" l="1"/>
  <c r="R29" i="9"/>
  <c r="K35" i="8"/>
  <c r="I35" i="8"/>
  <c r="H35" i="8"/>
  <c r="C21" i="10"/>
  <c r="J35" i="8"/>
  <c r="C38" i="8" l="1"/>
  <c r="C40" i="8" s="1"/>
  <c r="C43" i="8" s="1"/>
  <c r="C46" i="8" s="1"/>
  <c r="C22" i="10"/>
  <c r="C8" i="1"/>
  <c r="R30" i="9"/>
  <c r="C7" i="1"/>
  <c r="C6" i="1" l="1"/>
  <c r="C47" i="8"/>
  <c r="C10" i="1"/>
  <c r="C11" i="1" s="1"/>
</calcChain>
</file>

<file path=xl/sharedStrings.xml><?xml version="1.0" encoding="utf-8"?>
<sst xmlns="http://schemas.openxmlformats.org/spreadsheetml/2006/main" count="506" uniqueCount="307">
  <si>
    <t>Valuation</t>
  </si>
  <si>
    <t>Weights</t>
  </si>
  <si>
    <t>DCF</t>
  </si>
  <si>
    <t>Relatives</t>
  </si>
  <si>
    <t>Historical</t>
  </si>
  <si>
    <t>Current Price</t>
  </si>
  <si>
    <t>Intrinsic Value</t>
  </si>
  <si>
    <t>Margin of Safety</t>
  </si>
  <si>
    <t>Consolidated Balance Sheet ($MM)</t>
  </si>
  <si>
    <t>FY2015 Q1</t>
  </si>
  <si>
    <t>Current Assets:</t>
  </si>
  <si>
    <t>Cash and cash equivalents</t>
  </si>
  <si>
    <t>Short-term marketable securities</t>
  </si>
  <si>
    <t>Accounts receivable, net</t>
  </si>
  <si>
    <t>Inventory</t>
  </si>
  <si>
    <t>Deferred taxes</t>
  </si>
  <si>
    <t>Other current assets</t>
  </si>
  <si>
    <t>Total current assets</t>
  </si>
  <si>
    <t>Long-term marketable securities</t>
  </si>
  <si>
    <t>Property and equipment, net</t>
  </si>
  <si>
    <t>Notes receivable and investments in Flash Ventures</t>
  </si>
  <si>
    <t>Goodwill</t>
  </si>
  <si>
    <t>Intangible assets, net</t>
  </si>
  <si>
    <t>Other non-current assets</t>
  </si>
  <si>
    <t>Total assets</t>
  </si>
  <si>
    <t>Current liabilities:</t>
  </si>
  <si>
    <t>Accounts payable trade</t>
  </si>
  <si>
    <t>Accounts payable to related parties</t>
  </si>
  <si>
    <t>Convertible short-term debt</t>
  </si>
  <si>
    <t>Short-Term Debt</t>
  </si>
  <si>
    <t>Other current accrued liabilities</t>
  </si>
  <si>
    <t>Deferred income on shipments to distributors and retailers and deferred revenue</t>
  </si>
  <si>
    <t>Total current liabilities</t>
  </si>
  <si>
    <t>Convertible long-term debt</t>
  </si>
  <si>
    <t>Non-current liabilities</t>
  </si>
  <si>
    <t>Total liabilities</t>
  </si>
  <si>
    <t>Commitments and contingencies (see Note 12)</t>
  </si>
  <si>
    <t>-</t>
  </si>
  <si>
    <t>  -</t>
  </si>
  <si>
    <t>Convertible short-term debt conversion obligation</t>
  </si>
  <si>
    <t>Stockholders equity:</t>
  </si>
  <si>
    <t>Preferred stock</t>
  </si>
  <si>
    <t>Common stock</t>
  </si>
  <si>
    <t>Capital in excess of par value</t>
  </si>
  <si>
    <t>Retained earnings</t>
  </si>
  <si>
    <t>Accumulated other comprehensive income (loss)</t>
  </si>
  <si>
    <t>Total stockholders equity</t>
  </si>
  <si>
    <t>Non-controlling interests</t>
  </si>
  <si>
    <t>Total equity</t>
  </si>
  <si>
    <t>Total liabilities and equity</t>
  </si>
  <si>
    <t>Income Statement ($MM)</t>
  </si>
  <si>
    <t>FY 2015 Q1</t>
  </si>
  <si>
    <t>Net Sales</t>
  </si>
  <si>
    <t>Total cost of revenue</t>
  </si>
  <si>
    <t>Gross Margin</t>
  </si>
  <si>
    <t>Operating expenses:</t>
  </si>
  <si>
    <t>Research and development</t>
  </si>
  <si>
    <t>Sales, General, and Administrative</t>
  </si>
  <si>
    <t>Amortization of acquisition-related intangible assets</t>
  </si>
  <si>
    <t>Restructuring and Other</t>
  </si>
  <si>
    <t>Total operating expenses</t>
  </si>
  <si>
    <t>Operating income (EBIT)</t>
  </si>
  <si>
    <t>Interest income</t>
  </si>
  <si>
    <t>Interest (expense) and other income (expense), net</t>
  </si>
  <si>
    <t>Total other income (expense), net</t>
  </si>
  <si>
    <t>Income before income taxes (EBT)</t>
  </si>
  <si>
    <t>Provision for income taxes</t>
  </si>
  <si>
    <t>Net Income</t>
  </si>
  <si>
    <t>Net income per share (Not in $MM):</t>
  </si>
  <si>
    <t>Basic</t>
  </si>
  <si>
    <t>Diluted</t>
  </si>
  <si>
    <t>Shares used in computing net income per share:</t>
  </si>
  <si>
    <t>Cash dividends declared per share</t>
  </si>
  <si>
    <t>Statement of Cash Flows ($MM)</t>
  </si>
  <si>
    <t>Cash flows from operating activities:</t>
  </si>
  <si>
    <t>Net income</t>
  </si>
  <si>
    <t>Adjustments to reconcile net income to net cash provided by operating activities:</t>
  </si>
  <si>
    <t>Depreciation and Amortization</t>
  </si>
  <si>
    <t>Depreciation</t>
  </si>
  <si>
    <t>Amortization</t>
  </si>
  <si>
    <t>Provision for doubtful accounts</t>
  </si>
  <si>
    <t>Share-based compensation expense</t>
  </si>
  <si>
    <t>Excess tax benefit from share-based plans</t>
  </si>
  <si>
    <t>Impairment and other</t>
  </si>
  <si>
    <t>Other non-operating</t>
  </si>
  <si>
    <t>Changes in operating assets and liabilities:</t>
  </si>
  <si>
    <t>Other assets</t>
  </si>
  <si>
    <t>Other liabilities</t>
  </si>
  <si>
    <t>Total adjustments</t>
  </si>
  <si>
    <t>Net cash provided by operating activities</t>
  </si>
  <si>
    <t>Cash flows from investing activities:</t>
  </si>
  <si>
    <t>Purchases of short and long-term marketable securities</t>
  </si>
  <si>
    <t>Proceeds from sales of short and long-term marketable securities</t>
  </si>
  <si>
    <t>Proceeds from maturities of short and long-term marketable securities</t>
  </si>
  <si>
    <t>Acquisition of property and equipment, net</t>
  </si>
  <si>
    <t>Investment in Flash Ventures</t>
  </si>
  <si>
    <t>Distribution from FlashVision Ltd.</t>
  </si>
  <si>
    <t>Notes receivable issuances to Flash Ventures</t>
  </si>
  <si>
    <t>Notes receivable proceeds from Flash Ventures</t>
  </si>
  <si>
    <t>Purchased technology and other assets</t>
  </si>
  <si>
    <t>Proceeds from Sale of Assets</t>
  </si>
  <si>
    <t>Acquisitions, net of cash acquired</t>
  </si>
  <si>
    <t>Net cash used in investing activities</t>
  </si>
  <si>
    <t>Cash flows from financing activities:</t>
  </si>
  <si>
    <t>Proceeds from issuance of convertible senior notes, net of issuance costs</t>
  </si>
  <si>
    <t>Proceeds from sale (purchase) of convertible bond hedge</t>
  </si>
  <si>
    <t>Proceeds from Issuance of Warrants</t>
  </si>
  <si>
    <t>Payments for Repurchase of Warrants</t>
  </si>
  <si>
    <t>Repayment of debt financing</t>
  </si>
  <si>
    <t>Distribution to non-controlling interests</t>
  </si>
  <si>
    <t>Proceeds from employee stock programs</t>
  </si>
  <si>
    <t>Dividends paid</t>
  </si>
  <si>
    <t>Share repurchase program</t>
  </si>
  <si>
    <t>Net cash received for share repurchase contracts</t>
  </si>
  <si>
    <t>Net cash used in financing activities</t>
  </si>
  <si>
    <t>Effect of changes in foreign currency exchange rates on cash</t>
  </si>
  <si>
    <t>Net increase (decrease) in cash and cash equivalents</t>
  </si>
  <si>
    <t>Cash and cash equivalents at beginning of the year</t>
  </si>
  <si>
    <t>Cash and cash equivalents at end of the year</t>
  </si>
  <si>
    <t>Supplemental disclosure of cash flow information:</t>
  </si>
  <si>
    <t>Cash paid for income taxes, net of refunds</t>
  </si>
  <si>
    <t>Cash paid for interest expense</t>
  </si>
  <si>
    <t>Beta Regression (Daily)</t>
  </si>
  <si>
    <t>Beta Regression (Weekly)</t>
  </si>
  <si>
    <t>Beta Regression (Monthly)</t>
  </si>
  <si>
    <t>SNDK</t>
  </si>
  <si>
    <t>S&amp;P 500</t>
  </si>
  <si>
    <t>Date</t>
  </si>
  <si>
    <t>Adj Close</t>
  </si>
  <si>
    <t>Change</t>
  </si>
  <si>
    <t>Daily</t>
  </si>
  <si>
    <t>Weekly</t>
  </si>
  <si>
    <t>Monthly</t>
  </si>
  <si>
    <t>Beta</t>
  </si>
  <si>
    <t>Correlation</t>
  </si>
  <si>
    <t>R Square</t>
  </si>
  <si>
    <t>Observations</t>
  </si>
  <si>
    <t>Off-Balance Sheet Obligations</t>
  </si>
  <si>
    <t>Payments due by Period</t>
  </si>
  <si>
    <t>Total</t>
  </si>
  <si>
    <t>Less than 1 Year</t>
  </si>
  <si>
    <t>2 - 3 Years</t>
  </si>
  <si>
    <t>4 - 5 Years</t>
  </si>
  <si>
    <t>More than 5 Years</t>
  </si>
  <si>
    <t>Facility and other operating leases</t>
  </si>
  <si>
    <t>Flash Partners</t>
  </si>
  <si>
    <t>Flash Alliance</t>
  </si>
  <si>
    <t>Flash Forward</t>
  </si>
  <si>
    <t>Toshiba R &amp; D</t>
  </si>
  <si>
    <t>—</t>
  </si>
  <si>
    <t>1.5% Convertible senior notes principal &amp; interest</t>
  </si>
  <si>
    <t>.5% Convertible senior notes principal &amp; interest</t>
  </si>
  <si>
    <t>Noncancelable production purchase commitments</t>
  </si>
  <si>
    <t>Capital equipment purchase commitments</t>
  </si>
  <si>
    <t>Operating expense commitments</t>
  </si>
  <si>
    <t>Total Contractual cash obligations</t>
  </si>
  <si>
    <t># of Years Discounted</t>
  </si>
  <si>
    <t>Cost of Debt</t>
  </si>
  <si>
    <t>Total (PV)</t>
  </si>
  <si>
    <t>Growth Rates</t>
  </si>
  <si>
    <t>Period Ending</t>
  </si>
  <si>
    <t>Mean</t>
  </si>
  <si>
    <t>Median</t>
  </si>
  <si>
    <t>YOY</t>
  </si>
  <si>
    <t>CAGR</t>
  </si>
  <si>
    <t>Cost of Goods Sold</t>
  </si>
  <si>
    <t>% Revenue</t>
  </si>
  <si>
    <t>Research and Development</t>
  </si>
  <si>
    <t>Sales, Marketing and Administrative</t>
  </si>
  <si>
    <t>Total Operating Expenses</t>
  </si>
  <si>
    <t>Interest Income</t>
  </si>
  <si>
    <t>Interest (Expense) other Income (Expense), net</t>
  </si>
  <si>
    <t>Total Other Income (Expense), net</t>
  </si>
  <si>
    <t>Provision for Income Taxes</t>
  </si>
  <si>
    <t>EBT</t>
  </si>
  <si>
    <t>% EBT</t>
  </si>
  <si>
    <t>Depreciation and Amoratization</t>
  </si>
  <si>
    <t>Capital Expenditure</t>
  </si>
  <si>
    <t>Total Current Assets</t>
  </si>
  <si>
    <t>Cash and Cash Equivelant</t>
  </si>
  <si>
    <t>% Current Assets</t>
  </si>
  <si>
    <t>Total Current Liabilities</t>
  </si>
  <si>
    <t>% Current Liabilities</t>
  </si>
  <si>
    <t>Earnings per Share</t>
  </si>
  <si>
    <t>3-Year</t>
  </si>
  <si>
    <t>5-Year</t>
  </si>
  <si>
    <t>Discounted Cash Flows Model ($MM)</t>
  </si>
  <si>
    <t>Stage 1</t>
  </si>
  <si>
    <t>Stage 2</t>
  </si>
  <si>
    <t>Stage 3</t>
  </si>
  <si>
    <t>2012A</t>
  </si>
  <si>
    <t>2013A</t>
  </si>
  <si>
    <t>2014A</t>
  </si>
  <si>
    <t>2015Q1</t>
  </si>
  <si>
    <t>2015E</t>
  </si>
  <si>
    <t>2016E</t>
  </si>
  <si>
    <t>2017E</t>
  </si>
  <si>
    <t>2018E</t>
  </si>
  <si>
    <t>2019E</t>
  </si>
  <si>
    <t>Gross Margin %</t>
  </si>
  <si>
    <t>Current Assets</t>
  </si>
  <si>
    <t>Current Liabilities</t>
  </si>
  <si>
    <t>Cash and Cash Equivalents</t>
  </si>
  <si>
    <t>Net Working Capital</t>
  </si>
  <si>
    <t>∆ Net Working Capital</t>
  </si>
  <si>
    <t>Cash from Operations</t>
  </si>
  <si>
    <t>Capital Expenditures</t>
  </si>
  <si>
    <t>Free Cash Flow</t>
  </si>
  <si>
    <t>Discount Period</t>
  </si>
  <si>
    <t>PV of Future Cash Flow</t>
  </si>
  <si>
    <t>DCF Calculations</t>
  </si>
  <si>
    <t>CAPM Assumptions</t>
  </si>
  <si>
    <t>Capital Structure</t>
  </si>
  <si>
    <t>∑ of PV of Future Cash Flows</t>
  </si>
  <si>
    <t>Equity</t>
  </si>
  <si>
    <t>PV of Terminal Value</t>
  </si>
  <si>
    <t>Risk Free</t>
  </si>
  <si>
    <t>Debt</t>
  </si>
  <si>
    <t>Enterprise Value</t>
  </si>
  <si>
    <t>Risk Premium</t>
  </si>
  <si>
    <t>Cash</t>
  </si>
  <si>
    <t>Terminal Growth Rate</t>
  </si>
  <si>
    <t>Other Assumptions</t>
  </si>
  <si>
    <t>Tax Rate</t>
  </si>
  <si>
    <t>Equity Value</t>
  </si>
  <si>
    <t>WACC Assumptions</t>
  </si>
  <si>
    <t>Cost of Equity</t>
  </si>
  <si>
    <t>Shares Outstanding</t>
  </si>
  <si>
    <t>Cost of Capital</t>
  </si>
  <si>
    <t>Undervalued</t>
  </si>
  <si>
    <t>Relative Valuation</t>
  </si>
  <si>
    <t>SanDisk</t>
  </si>
  <si>
    <t>Seagate Technology</t>
  </si>
  <si>
    <t>Western Digital</t>
  </si>
  <si>
    <t>Teradata</t>
  </si>
  <si>
    <t>NetApp</t>
  </si>
  <si>
    <t>EMC Corporation</t>
  </si>
  <si>
    <t>STX</t>
  </si>
  <si>
    <t>WDC</t>
  </si>
  <si>
    <t>TDC</t>
  </si>
  <si>
    <t>NTAP</t>
  </si>
  <si>
    <t>EMC</t>
  </si>
  <si>
    <t>Weighted Average</t>
  </si>
  <si>
    <t>SNDK Multiple</t>
  </si>
  <si>
    <t>Valutation</t>
  </si>
  <si>
    <t>Discounted Value</t>
  </si>
  <si>
    <t>Market Cap</t>
  </si>
  <si>
    <t>Sales (2015E)</t>
  </si>
  <si>
    <t>Net Income (2015E)</t>
  </si>
  <si>
    <t>Price to Earnings</t>
  </si>
  <si>
    <t>EPS</t>
  </si>
  <si>
    <t>EPS (2015E)</t>
  </si>
  <si>
    <t>P/E (ttm)</t>
  </si>
  <si>
    <t>EPS Growth (5 yr)</t>
  </si>
  <si>
    <t>Price to Sales</t>
  </si>
  <si>
    <t>Rev/Share</t>
  </si>
  <si>
    <t>EBITDA (2015E)</t>
  </si>
  <si>
    <t>P/S (ttm)</t>
  </si>
  <si>
    <t>Long-Term Debt</t>
  </si>
  <si>
    <t>Price to Book</t>
  </si>
  <si>
    <t>BV/Share</t>
  </si>
  <si>
    <t>Minority Interest</t>
  </si>
  <si>
    <t>P/BV (mrq)</t>
  </si>
  <si>
    <t>Preferred Shares</t>
  </si>
  <si>
    <t>Price to Earnings Growth</t>
  </si>
  <si>
    <t>Earnings Growth</t>
  </si>
  <si>
    <t>PEG (5 yr expected)</t>
  </si>
  <si>
    <t>Enterprise Value to EBITDA</t>
  </si>
  <si>
    <t>EBITDA/Share</t>
  </si>
  <si>
    <t>EV/EBITDA (ttm)</t>
  </si>
  <si>
    <t>Historical Valuation</t>
  </si>
  <si>
    <t>2005A</t>
  </si>
  <si>
    <t>2006A</t>
  </si>
  <si>
    <t>2007A</t>
  </si>
  <si>
    <t>2008A</t>
  </si>
  <si>
    <t>2009A</t>
  </si>
  <si>
    <t>2010A</t>
  </si>
  <si>
    <t>2011A</t>
  </si>
  <si>
    <t>Diluted EPS</t>
  </si>
  <si>
    <t>High Price</t>
  </si>
  <si>
    <t>Low Price</t>
  </si>
  <si>
    <t>High P/E</t>
  </si>
  <si>
    <t>Low P/E</t>
  </si>
  <si>
    <t>7-Year</t>
  </si>
  <si>
    <t>Average</t>
  </si>
  <si>
    <t>Max</t>
  </si>
  <si>
    <t>Min</t>
  </si>
  <si>
    <t>High</t>
  </si>
  <si>
    <t>Low</t>
  </si>
  <si>
    <t>Value Per Share</t>
  </si>
  <si>
    <t>Discounted</t>
  </si>
  <si>
    <t>Overvalued</t>
  </si>
  <si>
    <t>DuPont</t>
  </si>
  <si>
    <t>Profit Margin</t>
  </si>
  <si>
    <t>Asset Turnover</t>
  </si>
  <si>
    <t>Return on Assets</t>
  </si>
  <si>
    <t>Tax Burden</t>
  </si>
  <si>
    <t>Interest Burden</t>
  </si>
  <si>
    <t>Operating Profit Margin</t>
  </si>
  <si>
    <t>Leverage Ratio</t>
  </si>
  <si>
    <t>Return on Equity</t>
  </si>
  <si>
    <t>13.95 B</t>
  </si>
  <si>
    <t>52.12 B</t>
  </si>
  <si>
    <t>17.71 B</t>
  </si>
  <si>
    <t>21.99 B</t>
  </si>
  <si>
    <t>10.33 B</t>
  </si>
  <si>
    <t>5.62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</si>
</sst>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\$* #,##0.00_);_(\$* \(#,##0.00\);_(\$* \-??_);_(@_)"/>
    <numFmt numFmtId="165" formatCode="\$#,###,,"/>
    <numFmt numFmtId="166" formatCode="#,###,,"/>
    <numFmt numFmtId="167" formatCode="\$#,##0_);[Red]&quot;($&quot;#,##0\)"/>
    <numFmt numFmtId="168" formatCode=".###,,"/>
    <numFmt numFmtId="169" formatCode="\$#,##0.00_);[Red]&quot;($&quot;#,##0.00\)"/>
    <numFmt numFmtId="170" formatCode="0.0%"/>
    <numFmt numFmtId="171" formatCode="_(* #,##0.00_);_(* \(#,##0.00\);_(* \-??_);_(@_)"/>
    <numFmt numFmtId="172" formatCode="_(* #,##0_);_(* \(#,##0\);_(* \-??_);_(@_)"/>
    <numFmt numFmtId="173" formatCode="[$$-409]#,##0.00;[Red]\-[$$-409]#,##0.00"/>
    <numFmt numFmtId="174" formatCode="0.000"/>
  </numFmts>
  <fonts count="1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000000"/>
      <name val="Inherit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D99694"/>
        <bgColor rgb="FFFF99C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auto="1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171" fontId="9" fillId="0" borderId="0" applyBorder="0" applyProtection="0"/>
    <xf numFmtId="164" fontId="9" fillId="0" borderId="0" applyBorder="0" applyProtection="0"/>
    <xf numFmtId="9" fontId="9" fillId="0" borderId="0" applyBorder="0" applyProtection="0"/>
  </cellStyleXfs>
  <cellXfs count="39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6" xfId="0" applyFont="1" applyBorder="1"/>
    <xf numFmtId="0" fontId="0" fillId="0" borderId="7" xfId="0" applyFont="1" applyBorder="1" applyAlignment="1">
      <alignment horizontal="center"/>
    </xf>
    <xf numFmtId="0" fontId="1" fillId="0" borderId="8" xfId="0" applyFont="1" applyBorder="1"/>
    <xf numFmtId="164" fontId="0" fillId="0" borderId="9" xfId="0" applyNumberFormat="1" applyFont="1" applyBorder="1"/>
    <xf numFmtId="9" fontId="0" fillId="0" borderId="5" xfId="3" applyFont="1" applyBorder="1" applyAlignment="1" applyProtection="1"/>
    <xf numFmtId="0" fontId="1" fillId="0" borderId="4" xfId="0" applyFont="1" applyBorder="1"/>
    <xf numFmtId="164" fontId="0" fillId="0" borderId="9" xfId="2" applyFont="1" applyBorder="1" applyAlignment="1" applyProtection="1"/>
    <xf numFmtId="0" fontId="1" fillId="0" borderId="10" xfId="0" applyFont="1" applyBorder="1"/>
    <xf numFmtId="0" fontId="0" fillId="0" borderId="7" xfId="0" applyBorder="1"/>
    <xf numFmtId="0" fontId="1" fillId="0" borderId="11" xfId="0" applyFont="1" applyBorder="1"/>
    <xf numFmtId="0" fontId="1" fillId="0" borderId="12" xfId="0" applyFont="1" applyBorder="1"/>
    <xf numFmtId="10" fontId="0" fillId="0" borderId="13" xfId="3" applyNumberFormat="1" applyFont="1" applyBorder="1" applyAlignment="1" applyProtection="1"/>
    <xf numFmtId="0" fontId="0" fillId="0" borderId="14" xfId="0" applyBorder="1"/>
    <xf numFmtId="0" fontId="0" fillId="0" borderId="0" xfId="0" applyAlignment="1"/>
    <xf numFmtId="0" fontId="0" fillId="0" borderId="0" xfId="0" applyBorder="1" applyAlignment="1"/>
    <xf numFmtId="0" fontId="0" fillId="0" borderId="15" xfId="0" applyBorder="1" applyAlignment="1"/>
    <xf numFmtId="0" fontId="0" fillId="2" borderId="15" xfId="0" applyFill="1" applyBorder="1" applyAlignment="1"/>
    <xf numFmtId="0" fontId="0" fillId="2" borderId="0" xfId="0" applyFill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7" xfId="0" applyFont="1" applyBorder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1" fillId="3" borderId="18" xfId="0" applyFont="1" applyFill="1" applyBorder="1" applyAlignment="1"/>
    <xf numFmtId="0" fontId="0" fillId="3" borderId="19" xfId="0" applyFill="1" applyBorder="1" applyAlignment="1"/>
    <xf numFmtId="0" fontId="0" fillId="0" borderId="0" xfId="0" applyAlignment="1">
      <alignment wrapText="1"/>
    </xf>
    <xf numFmtId="0" fontId="0" fillId="0" borderId="15" xfId="0" applyFont="1" applyBorder="1" applyAlignment="1">
      <alignment wrapText="1"/>
    </xf>
    <xf numFmtId="165" fontId="0" fillId="0" borderId="0" xfId="0" applyNumberFormat="1" applyBorder="1" applyAlignment="1">
      <alignment wrapText="1"/>
    </xf>
    <xf numFmtId="166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166" fontId="0" fillId="0" borderId="0" xfId="0" applyNumberFormat="1" applyBorder="1" applyAlignment="1">
      <alignment wrapText="1"/>
    </xf>
    <xf numFmtId="3" fontId="0" fillId="0" borderId="0" xfId="0" applyNumberFormat="1" applyAlignment="1">
      <alignment wrapText="1"/>
    </xf>
    <xf numFmtId="0" fontId="1" fillId="0" borderId="15" xfId="0" applyFont="1" applyBorder="1" applyAlignment="1">
      <alignment wrapText="1"/>
    </xf>
    <xf numFmtId="166" fontId="1" fillId="0" borderId="0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0" fontId="1" fillId="0" borderId="18" xfId="0" applyFont="1" applyBorder="1" applyAlignment="1">
      <alignment wrapText="1"/>
    </xf>
    <xf numFmtId="166" fontId="1" fillId="0" borderId="19" xfId="0" applyNumberFormat="1" applyFont="1" applyBorder="1" applyAlignment="1">
      <alignment wrapText="1"/>
    </xf>
    <xf numFmtId="166" fontId="0" fillId="0" borderId="0" xfId="0" applyNumberFormat="1" applyBorder="1" applyAlignment="1"/>
    <xf numFmtId="3" fontId="0" fillId="0" borderId="0" xfId="0" applyNumberFormat="1" applyBorder="1" applyAlignment="1">
      <alignment wrapText="1"/>
    </xf>
    <xf numFmtId="0" fontId="0" fillId="0" borderId="20" xfId="0" applyFont="1" applyBorder="1"/>
    <xf numFmtId="166" fontId="0" fillId="0" borderId="21" xfId="0" applyNumberFormat="1" applyFont="1" applyBorder="1"/>
    <xf numFmtId="0" fontId="0" fillId="0" borderId="0" xfId="0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6" fontId="0" fillId="0" borderId="0" xfId="0" applyNumberFormat="1" applyFont="1" applyAlignment="1">
      <alignment horizontal="right" wrapText="1"/>
    </xf>
    <xf numFmtId="0" fontId="0" fillId="0" borderId="0" xfId="0" applyBorder="1" applyAlignment="1">
      <alignment horizontal="right"/>
    </xf>
    <xf numFmtId="168" fontId="0" fillId="0" borderId="0" xfId="0" applyNumberFormat="1" applyBorder="1" applyAlignment="1">
      <alignment wrapText="1"/>
    </xf>
    <xf numFmtId="168" fontId="0" fillId="0" borderId="0" xfId="0" applyNumberFormat="1" applyAlignment="1">
      <alignment wrapText="1"/>
    </xf>
    <xf numFmtId="0" fontId="1" fillId="0" borderId="22" xfId="0" applyFont="1" applyBorder="1" applyAlignment="1">
      <alignment wrapText="1"/>
    </xf>
    <xf numFmtId="166" fontId="1" fillId="0" borderId="23" xfId="0" applyNumberFormat="1" applyFont="1" applyBorder="1" applyAlignment="1">
      <alignment wrapText="1"/>
    </xf>
    <xf numFmtId="166" fontId="1" fillId="0" borderId="17" xfId="0" applyNumberFormat="1" applyFont="1" applyBorder="1" applyAlignment="1">
      <alignment wrapText="1"/>
    </xf>
    <xf numFmtId="0" fontId="1" fillId="0" borderId="24" xfId="0" applyFont="1" applyBorder="1" applyAlignment="1">
      <alignment wrapText="1"/>
    </xf>
    <xf numFmtId="165" fontId="1" fillId="0" borderId="25" xfId="0" applyNumberFormat="1" applyFont="1" applyBorder="1" applyAlignment="1">
      <alignment wrapText="1"/>
    </xf>
    <xf numFmtId="165" fontId="1" fillId="0" borderId="26" xfId="0" applyNumberFormat="1" applyFont="1" applyBorder="1" applyAlignment="1">
      <alignment wrapText="1"/>
    </xf>
    <xf numFmtId="0" fontId="0" fillId="0" borderId="27" xfId="0" applyBorder="1" applyAlignment="1"/>
    <xf numFmtId="0" fontId="0" fillId="0" borderId="2" xfId="0" applyBorder="1" applyAlignment="1"/>
    <xf numFmtId="0" fontId="0" fillId="2" borderId="28" xfId="0" applyFill="1" applyBorder="1" applyAlignment="1"/>
    <xf numFmtId="0" fontId="0" fillId="0" borderId="28" xfId="0" applyFont="1" applyBorder="1" applyAlignment="1"/>
    <xf numFmtId="0" fontId="0" fillId="0" borderId="29" xfId="0" applyBorder="1" applyAlignment="1"/>
    <xf numFmtId="0" fontId="0" fillId="0" borderId="17" xfId="0" applyBorder="1" applyAlignment="1"/>
    <xf numFmtId="0" fontId="0" fillId="0" borderId="28" xfId="0" applyFont="1" applyBorder="1" applyAlignment="1">
      <alignment wrapText="1"/>
    </xf>
    <xf numFmtId="165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29" xfId="0" applyFont="1" applyBorder="1" applyAlignment="1">
      <alignment wrapText="1"/>
    </xf>
    <xf numFmtId="166" fontId="0" fillId="0" borderId="17" xfId="0" applyNumberFormat="1" applyBorder="1" applyAlignment="1">
      <alignment wrapText="1"/>
    </xf>
    <xf numFmtId="0" fontId="1" fillId="0" borderId="28" xfId="0" applyFont="1" applyBorder="1" applyAlignment="1">
      <alignment wrapText="1"/>
    </xf>
    <xf numFmtId="166" fontId="1" fillId="0" borderId="0" xfId="0" applyNumberFormat="1" applyFont="1" applyAlignment="1">
      <alignment wrapText="1"/>
    </xf>
    <xf numFmtId="0" fontId="0" fillId="0" borderId="28" xfId="0" applyFont="1" applyBorder="1" applyAlignment="1">
      <alignment horizontal="left" wrapText="1" indent="13"/>
    </xf>
    <xf numFmtId="166" fontId="2" fillId="0" borderId="0" xfId="0" applyNumberFormat="1" applyFont="1" applyAlignment="1"/>
    <xf numFmtId="166" fontId="0" fillId="0" borderId="0" xfId="0" applyNumberFormat="1" applyAlignment="1"/>
    <xf numFmtId="0" fontId="3" fillId="0" borderId="28" xfId="0" applyFont="1" applyBorder="1" applyAlignment="1">
      <alignment wrapText="1"/>
    </xf>
    <xf numFmtId="166" fontId="3" fillId="3" borderId="0" xfId="0" applyNumberFormat="1" applyFont="1" applyFill="1" applyBorder="1" applyAlignment="1">
      <alignment wrapText="1"/>
    </xf>
    <xf numFmtId="0" fontId="1" fillId="0" borderId="31" xfId="0" applyFont="1" applyBorder="1" applyAlignment="1">
      <alignment wrapText="1"/>
    </xf>
    <xf numFmtId="166" fontId="1" fillId="0" borderId="32" xfId="0" applyNumberFormat="1" applyFont="1" applyBorder="1" applyAlignment="1">
      <alignment wrapText="1"/>
    </xf>
    <xf numFmtId="169" fontId="0" fillId="0" borderId="0" xfId="0" applyNumberFormat="1" applyBorder="1" applyAlignment="1">
      <alignment wrapText="1"/>
    </xf>
    <xf numFmtId="0" fontId="0" fillId="0" borderId="33" xfId="0" applyFont="1" applyBorder="1" applyAlignment="1">
      <alignment wrapText="1"/>
    </xf>
    <xf numFmtId="167" fontId="0" fillId="0" borderId="25" xfId="0" applyNumberFormat="1" applyBorder="1" applyAlignment="1">
      <alignment wrapText="1"/>
    </xf>
    <xf numFmtId="169" fontId="0" fillId="0" borderId="25" xfId="0" applyNumberFormat="1" applyBorder="1" applyAlignment="1">
      <alignment wrapText="1"/>
    </xf>
    <xf numFmtId="165" fontId="1" fillId="0" borderId="17" xfId="0" applyNumberFormat="1" applyFont="1" applyBorder="1" applyAlignment="1">
      <alignment wrapText="1"/>
    </xf>
    <xf numFmtId="168" fontId="0" fillId="0" borderId="17" xfId="0" applyNumberForma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3" borderId="28" xfId="0" applyFont="1" applyFill="1" applyBorder="1" applyAlignment="1">
      <alignment wrapText="1"/>
    </xf>
    <xf numFmtId="166" fontId="0" fillId="0" borderId="25" xfId="0" applyNumberFormat="1" applyBorder="1" applyAlignment="1">
      <alignment wrapText="1"/>
    </xf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Border="1"/>
    <xf numFmtId="0" fontId="0" fillId="2" borderId="4" xfId="0" applyFont="1" applyFill="1" applyBorder="1"/>
    <xf numFmtId="0" fontId="0" fillId="2" borderId="0" xfId="0" applyFont="1" applyFill="1" applyBorder="1"/>
    <xf numFmtId="0" fontId="0" fillId="2" borderId="5" xfId="0" applyFont="1" applyFill="1" applyBorder="1"/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0" borderId="29" xfId="0" applyFont="1" applyBorder="1"/>
    <xf numFmtId="0" fontId="0" fillId="0" borderId="17" xfId="0" applyFont="1" applyBorder="1"/>
    <xf numFmtId="0" fontId="0" fillId="0" borderId="16" xfId="0" applyFont="1" applyBorder="1"/>
    <xf numFmtId="0" fontId="0" fillId="0" borderId="30" xfId="0" applyFont="1" applyBorder="1"/>
    <xf numFmtId="0" fontId="0" fillId="0" borderId="36" xfId="0" applyFont="1" applyBorder="1"/>
    <xf numFmtId="0" fontId="0" fillId="0" borderId="37" xfId="0" applyFont="1" applyBorder="1"/>
    <xf numFmtId="14" fontId="0" fillId="0" borderId="0" xfId="0" applyNumberFormat="1"/>
    <xf numFmtId="0" fontId="4" fillId="0" borderId="0" xfId="0" applyFont="1" applyAlignment="1">
      <alignment horizontal="right" vertical="center" wrapText="1"/>
    </xf>
    <xf numFmtId="170" fontId="0" fillId="0" borderId="15" xfId="3" applyNumberFormat="1" applyFont="1" applyBorder="1" applyAlignment="1" applyProtection="1"/>
    <xf numFmtId="4" fontId="4" fillId="0" borderId="0" xfId="0" applyNumberFormat="1" applyFont="1" applyAlignment="1">
      <alignment horizontal="right" vertical="center" wrapText="1"/>
    </xf>
    <xf numFmtId="170" fontId="0" fillId="0" borderId="5" xfId="3" applyNumberFormat="1" applyFont="1" applyBorder="1" applyAlignment="1" applyProtection="1"/>
    <xf numFmtId="170" fontId="0" fillId="0" borderId="0" xfId="3" applyNumberFormat="1" applyFont="1" applyBorder="1" applyAlignment="1" applyProtection="1"/>
    <xf numFmtId="2" fontId="0" fillId="0" borderId="0" xfId="0" applyNumberFormat="1" applyFont="1"/>
    <xf numFmtId="15" fontId="4" fillId="0" borderId="38" xfId="0" applyNumberFormat="1" applyFont="1" applyBorder="1" applyAlignment="1">
      <alignment horizontal="right" vertical="center"/>
    </xf>
    <xf numFmtId="2" fontId="0" fillId="0" borderId="0" xfId="0" applyNumberFormat="1"/>
    <xf numFmtId="15" fontId="4" fillId="0" borderId="15" xfId="0" applyNumberFormat="1" applyFont="1" applyBorder="1" applyAlignment="1">
      <alignment horizontal="right" vertical="center"/>
    </xf>
    <xf numFmtId="170" fontId="0" fillId="0" borderId="20" xfId="3" applyNumberFormat="1" applyFont="1" applyBorder="1" applyAlignment="1" applyProtection="1"/>
    <xf numFmtId="170" fontId="0" fillId="0" borderId="21" xfId="3" applyNumberFormat="1" applyFont="1" applyBorder="1" applyAlignment="1" applyProtection="1"/>
    <xf numFmtId="0" fontId="0" fillId="0" borderId="39" xfId="0" applyFont="1" applyBorder="1"/>
    <xf numFmtId="170" fontId="0" fillId="0" borderId="40" xfId="3" applyNumberFormat="1" applyFont="1" applyBorder="1" applyAlignment="1" applyProtection="1"/>
    <xf numFmtId="2" fontId="0" fillId="0" borderId="16" xfId="3" applyNumberFormat="1" applyFont="1" applyBorder="1" applyAlignment="1" applyProtection="1"/>
    <xf numFmtId="2" fontId="0" fillId="0" borderId="41" xfId="3" applyNumberFormat="1" applyFont="1" applyBorder="1" applyAlignment="1" applyProtection="1"/>
    <xf numFmtId="2" fontId="0" fillId="0" borderId="17" xfId="0" applyNumberFormat="1" applyFont="1" applyBorder="1"/>
    <xf numFmtId="170" fontId="0" fillId="0" borderId="42" xfId="3" applyNumberFormat="1" applyFont="1" applyBorder="1" applyAlignment="1" applyProtection="1"/>
    <xf numFmtId="2" fontId="0" fillId="0" borderId="22" xfId="3" applyNumberFormat="1" applyFont="1" applyBorder="1" applyAlignment="1" applyProtection="1"/>
    <xf numFmtId="2" fontId="0" fillId="0" borderId="6" xfId="3" applyNumberFormat="1" applyFont="1" applyBorder="1" applyAlignment="1" applyProtection="1"/>
    <xf numFmtId="2" fontId="0" fillId="0" borderId="23" xfId="0" applyNumberFormat="1" applyFont="1" applyBorder="1"/>
    <xf numFmtId="170" fontId="0" fillId="0" borderId="43" xfId="3" applyNumberFormat="1" applyFont="1" applyBorder="1" applyAlignment="1" applyProtection="1"/>
    <xf numFmtId="0" fontId="0" fillId="0" borderId="15" xfId="3" applyNumberFormat="1" applyFont="1" applyBorder="1" applyAlignment="1" applyProtection="1"/>
    <xf numFmtId="0" fontId="0" fillId="0" borderId="9" xfId="3" applyNumberFormat="1" applyFont="1" applyBorder="1" applyAlignment="1" applyProtection="1"/>
    <xf numFmtId="9" fontId="0" fillId="0" borderId="15" xfId="3" applyFont="1" applyBorder="1" applyAlignment="1" applyProtection="1"/>
    <xf numFmtId="0" fontId="0" fillId="0" borderId="27" xfId="0" applyBorder="1"/>
    <xf numFmtId="0" fontId="0" fillId="2" borderId="28" xfId="0" applyFill="1" applyBorder="1"/>
    <xf numFmtId="0" fontId="0" fillId="2" borderId="15" xfId="0" applyFill="1" applyBorder="1"/>
    <xf numFmtId="0" fontId="0" fillId="0" borderId="28" xfId="0" applyFont="1" applyBorder="1"/>
    <xf numFmtId="0" fontId="0" fillId="0" borderId="29" xfId="0" applyBorder="1"/>
    <xf numFmtId="0" fontId="0" fillId="0" borderId="17" xfId="0" applyFont="1" applyBorder="1" applyAlignment="1">
      <alignment horizontal="center"/>
    </xf>
    <xf numFmtId="0" fontId="0" fillId="0" borderId="17" xfId="0" applyFont="1" applyBorder="1" applyAlignment="1">
      <alignment horizontal="center" wrapText="1"/>
    </xf>
    <xf numFmtId="0" fontId="0" fillId="0" borderId="30" xfId="0" applyFont="1" applyBorder="1" applyAlignment="1">
      <alignment horizontal="center" wrapText="1"/>
    </xf>
    <xf numFmtId="3" fontId="5" fillId="0" borderId="0" xfId="0" applyNumberFormat="1" applyFont="1" applyAlignment="1">
      <alignment horizontal="right" vertical="center"/>
    </xf>
    <xf numFmtId="0" fontId="0" fillId="0" borderId="28" xfId="0" applyFont="1" applyBorder="1" applyAlignment="1">
      <alignment horizontal="left" indent="13"/>
    </xf>
    <xf numFmtId="0" fontId="5" fillId="0" borderId="0" xfId="0" applyFont="1" applyAlignment="1">
      <alignment horizontal="right" vertical="center"/>
    </xf>
    <xf numFmtId="0" fontId="0" fillId="0" borderId="44" xfId="0" applyFont="1" applyBorder="1"/>
    <xf numFmtId="0" fontId="0" fillId="0" borderId="45" xfId="0" applyFont="1" applyBorder="1"/>
    <xf numFmtId="10" fontId="0" fillId="0" borderId="23" xfId="3" applyNumberFormat="1" applyFont="1" applyBorder="1" applyAlignment="1" applyProtection="1"/>
    <xf numFmtId="0" fontId="0" fillId="0" borderId="23" xfId="0" applyBorder="1"/>
    <xf numFmtId="172" fontId="0" fillId="0" borderId="23" xfId="1" applyNumberFormat="1" applyFont="1" applyBorder="1" applyAlignment="1" applyProtection="1"/>
    <xf numFmtId="1" fontId="0" fillId="0" borderId="7" xfId="0" applyNumberFormat="1" applyBorder="1"/>
    <xf numFmtId="0" fontId="0" fillId="0" borderId="33" xfId="0" applyFont="1" applyBorder="1"/>
    <xf numFmtId="172" fontId="0" fillId="0" borderId="25" xfId="1" applyNumberFormat="1" applyFont="1" applyBorder="1" applyAlignment="1" applyProtection="1"/>
    <xf numFmtId="0" fontId="0" fillId="0" borderId="25" xfId="0" applyBorder="1"/>
    <xf numFmtId="0" fontId="6" fillId="2" borderId="4" xfId="0" applyFont="1" applyFill="1" applyBorder="1"/>
    <xf numFmtId="0" fontId="6" fillId="2" borderId="0" xfId="0" applyFont="1" applyFill="1" applyBorder="1"/>
    <xf numFmtId="0" fontId="6" fillId="2" borderId="5" xfId="0" applyFont="1" applyFill="1" applyBorder="1"/>
    <xf numFmtId="0" fontId="0" fillId="0" borderId="8" xfId="0" applyFont="1" applyBorder="1"/>
    <xf numFmtId="0" fontId="0" fillId="0" borderId="46" xfId="0" applyBorder="1"/>
    <xf numFmtId="0" fontId="0" fillId="0" borderId="38" xfId="0" applyBorder="1"/>
    <xf numFmtId="0" fontId="0" fillId="0" borderId="46" xfId="0" applyFont="1" applyBorder="1" applyAlignment="1">
      <alignment horizontal="right"/>
    </xf>
    <xf numFmtId="0" fontId="0" fillId="0" borderId="35" xfId="0" applyFont="1" applyBorder="1" applyAlignment="1">
      <alignment horizontal="right"/>
    </xf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0" fillId="0" borderId="30" xfId="0" applyBorder="1"/>
    <xf numFmtId="165" fontId="0" fillId="0" borderId="0" xfId="0" applyNumberFormat="1" applyBorder="1"/>
    <xf numFmtId="165" fontId="0" fillId="0" borderId="38" xfId="0" applyNumberFormat="1" applyBorder="1"/>
    <xf numFmtId="9" fontId="0" fillId="0" borderId="0" xfId="3" applyFont="1" applyBorder="1" applyAlignment="1" applyProtection="1"/>
    <xf numFmtId="9" fontId="0" fillId="0" borderId="0" xfId="0" applyNumberFormat="1" applyBorder="1"/>
    <xf numFmtId="9" fontId="0" fillId="0" borderId="5" xfId="0" applyNumberFormat="1" applyBorder="1"/>
    <xf numFmtId="166" fontId="0" fillId="0" borderId="0" xfId="0" applyNumberFormat="1" applyBorder="1"/>
    <xf numFmtId="166" fontId="0" fillId="0" borderId="15" xfId="0" applyNumberFormat="1" applyBorder="1"/>
    <xf numFmtId="9" fontId="0" fillId="0" borderId="15" xfId="0" applyNumberFormat="1" applyBorder="1"/>
    <xf numFmtId="166" fontId="0" fillId="0" borderId="17" xfId="0" applyNumberFormat="1" applyBorder="1"/>
    <xf numFmtId="166" fontId="0" fillId="0" borderId="16" xfId="0" applyNumberFormat="1" applyBorder="1"/>
    <xf numFmtId="0" fontId="0" fillId="0" borderId="29" xfId="0" applyBorder="1" applyAlignment="1">
      <alignment horizontal="left" indent="13"/>
    </xf>
    <xf numFmtId="0" fontId="0" fillId="0" borderId="28" xfId="0" applyFont="1" applyBorder="1" applyAlignment="1">
      <alignment horizontal="left" vertical="top" wrapText="1"/>
    </xf>
    <xf numFmtId="0" fontId="0" fillId="0" borderId="28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66" fontId="0" fillId="0" borderId="46" xfId="0" applyNumberFormat="1" applyBorder="1" applyAlignment="1"/>
    <xf numFmtId="166" fontId="0" fillId="0" borderId="46" xfId="0" applyNumberFormat="1" applyFont="1" applyBorder="1"/>
    <xf numFmtId="173" fontId="0" fillId="0" borderId="0" xfId="2" applyNumberFormat="1" applyFont="1" applyBorder="1" applyAlignment="1" applyProtection="1">
      <alignment horizontal="right"/>
    </xf>
    <xf numFmtId="169" fontId="0" fillId="0" borderId="0" xfId="0" applyNumberFormat="1" applyBorder="1"/>
    <xf numFmtId="0" fontId="0" fillId="0" borderId="33" xfId="0" applyFont="1" applyBorder="1" applyAlignment="1">
      <alignment horizontal="left" indent="13"/>
    </xf>
    <xf numFmtId="9" fontId="0" fillId="0" borderId="25" xfId="3" applyFont="1" applyBorder="1" applyAlignment="1" applyProtection="1"/>
    <xf numFmtId="0" fontId="0" fillId="0" borderId="5" xfId="0" applyFont="1" applyBorder="1" applyAlignment="1">
      <alignment horizontal="center"/>
    </xf>
    <xf numFmtId="165" fontId="0" fillId="0" borderId="2" xfId="0" applyNumberFormat="1" applyFon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9" fontId="0" fillId="0" borderId="28" xfId="3" applyFont="1" applyBorder="1" applyAlignment="1" applyProtection="1"/>
    <xf numFmtId="166" fontId="0" fillId="0" borderId="0" xfId="0" applyNumberFormat="1" applyFont="1" applyBorder="1"/>
    <xf numFmtId="166" fontId="0" fillId="0" borderId="4" xfId="0" applyNumberFormat="1" applyBorder="1"/>
    <xf numFmtId="166" fontId="0" fillId="0" borderId="5" xfId="0" applyNumberFormat="1" applyBorder="1"/>
    <xf numFmtId="166" fontId="1" fillId="0" borderId="0" xfId="0" applyNumberFormat="1" applyFont="1" applyBorder="1"/>
    <xf numFmtId="166" fontId="1" fillId="0" borderId="4" xfId="0" applyNumberFormat="1" applyFont="1" applyBorder="1"/>
    <xf numFmtId="166" fontId="1" fillId="0" borderId="5" xfId="0" applyNumberFormat="1" applyFont="1" applyBorder="1"/>
    <xf numFmtId="0" fontId="0" fillId="0" borderId="9" xfId="0" applyFont="1" applyBorder="1"/>
    <xf numFmtId="9" fontId="0" fillId="0" borderId="4" xfId="3" applyFont="1" applyBorder="1" applyAlignment="1" applyProtection="1"/>
    <xf numFmtId="0" fontId="0" fillId="0" borderId="4" xfId="0" applyBorder="1"/>
    <xf numFmtId="0" fontId="0" fillId="0" borderId="4" xfId="0" applyFont="1" applyBorder="1" applyAlignment="1">
      <alignment horizontal="left" indent="13"/>
    </xf>
    <xf numFmtId="166" fontId="0" fillId="0" borderId="0" xfId="0" applyNumberFormat="1" applyBorder="1" applyAlignment="1">
      <alignment horizontal="right"/>
    </xf>
    <xf numFmtId="9" fontId="0" fillId="0" borderId="28" xfId="3" applyFont="1" applyBorder="1" applyAlignment="1" applyProtection="1">
      <alignment horizontal="right"/>
    </xf>
    <xf numFmtId="9" fontId="0" fillId="0" borderId="28" xfId="0" applyNumberFormat="1" applyFont="1" applyBorder="1" applyAlignment="1">
      <alignment horizontal="right"/>
    </xf>
    <xf numFmtId="0" fontId="0" fillId="0" borderId="12" xfId="0" applyFont="1" applyBorder="1"/>
    <xf numFmtId="166" fontId="0" fillId="0" borderId="25" xfId="0" applyNumberFormat="1" applyBorder="1"/>
    <xf numFmtId="166" fontId="0" fillId="0" borderId="14" xfId="0" applyNumberFormat="1" applyBorder="1"/>
    <xf numFmtId="166" fontId="0" fillId="0" borderId="12" xfId="0" applyNumberFormat="1" applyBorder="1"/>
    <xf numFmtId="0" fontId="1" fillId="0" borderId="1" xfId="0" applyFont="1" applyBorder="1"/>
    <xf numFmtId="166" fontId="1" fillId="0" borderId="2" xfId="0" applyNumberFormat="1" applyFont="1" applyBorder="1"/>
    <xf numFmtId="166" fontId="1" fillId="0" borderId="3" xfId="0" applyNumberFormat="1" applyFont="1" applyBorder="1"/>
    <xf numFmtId="166" fontId="1" fillId="0" borderId="1" xfId="0" applyNumberFormat="1" applyFont="1" applyBorder="1"/>
    <xf numFmtId="166" fontId="1" fillId="0" borderId="25" xfId="0" applyNumberFormat="1" applyFont="1" applyBorder="1"/>
    <xf numFmtId="166" fontId="1" fillId="0" borderId="14" xfId="0" applyNumberFormat="1" applyFont="1" applyBorder="1"/>
    <xf numFmtId="166" fontId="0" fillId="0" borderId="2" xfId="0" applyNumberFormat="1" applyBorder="1"/>
    <xf numFmtId="166" fontId="0" fillId="0" borderId="1" xfId="0" applyNumberFormat="1" applyBorder="1"/>
    <xf numFmtId="0" fontId="0" fillId="0" borderId="9" xfId="0" applyBorder="1"/>
    <xf numFmtId="9" fontId="0" fillId="0" borderId="33" xfId="3" applyFont="1" applyBorder="1" applyAlignment="1" applyProtection="1"/>
    <xf numFmtId="0" fontId="0" fillId="0" borderId="13" xfId="0" applyBorder="1"/>
    <xf numFmtId="0" fontId="0" fillId="0" borderId="48" xfId="0" applyFont="1" applyBorder="1"/>
    <xf numFmtId="166" fontId="0" fillId="0" borderId="49" xfId="0" applyNumberFormat="1" applyBorder="1"/>
    <xf numFmtId="166" fontId="0" fillId="0" borderId="48" xfId="0" applyNumberFormat="1" applyBorder="1"/>
    <xf numFmtId="166" fontId="0" fillId="0" borderId="50" xfId="0" applyNumberFormat="1" applyBorder="1"/>
    <xf numFmtId="165" fontId="0" fillId="0" borderId="5" xfId="0" applyNumberFormat="1" applyBorder="1"/>
    <xf numFmtId="10" fontId="0" fillId="0" borderId="5" xfId="3" applyNumberFormat="1" applyFont="1" applyBorder="1" applyAlignment="1" applyProtection="1"/>
    <xf numFmtId="10" fontId="0" fillId="0" borderId="14" xfId="3" applyNumberFormat="1" applyFont="1" applyBorder="1" applyAlignment="1" applyProtection="1"/>
    <xf numFmtId="9" fontId="0" fillId="0" borderId="14" xfId="3" applyFont="1" applyBorder="1" applyAlignment="1" applyProtection="1"/>
    <xf numFmtId="166" fontId="0" fillId="0" borderId="14" xfId="0" applyNumberFormat="1" applyFont="1" applyBorder="1"/>
    <xf numFmtId="0" fontId="1" fillId="0" borderId="27" xfId="0" applyFont="1" applyBorder="1"/>
    <xf numFmtId="0" fontId="1" fillId="0" borderId="28" xfId="0" applyFont="1" applyBorder="1"/>
    <xf numFmtId="173" fontId="0" fillId="0" borderId="5" xfId="2" applyNumberFormat="1" applyFont="1" applyBorder="1" applyAlignment="1" applyProtection="1"/>
    <xf numFmtId="0" fontId="1" fillId="0" borderId="33" xfId="0" applyFont="1" applyBorder="1"/>
    <xf numFmtId="164" fontId="0" fillId="0" borderId="52" xfId="0" applyNumberFormat="1" applyBorder="1"/>
    <xf numFmtId="10" fontId="0" fillId="0" borderId="53" xfId="0" applyNumberFormat="1" applyBorder="1"/>
    <xf numFmtId="10" fontId="0" fillId="4" borderId="53" xfId="3" applyNumberFormat="1" applyFont="1" applyFill="1" applyBorder="1" applyAlignment="1" applyProtection="1"/>
    <xf numFmtId="10" fontId="0" fillId="0" borderId="54" xfId="0" applyNumberFormat="1" applyBorder="1"/>
    <xf numFmtId="0" fontId="1" fillId="0" borderId="40" xfId="0" applyFont="1" applyBorder="1" applyAlignment="1">
      <alignment wrapText="1"/>
    </xf>
    <xf numFmtId="10" fontId="0" fillId="0" borderId="28" xfId="0" applyNumberFormat="1" applyBorder="1"/>
    <xf numFmtId="2" fontId="0" fillId="0" borderId="0" xfId="0" applyNumberFormat="1" applyBorder="1"/>
    <xf numFmtId="2" fontId="0" fillId="0" borderId="5" xfId="0" applyNumberFormat="1" applyBorder="1"/>
    <xf numFmtId="0" fontId="1" fillId="0" borderId="42" xfId="0" applyFont="1" applyBorder="1" applyAlignment="1">
      <alignment wrapText="1"/>
    </xf>
    <xf numFmtId="10" fontId="0" fillId="4" borderId="28" xfId="3" applyNumberFormat="1" applyFont="1" applyFill="1" applyBorder="1" applyAlignment="1" applyProtection="1"/>
    <xf numFmtId="2" fontId="0" fillId="4" borderId="0" xfId="0" applyNumberFormat="1" applyFill="1" applyBorder="1"/>
    <xf numFmtId="0" fontId="1" fillId="0" borderId="43" xfId="0" applyFont="1" applyBorder="1" applyAlignment="1">
      <alignment wrapText="1"/>
    </xf>
    <xf numFmtId="10" fontId="0" fillId="0" borderId="33" xfId="0" applyNumberFormat="1" applyBorder="1"/>
    <xf numFmtId="2" fontId="0" fillId="0" borderId="25" xfId="0" applyNumberFormat="1" applyBorder="1"/>
    <xf numFmtId="2" fontId="0" fillId="0" borderId="14" xfId="0" applyNumberFormat="1" applyBorder="1"/>
    <xf numFmtId="0" fontId="0" fillId="0" borderId="0" xfId="0"/>
    <xf numFmtId="0" fontId="7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5" xfId="0" applyFont="1" applyBorder="1" applyAlignment="1">
      <alignment horizontal="center"/>
    </xf>
    <xf numFmtId="0" fontId="1" fillId="0" borderId="2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6" fontId="0" fillId="0" borderId="3" xfId="0" applyNumberFormat="1" applyBorder="1"/>
    <xf numFmtId="166" fontId="0" fillId="0" borderId="5" xfId="0" applyNumberFormat="1" applyBorder="1"/>
    <xf numFmtId="2" fontId="0" fillId="0" borderId="5" xfId="0" applyNumberFormat="1" applyBorder="1"/>
    <xf numFmtId="0" fontId="0" fillId="0" borderId="22" xfId="0" applyBorder="1"/>
    <xf numFmtId="2" fontId="0" fillId="0" borderId="23" xfId="0" applyNumberFormat="1" applyBorder="1"/>
    <xf numFmtId="171" fontId="0" fillId="0" borderId="17" xfId="0" applyNumberFormat="1" applyBorder="1" applyAlignment="1">
      <alignment horizontal="center" vertical="center"/>
    </xf>
    <xf numFmtId="171" fontId="0" fillId="0" borderId="17" xfId="0" applyNumberFormat="1" applyBorder="1"/>
    <xf numFmtId="0" fontId="0" fillId="0" borderId="5" xfId="0" applyBorder="1"/>
    <xf numFmtId="0" fontId="0" fillId="0" borderId="10" xfId="0" applyFont="1" applyBorder="1"/>
    <xf numFmtId="9" fontId="0" fillId="0" borderId="7" xfId="3" applyFont="1" applyBorder="1" applyAlignment="1" applyProtection="1"/>
    <xf numFmtId="9" fontId="0" fillId="0" borderId="5" xfId="0" applyNumberFormat="1" applyBorder="1"/>
    <xf numFmtId="2" fontId="0" fillId="0" borderId="23" xfId="0" applyNumberFormat="1" applyBorder="1" applyAlignment="1">
      <alignment horizontal="center" vertical="center"/>
    </xf>
    <xf numFmtId="10" fontId="0" fillId="0" borderId="5" xfId="0" applyNumberFormat="1" applyBorder="1"/>
    <xf numFmtId="0" fontId="0" fillId="0" borderId="5" xfId="0" applyFont="1" applyBorder="1"/>
    <xf numFmtId="0" fontId="0" fillId="0" borderId="14" xfId="0" applyBorder="1"/>
    <xf numFmtId="2" fontId="0" fillId="0" borderId="17" xfId="0" applyNumberFormat="1" applyBorder="1"/>
    <xf numFmtId="0" fontId="0" fillId="0" borderId="57" xfId="0" applyBorder="1"/>
    <xf numFmtId="164" fontId="1" fillId="0" borderId="3" xfId="2" applyFont="1" applyBorder="1" applyAlignment="1" applyProtection="1"/>
    <xf numFmtId="10" fontId="8" fillId="0" borderId="14" xfId="3" applyNumberFormat="1" applyFont="1" applyBorder="1" applyAlignment="1" applyProtection="1"/>
    <xf numFmtId="0" fontId="0" fillId="0" borderId="5" xfId="0" applyFont="1" applyBorder="1" applyAlignment="1">
      <alignment horizontal="right"/>
    </xf>
    <xf numFmtId="2" fontId="0" fillId="0" borderId="46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10" xfId="0" applyNumberFormat="1" applyBorder="1"/>
    <xf numFmtId="2" fontId="0" fillId="0" borderId="26" xfId="0" applyNumberFormat="1" applyBorder="1"/>
    <xf numFmtId="0" fontId="0" fillId="0" borderId="26" xfId="0" applyBorder="1"/>
    <xf numFmtId="0" fontId="0" fillId="0" borderId="58" xfId="0" applyBorder="1"/>
    <xf numFmtId="2" fontId="0" fillId="0" borderId="59" xfId="0" applyNumberFormat="1" applyBorder="1"/>
    <xf numFmtId="164" fontId="0" fillId="0" borderId="3" xfId="2" applyFont="1" applyBorder="1" applyAlignment="1" applyProtection="1"/>
    <xf numFmtId="164" fontId="0" fillId="0" borderId="5" xfId="2" applyFont="1" applyBorder="1" applyAlignment="1" applyProtection="1"/>
    <xf numFmtId="10" fontId="8" fillId="0" borderId="14" xfId="3" applyNumberFormat="1" applyFont="1" applyBorder="1" applyAlignment="1" applyProtection="1"/>
    <xf numFmtId="10" fontId="0" fillId="0" borderId="46" xfId="3" applyNumberFormat="1" applyFont="1" applyBorder="1" applyAlignment="1" applyProtection="1"/>
    <xf numFmtId="174" fontId="0" fillId="0" borderId="0" xfId="0" applyNumberFormat="1" applyBorder="1"/>
    <xf numFmtId="10" fontId="0" fillId="0" borderId="23" xfId="3" applyNumberFormat="1" applyFont="1" applyBorder="1" applyAlignment="1" applyProtection="1"/>
    <xf numFmtId="10" fontId="0" fillId="0" borderId="7" xfId="3" applyNumberFormat="1" applyFont="1" applyBorder="1" applyAlignment="1" applyProtection="1"/>
    <xf numFmtId="10" fontId="0" fillId="0" borderId="26" xfId="3" applyNumberFormat="1" applyFont="1" applyBorder="1" applyAlignment="1" applyProtection="1"/>
    <xf numFmtId="10" fontId="0" fillId="0" borderId="58" xfId="3" applyNumberFormat="1" applyFont="1" applyBorder="1" applyAlignment="1" applyProtection="1"/>
    <xf numFmtId="10" fontId="0" fillId="5" borderId="5" xfId="3" applyNumberFormat="1" applyFont="1" applyFill="1" applyBorder="1" applyAlignment="1" applyProtection="1"/>
    <xf numFmtId="9" fontId="9" fillId="0" borderId="0" xfId="3"/>
    <xf numFmtId="10" fontId="9" fillId="0" borderId="0" xfId="3" applyNumberFormat="1"/>
    <xf numFmtId="9" fontId="3" fillId="6" borderId="6" xfId="3" applyFont="1" applyFill="1" applyBorder="1" applyAlignment="1" applyProtection="1"/>
    <xf numFmtId="0" fontId="3" fillId="6" borderId="9" xfId="0" applyFont="1" applyFill="1" applyBorder="1"/>
    <xf numFmtId="0" fontId="3" fillId="6" borderId="6" xfId="0" applyFont="1" applyFill="1" applyBorder="1"/>
    <xf numFmtId="0" fontId="10" fillId="0" borderId="0" xfId="0" applyFont="1"/>
    <xf numFmtId="166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165" fontId="0" fillId="0" borderId="17" xfId="0" applyNumberFormat="1" applyBorder="1" applyAlignment="1">
      <alignment wrapText="1"/>
    </xf>
    <xf numFmtId="169" fontId="0" fillId="0" borderId="17" xfId="0" applyNumberFormat="1" applyBorder="1" applyAlignment="1">
      <alignment wrapText="1"/>
    </xf>
    <xf numFmtId="166" fontId="0" fillId="0" borderId="32" xfId="0" applyNumberFormat="1" applyBorder="1" applyAlignment="1">
      <alignment wrapText="1"/>
    </xf>
    <xf numFmtId="0" fontId="0" fillId="0" borderId="55" xfId="0" applyBorder="1"/>
    <xf numFmtId="0" fontId="0" fillId="0" borderId="60" xfId="0" applyBorder="1"/>
    <xf numFmtId="0" fontId="0" fillId="0" borderId="61" xfId="0" applyFont="1" applyBorder="1" applyAlignment="1">
      <alignment horizontal="right"/>
    </xf>
    <xf numFmtId="0" fontId="0" fillId="0" borderId="63" xfId="0" applyFont="1" applyBorder="1" applyAlignment="1">
      <alignment horizontal="right"/>
    </xf>
    <xf numFmtId="0" fontId="0" fillId="0" borderId="6" xfId="0" applyBorder="1"/>
    <xf numFmtId="9" fontId="3" fillId="6" borderId="41" xfId="3" applyFont="1" applyFill="1" applyBorder="1" applyAlignment="1" applyProtection="1"/>
    <xf numFmtId="9" fontId="0" fillId="0" borderId="30" xfId="0" applyNumberFormat="1" applyBorder="1"/>
    <xf numFmtId="9" fontId="0" fillId="0" borderId="7" xfId="0" applyNumberFormat="1" applyBorder="1"/>
    <xf numFmtId="0" fontId="1" fillId="0" borderId="59" xfId="0" applyFont="1" applyBorder="1"/>
    <xf numFmtId="0" fontId="0" fillId="6" borderId="24" xfId="0" applyFill="1" applyBorder="1"/>
    <xf numFmtId="0" fontId="3" fillId="6" borderId="65" xfId="0" applyFont="1" applyFill="1" applyBorder="1"/>
    <xf numFmtId="2" fontId="0" fillId="0" borderId="25" xfId="0" applyNumberFormat="1" applyBorder="1" applyAlignment="1">
      <alignment horizontal="center" vertical="center"/>
    </xf>
    <xf numFmtId="9" fontId="0" fillId="0" borderId="14" xfId="0" applyNumberFormat="1" applyBorder="1"/>
    <xf numFmtId="10" fontId="0" fillId="0" borderId="35" xfId="3" applyNumberFormat="1" applyFont="1" applyBorder="1" applyAlignment="1" applyProtection="1"/>
    <xf numFmtId="174" fontId="0" fillId="0" borderId="5" xfId="0" applyNumberFormat="1" applyBorder="1"/>
    <xf numFmtId="0" fontId="0" fillId="0" borderId="37" xfId="0" applyFont="1" applyBorder="1" applyAlignment="1">
      <alignment horizontal="right"/>
    </xf>
    <xf numFmtId="0" fontId="0" fillId="3" borderId="67" xfId="0" applyFill="1" applyBorder="1" applyAlignment="1"/>
    <xf numFmtId="166" fontId="0" fillId="0" borderId="68" xfId="0" applyNumberFormat="1" applyBorder="1" applyAlignment="1">
      <alignment wrapText="1"/>
    </xf>
    <xf numFmtId="166" fontId="0" fillId="0" borderId="37" xfId="0" applyNumberFormat="1" applyBorder="1" applyAlignment="1">
      <alignment wrapText="1"/>
    </xf>
    <xf numFmtId="166" fontId="0" fillId="0" borderId="69" xfId="0" applyNumberFormat="1" applyBorder="1" applyAlignment="1">
      <alignment wrapText="1"/>
    </xf>
    <xf numFmtId="166" fontId="0" fillId="0" borderId="68" xfId="0" applyNumberFormat="1" applyFont="1" applyBorder="1" applyAlignment="1">
      <alignment horizontal="right" wrapText="1"/>
    </xf>
    <xf numFmtId="0" fontId="0" fillId="0" borderId="68" xfId="0" applyBorder="1" applyAlignment="1">
      <alignment wrapText="1"/>
    </xf>
    <xf numFmtId="166" fontId="0" fillId="0" borderId="68" xfId="0" applyNumberFormat="1" applyBorder="1" applyAlignment="1"/>
    <xf numFmtId="169" fontId="0" fillId="0" borderId="37" xfId="0" applyNumberFormat="1" applyBorder="1" applyAlignment="1">
      <alignment wrapText="1"/>
    </xf>
    <xf numFmtId="0" fontId="0" fillId="0" borderId="68" xfId="0" applyBorder="1" applyAlignment="1"/>
    <xf numFmtId="3" fontId="0" fillId="0" borderId="68" xfId="0" applyNumberFormat="1" applyBorder="1" applyAlignment="1">
      <alignment wrapText="1"/>
    </xf>
    <xf numFmtId="0" fontId="0" fillId="0" borderId="68" xfId="0" applyNumberFormat="1" applyBorder="1" applyAlignment="1">
      <alignment horizontal="right" wrapText="1"/>
    </xf>
    <xf numFmtId="0" fontId="0" fillId="0" borderId="68" xfId="0" applyFont="1" applyFill="1" applyBorder="1" applyAlignment="1">
      <alignment horizontal="right" wrapText="1"/>
    </xf>
    <xf numFmtId="0" fontId="0" fillId="0" borderId="68" xfId="0" applyBorder="1" applyAlignment="1">
      <alignment horizontal="right"/>
    </xf>
    <xf numFmtId="166" fontId="0" fillId="0" borderId="37" xfId="0" applyNumberFormat="1" applyBorder="1"/>
    <xf numFmtId="0" fontId="0" fillId="0" borderId="37" xfId="0" applyBorder="1" applyAlignment="1">
      <alignment horizontal="right"/>
    </xf>
    <xf numFmtId="166" fontId="0" fillId="0" borderId="39" xfId="0" applyNumberFormat="1" applyFont="1" applyBorder="1"/>
    <xf numFmtId="166" fontId="1" fillId="0" borderId="12" xfId="0" applyNumberFormat="1" applyFont="1" applyBorder="1"/>
    <xf numFmtId="2" fontId="7" fillId="0" borderId="5" xfId="0" applyNumberFormat="1" applyFont="1" applyBorder="1"/>
    <xf numFmtId="0" fontId="0" fillId="0" borderId="70" xfId="0" applyBorder="1"/>
    <xf numFmtId="0" fontId="0" fillId="0" borderId="70" xfId="0" applyFont="1" applyBorder="1" applyAlignment="1">
      <alignment horizontal="right"/>
    </xf>
    <xf numFmtId="0" fontId="0" fillId="0" borderId="72" xfId="0" applyBorder="1"/>
    <xf numFmtId="0" fontId="0" fillId="0" borderId="73" xfId="0" applyBorder="1"/>
    <xf numFmtId="0" fontId="0" fillId="0" borderId="0" xfId="0" applyNumberFormat="1" applyBorder="1"/>
    <xf numFmtId="164" fontId="9" fillId="0" borderId="17" xfId="2" applyBorder="1"/>
    <xf numFmtId="164" fontId="9" fillId="0" borderId="23" xfId="2" applyBorder="1"/>
    <xf numFmtId="164" fontId="9" fillId="0" borderId="25" xfId="2" applyBorder="1"/>
    <xf numFmtId="9" fontId="0" fillId="6" borderId="5" xfId="3" applyFont="1" applyFill="1" applyBorder="1" applyAlignment="1" applyProtection="1"/>
    <xf numFmtId="164" fontId="0" fillId="7" borderId="6" xfId="2" applyFont="1" applyFill="1" applyBorder="1" applyAlignment="1" applyProtection="1"/>
    <xf numFmtId="9" fontId="0" fillId="5" borderId="28" xfId="3" applyFont="1" applyFill="1" applyBorder="1" applyAlignment="1" applyProtection="1"/>
    <xf numFmtId="9" fontId="0" fillId="5" borderId="9" xfId="3" applyFont="1" applyFill="1" applyBorder="1" applyAlignment="1" applyProtection="1"/>
    <xf numFmtId="0" fontId="0" fillId="0" borderId="9" xfId="0" applyFont="1" applyFill="1" applyBorder="1"/>
    <xf numFmtId="9" fontId="0" fillId="0" borderId="5" xfId="3" applyFont="1" applyFill="1" applyBorder="1" applyAlignment="1" applyProtection="1"/>
    <xf numFmtId="0" fontId="0" fillId="0" borderId="5" xfId="0" applyFont="1" applyFill="1" applyBorder="1"/>
    <xf numFmtId="0" fontId="0" fillId="0" borderId="5" xfId="0" applyFill="1" applyBorder="1"/>
    <xf numFmtId="9" fontId="0" fillId="0" borderId="62" xfId="3" applyFont="1" applyFill="1" applyBorder="1" applyAlignment="1" applyProtection="1"/>
    <xf numFmtId="9" fontId="0" fillId="0" borderId="64" xfId="3" applyFont="1" applyFill="1" applyBorder="1" applyAlignment="1" applyProtection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0" fillId="8" borderId="0" xfId="0" applyFill="1" applyBorder="1"/>
    <xf numFmtId="0" fontId="0" fillId="8" borderId="5" xfId="0" applyFill="1" applyBorder="1"/>
    <xf numFmtId="0" fontId="0" fillId="8" borderId="4" xfId="0" applyFill="1" applyBorder="1"/>
    <xf numFmtId="9" fontId="0" fillId="0" borderId="23" xfId="0" applyNumberFormat="1" applyFill="1" applyBorder="1" applyAlignment="1">
      <alignment horizontal="center" vertical="center"/>
    </xf>
    <xf numFmtId="167" fontId="0" fillId="0" borderId="0" xfId="0" applyNumberFormat="1"/>
    <xf numFmtId="166" fontId="0" fillId="0" borderId="68" xfId="0" applyNumberFormat="1" applyBorder="1"/>
    <xf numFmtId="166" fontId="0" fillId="0" borderId="68" xfId="0" applyNumberFormat="1" applyBorder="1" applyAlignment="1">
      <alignment horizontal="right"/>
    </xf>
    <xf numFmtId="165" fontId="0" fillId="0" borderId="68" xfId="0" applyNumberFormat="1" applyBorder="1" applyAlignment="1">
      <alignment wrapText="1"/>
    </xf>
    <xf numFmtId="165" fontId="0" fillId="0" borderId="37" xfId="0" applyNumberFormat="1" applyBorder="1" applyAlignment="1">
      <alignment wrapText="1"/>
    </xf>
    <xf numFmtId="0" fontId="0" fillId="0" borderId="0" xfId="0"/>
    <xf numFmtId="0" fontId="0" fillId="0" borderId="35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" fillId="0" borderId="42" xfId="0" applyFont="1" applyBorder="1" applyAlignment="1">
      <alignment horizontal="center" wrapText="1"/>
    </xf>
    <xf numFmtId="0" fontId="1" fillId="0" borderId="47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33" xfId="0" applyFont="1" applyBorder="1" applyAlignment="1">
      <alignment horizontal="left"/>
    </xf>
    <xf numFmtId="0" fontId="1" fillId="0" borderId="51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" xfId="0" applyFont="1" applyBorder="1"/>
    <xf numFmtId="0" fontId="0" fillId="0" borderId="66" xfId="0" applyFont="1" applyBorder="1"/>
    <xf numFmtId="0" fontId="0" fillId="0" borderId="4" xfId="0" applyFont="1" applyBorder="1"/>
    <xf numFmtId="0" fontId="0" fillId="0" borderId="56" xfId="0" applyFont="1" applyBorder="1"/>
    <xf numFmtId="0" fontId="0" fillId="0" borderId="3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2" fontId="0" fillId="0" borderId="71" xfId="0" applyNumberFormat="1" applyFill="1" applyBorder="1"/>
    <xf numFmtId="0" fontId="0" fillId="0" borderId="0" xfId="0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118440</xdr:colOff>
      <xdr:row>0</xdr:row>
      <xdr:rowOff>166680</xdr:rowOff>
    </xdr:from>
    <xdr:to>
      <xdr:col>2</xdr:col>
      <xdr:colOff>57600</xdr:colOff>
      <xdr:row>2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990" y="166680"/>
          <a:ext cx="2015610" cy="366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212407</xdr:colOff>
      <xdr:row>1</xdr:row>
      <xdr:rowOff>89647</xdr:rowOff>
    </xdr:from>
    <xdr:to>
      <xdr:col>1</xdr:col>
      <xdr:colOff>1939267</xdr:colOff>
      <xdr:row>1</xdr:row>
      <xdr:rowOff>605901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525" y="280147"/>
          <a:ext cx="1726860" cy="516254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2:D11"/>
  <sheetViews>
    <sheetView zoomScale="90" zoomScaleNormal="90" workbookViewId="0">
      <selection activeCell="G22" sqref="G22"/>
    </sheetView>
  </sheetViews>
  <sheetFormatPr defaultRowHeight="14.4"/>
  <cols>
    <col min="1" max="1" width="9.33203125"/>
    <col min="2" max="2" width="17"/>
    <col min="3" max="3" width="15.109375"/>
    <col min="4" max="4" width="8.33203125"/>
    <col min="5" max="5" width="9.33203125"/>
    <col min="6" max="1025" width="8.5546875"/>
  </cols>
  <sheetData>
    <row r="2" spans="2:4">
      <c r="B2" s="1"/>
      <c r="C2" s="2"/>
      <c r="D2" s="3"/>
    </row>
    <row r="3" spans="2:4">
      <c r="B3" s="4"/>
      <c r="C3" s="5"/>
      <c r="D3" s="6"/>
    </row>
    <row r="4" spans="2:4">
      <c r="B4" s="7" t="s">
        <v>0</v>
      </c>
      <c r="C4" s="8"/>
      <c r="D4" s="9"/>
    </row>
    <row r="5" spans="2:4">
      <c r="B5" s="7"/>
      <c r="C5" s="10" t="s">
        <v>0</v>
      </c>
      <c r="D5" s="11" t="s">
        <v>1</v>
      </c>
    </row>
    <row r="6" spans="2:4">
      <c r="B6" s="12" t="s">
        <v>2</v>
      </c>
      <c r="C6" s="13">
        <f>DCF!C46</f>
        <v>61.711462316140491</v>
      </c>
      <c r="D6" s="346">
        <v>0.35</v>
      </c>
    </row>
    <row r="7" spans="2:4">
      <c r="B7" s="15" t="s">
        <v>3</v>
      </c>
      <c r="C7" s="13">
        <f>Relative!R29</f>
        <v>70.518917267159281</v>
      </c>
      <c r="D7" s="346">
        <v>0.35</v>
      </c>
    </row>
    <row r="8" spans="2:4">
      <c r="B8" s="15" t="s">
        <v>4</v>
      </c>
      <c r="C8" s="16">
        <f>Historical!C21</f>
        <v>87.041908440678654</v>
      </c>
      <c r="D8" s="346">
        <v>0.3</v>
      </c>
    </row>
    <row r="9" spans="2:4">
      <c r="B9" s="17" t="s">
        <v>5</v>
      </c>
      <c r="C9" s="347">
        <v>67.08</v>
      </c>
      <c r="D9" s="18"/>
    </row>
    <row r="10" spans="2:4">
      <c r="B10" s="19" t="s">
        <v>6</v>
      </c>
      <c r="C10" s="16">
        <f>(C6*D6)+(C7*D7)+(C8*D8)</f>
        <v>72.393205386358517</v>
      </c>
      <c r="D10" s="9"/>
    </row>
    <row r="11" spans="2:4">
      <c r="B11" s="20" t="s">
        <v>7</v>
      </c>
      <c r="C11" s="21">
        <f>(C10-C9)/C9</f>
        <v>7.9206997411426935E-2</v>
      </c>
      <c r="D11" s="2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2:O23"/>
  <sheetViews>
    <sheetView zoomScale="70" zoomScaleNormal="70" workbookViewId="0">
      <selection activeCell="O8" sqref="O8"/>
    </sheetView>
  </sheetViews>
  <sheetFormatPr defaultRowHeight="14.4"/>
  <cols>
    <col min="1" max="1" width="8.5546875"/>
    <col min="2" max="2" width="16.33203125"/>
    <col min="3" max="3" width="14"/>
    <col min="4" max="6" width="8.5546875"/>
    <col min="7" max="7" width="10.109375" customWidth="1"/>
    <col min="8" max="10" width="8.5546875"/>
    <col min="11" max="11" width="10"/>
    <col min="12" max="12" width="9.5546875"/>
    <col min="13" max="1025" width="8.5546875"/>
  </cols>
  <sheetData>
    <row r="2" spans="2:1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2:15">
      <c r="B3" s="361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60"/>
    </row>
    <row r="4" spans="2:15">
      <c r="B4" s="7" t="s">
        <v>270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262"/>
    </row>
    <row r="5" spans="2:15">
      <c r="B5" s="356"/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8"/>
    </row>
    <row r="6" spans="2:15">
      <c r="B6" s="7"/>
      <c r="C6" s="8"/>
      <c r="D6" s="50" t="s">
        <v>271</v>
      </c>
      <c r="E6" s="50" t="s">
        <v>272</v>
      </c>
      <c r="F6" s="50" t="s">
        <v>273</v>
      </c>
      <c r="G6" s="50" t="s">
        <v>274</v>
      </c>
      <c r="H6" s="50" t="s">
        <v>275</v>
      </c>
      <c r="I6" s="50" t="s">
        <v>276</v>
      </c>
      <c r="J6" s="50" t="s">
        <v>277</v>
      </c>
      <c r="K6" s="50" t="s">
        <v>190</v>
      </c>
      <c r="L6" s="50" t="s">
        <v>191</v>
      </c>
      <c r="M6" s="50" t="s">
        <v>192</v>
      </c>
      <c r="N6" s="339" t="s">
        <v>194</v>
      </c>
    </row>
    <row r="7" spans="2:15">
      <c r="B7" s="155" t="s">
        <v>278</v>
      </c>
      <c r="C7" s="156"/>
      <c r="D7" s="156">
        <v>2</v>
      </c>
      <c r="E7" s="156">
        <v>0.96</v>
      </c>
      <c r="F7" s="156">
        <v>0.93</v>
      </c>
      <c r="G7" s="156">
        <v>-9.1300000000000008</v>
      </c>
      <c r="H7" s="156">
        <v>1.79</v>
      </c>
      <c r="I7" s="156">
        <v>5.44</v>
      </c>
      <c r="J7" s="156">
        <v>4.04</v>
      </c>
      <c r="K7" s="156">
        <v>1.7</v>
      </c>
      <c r="L7" s="156">
        <v>4.34</v>
      </c>
      <c r="M7" s="156">
        <v>4.2300000000000004</v>
      </c>
      <c r="N7" s="388">
        <f>DCF!G22/DCF!C45</f>
        <v>6.039127034360769</v>
      </c>
      <c r="O7" s="389"/>
    </row>
    <row r="8" spans="2:15">
      <c r="B8" s="144" t="s">
        <v>279</v>
      </c>
      <c r="C8" s="146"/>
      <c r="D8" s="146">
        <v>62.82</v>
      </c>
      <c r="E8" s="146">
        <v>67.36</v>
      </c>
      <c r="F8" s="146">
        <v>56.06</v>
      </c>
      <c r="G8" s="146">
        <v>28.31</v>
      </c>
      <c r="H8" s="146">
        <v>28.99</v>
      </c>
      <c r="I8" s="146">
        <v>49.86</v>
      </c>
      <c r="J8" s="146">
        <v>50.67</v>
      </c>
      <c r="K8" s="146">
        <v>49.59</v>
      </c>
      <c r="L8" s="146">
        <v>70.540000000000006</v>
      </c>
      <c r="M8" s="146">
        <v>107.83</v>
      </c>
      <c r="N8" s="340"/>
    </row>
    <row r="9" spans="2:15">
      <c r="B9" s="135" t="s">
        <v>280</v>
      </c>
      <c r="C9" s="8"/>
      <c r="D9" s="8">
        <v>23.7</v>
      </c>
      <c r="E9" s="8">
        <v>43.03</v>
      </c>
      <c r="F9" s="8">
        <v>33.17</v>
      </c>
      <c r="G9" s="8">
        <v>8</v>
      </c>
      <c r="H9" s="8">
        <v>8.91</v>
      </c>
      <c r="I9" s="8">
        <v>25.42</v>
      </c>
      <c r="J9" s="8">
        <v>36.65</v>
      </c>
      <c r="K9" s="8">
        <v>32.700000000000003</v>
      </c>
      <c r="L9" s="8">
        <v>49.99</v>
      </c>
      <c r="M9" s="8">
        <v>67.39</v>
      </c>
      <c r="N9" s="338"/>
    </row>
    <row r="10" spans="2:15">
      <c r="B10" s="135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338"/>
    </row>
    <row r="11" spans="2:15">
      <c r="B11" s="135" t="s">
        <v>281</v>
      </c>
      <c r="C11" s="8"/>
      <c r="D11" s="237">
        <f t="shared" ref="D11:M11" si="0">D8/D7</f>
        <v>31.41</v>
      </c>
      <c r="E11" s="237">
        <f t="shared" si="0"/>
        <v>70.166666666666671</v>
      </c>
      <c r="F11" s="237">
        <f t="shared" si="0"/>
        <v>60.27956989247312</v>
      </c>
      <c r="G11" s="237">
        <f t="shared" si="0"/>
        <v>-3.1007667031763413</v>
      </c>
      <c r="H11" s="237">
        <f t="shared" si="0"/>
        <v>16.195530726256983</v>
      </c>
      <c r="I11" s="237">
        <f t="shared" si="0"/>
        <v>9.165441176470587</v>
      </c>
      <c r="J11" s="237">
        <f t="shared" si="0"/>
        <v>12.542079207920793</v>
      </c>
      <c r="K11" s="237">
        <f t="shared" si="0"/>
        <v>29.170588235294119</v>
      </c>
      <c r="L11" s="237">
        <f t="shared" si="0"/>
        <v>16.25345622119816</v>
      </c>
      <c r="M11" s="237">
        <f t="shared" si="0"/>
        <v>25.491725768321508</v>
      </c>
      <c r="N11" s="338"/>
    </row>
    <row r="12" spans="2:15" ht="15" thickBot="1">
      <c r="B12" s="155" t="s">
        <v>282</v>
      </c>
      <c r="C12" s="156"/>
      <c r="D12" s="275">
        <f t="shared" ref="D12:M12" si="1">D9/D7</f>
        <v>11.85</v>
      </c>
      <c r="E12" s="275">
        <f t="shared" si="1"/>
        <v>44.822916666666671</v>
      </c>
      <c r="F12" s="275">
        <f t="shared" si="1"/>
        <v>35.666666666666664</v>
      </c>
      <c r="G12" s="275">
        <f t="shared" si="1"/>
        <v>-0.87623220153340631</v>
      </c>
      <c r="H12" s="275">
        <f t="shared" si="1"/>
        <v>4.977653631284916</v>
      </c>
      <c r="I12" s="275">
        <f t="shared" si="1"/>
        <v>4.6727941176470589</v>
      </c>
      <c r="J12" s="275">
        <f t="shared" si="1"/>
        <v>9.0717821782178216</v>
      </c>
      <c r="K12" s="275">
        <f t="shared" si="1"/>
        <v>19.235294117647062</v>
      </c>
      <c r="L12" s="275">
        <f t="shared" si="1"/>
        <v>11.518433179723504</v>
      </c>
      <c r="M12" s="275">
        <f t="shared" si="1"/>
        <v>15.931442080378249</v>
      </c>
      <c r="N12" s="341"/>
    </row>
    <row r="13" spans="2:15">
      <c r="B13" s="132"/>
      <c r="C13" s="386" t="s">
        <v>184</v>
      </c>
      <c r="D13" s="386"/>
      <c r="E13" s="386"/>
      <c r="F13" s="386"/>
      <c r="G13" s="387" t="s">
        <v>185</v>
      </c>
      <c r="H13" s="387"/>
      <c r="I13" s="387"/>
      <c r="J13" s="387"/>
      <c r="K13" s="387" t="s">
        <v>283</v>
      </c>
      <c r="L13" s="387"/>
      <c r="M13" s="387"/>
      <c r="N13" s="387"/>
    </row>
    <row r="14" spans="2:15">
      <c r="B14" s="144"/>
      <c r="C14" s="146" t="s">
        <v>284</v>
      </c>
      <c r="D14" s="146" t="s">
        <v>162</v>
      </c>
      <c r="E14" s="146" t="s">
        <v>285</v>
      </c>
      <c r="F14" s="18" t="s">
        <v>286</v>
      </c>
      <c r="G14" s="263" t="s">
        <v>284</v>
      </c>
      <c r="H14" s="146" t="s">
        <v>162</v>
      </c>
      <c r="I14" s="146" t="s">
        <v>285</v>
      </c>
      <c r="J14" s="18" t="s">
        <v>286</v>
      </c>
      <c r="K14" s="263" t="s">
        <v>284</v>
      </c>
      <c r="L14" s="146" t="s">
        <v>162</v>
      </c>
      <c r="M14" s="146" t="s">
        <v>285</v>
      </c>
      <c r="N14" s="18" t="s">
        <v>286</v>
      </c>
    </row>
    <row r="15" spans="2:15">
      <c r="B15" s="135" t="s">
        <v>287</v>
      </c>
      <c r="C15" s="237">
        <f>AVERAGE(K11:M11)</f>
        <v>23.638590074937934</v>
      </c>
      <c r="D15" s="237">
        <f>MEDIAN(K11:M11)</f>
        <v>25.491725768321508</v>
      </c>
      <c r="E15" s="237">
        <f>MAX(K11:M11)</f>
        <v>29.170588235294119</v>
      </c>
      <c r="F15" s="257">
        <f>MIN(K11:M11)</f>
        <v>16.25345622119816</v>
      </c>
      <c r="G15" s="276">
        <f>AVERAGE(I11:M11)</f>
        <v>18.524658121841032</v>
      </c>
      <c r="H15" s="237">
        <f>MEDIAN(I11:M11)</f>
        <v>16.25345622119816</v>
      </c>
      <c r="I15" s="237">
        <f>MAX(I11:M11)</f>
        <v>29.170588235294119</v>
      </c>
      <c r="J15" s="257">
        <f>MIN(I11:M11)</f>
        <v>9.165441176470587</v>
      </c>
      <c r="K15" s="276">
        <f>AVERAGE(G11:M11)</f>
        <v>15.102579233183686</v>
      </c>
      <c r="L15" s="237">
        <f>MEDIAN(G11:M11)</f>
        <v>16.195530726256983</v>
      </c>
      <c r="M15" s="237">
        <f>MAX(G11:M11)</f>
        <v>29.170588235294119</v>
      </c>
      <c r="N15" s="257">
        <f>MIN(G11:M11)</f>
        <v>-3.1007667031763413</v>
      </c>
    </row>
    <row r="16" spans="2:15">
      <c r="B16" s="144" t="s">
        <v>288</v>
      </c>
      <c r="C16" s="259">
        <f>AVERAGE(K12:M12)</f>
        <v>15.561723125916272</v>
      </c>
      <c r="D16" s="259">
        <f>MEDIAN(K12:M12)</f>
        <v>15.931442080378249</v>
      </c>
      <c r="E16" s="259">
        <f>MAX(K12:M12)</f>
        <v>19.235294117647062</v>
      </c>
      <c r="F16" s="277">
        <f>MIN(K12:M12)</f>
        <v>11.518433179723504</v>
      </c>
      <c r="G16" s="278">
        <f>AVERAGE(I12:M12)</f>
        <v>12.085949134722739</v>
      </c>
      <c r="H16" s="259">
        <f>MEDIAN(I12:M12)</f>
        <v>11.518433179723504</v>
      </c>
      <c r="I16" s="259">
        <f>MAX(I12:M12)</f>
        <v>19.235294117647062</v>
      </c>
      <c r="J16" s="277">
        <f>MIN(I12:M12)</f>
        <v>4.6727941176470589</v>
      </c>
      <c r="K16" s="278">
        <f>AVERAGE(G12:M12)</f>
        <v>9.2187381576236014</v>
      </c>
      <c r="L16" s="259">
        <f>MEDIAN(G12:M12)</f>
        <v>9.0717821782178216</v>
      </c>
      <c r="M16" s="259">
        <f>MAX(G12:M12)</f>
        <v>19.235294117647062</v>
      </c>
      <c r="N16" s="277">
        <f>MIN(G12:M12)</f>
        <v>-0.87623220153340631</v>
      </c>
    </row>
    <row r="17" spans="2:15">
      <c r="B17" s="144" t="s">
        <v>284</v>
      </c>
      <c r="C17" s="237">
        <f>AVERAGE(C15:C16)</f>
        <v>19.600156600427102</v>
      </c>
      <c r="D17" s="237">
        <f>AVERAGE(D15:D16)</f>
        <v>20.711583924349878</v>
      </c>
      <c r="E17" s="8"/>
      <c r="F17" s="262"/>
      <c r="G17" s="276">
        <f>AVERAGE(G15:G16)</f>
        <v>15.305303628281886</v>
      </c>
      <c r="H17" s="270">
        <f>AVERAGE(H15:H16)</f>
        <v>13.885944700460833</v>
      </c>
      <c r="I17" s="8"/>
      <c r="J17" s="262"/>
      <c r="K17" s="276">
        <f>AVERAGE(K15:K16)</f>
        <v>12.160658695403644</v>
      </c>
      <c r="L17" s="270">
        <f>AVERAGE(L15:L16)</f>
        <v>12.633656452237403</v>
      </c>
      <c r="M17" s="8"/>
      <c r="N17" s="262"/>
    </row>
    <row r="18" spans="2:15">
      <c r="B18" s="149" t="s">
        <v>0</v>
      </c>
      <c r="C18" s="279">
        <f>C17*N7</f>
        <v>118.36783560334398</v>
      </c>
      <c r="D18" s="279">
        <f>D17*N7</f>
        <v>125.07988640197325</v>
      </c>
      <c r="E18" s="280"/>
      <c r="F18" s="281"/>
      <c r="G18" s="282">
        <f>G17*N7</f>
        <v>92.430672910657108</v>
      </c>
      <c r="H18" s="279">
        <f>H17*N7</f>
        <v>83.858984038191664</v>
      </c>
      <c r="I18" s="280"/>
      <c r="J18" s="281"/>
      <c r="K18" s="282">
        <f>K17*N7</f>
        <v>73.43976268304651</v>
      </c>
      <c r="L18" s="279">
        <f>L17*N7</f>
        <v>76.296256223533263</v>
      </c>
      <c r="M18" s="280"/>
      <c r="N18" s="281"/>
    </row>
    <row r="19" spans="2:15">
      <c r="B19" s="24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246"/>
    </row>
    <row r="20" spans="2:15">
      <c r="B20" s="227" t="s">
        <v>289</v>
      </c>
      <c r="C20" s="283">
        <f>AVERAGE(C18,D18,G18,H18,K18,L18)</f>
        <v>94.912232976790975</v>
      </c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246"/>
    </row>
    <row r="21" spans="2:15">
      <c r="B21" s="228" t="s">
        <v>290</v>
      </c>
      <c r="C21" s="284">
        <f>C20/((1+DCF!J46)^0.75)</f>
        <v>87.041908440678654</v>
      </c>
      <c r="D21" s="246"/>
      <c r="E21" s="246"/>
      <c r="F21" s="246"/>
      <c r="G21" s="246"/>
      <c r="H21" s="246"/>
      <c r="I21" s="246"/>
      <c r="J21" s="246"/>
      <c r="K21" s="246"/>
      <c r="L21" s="246"/>
      <c r="M21" s="246"/>
      <c r="N21" s="246"/>
      <c r="O21" s="246"/>
    </row>
    <row r="22" spans="2:15">
      <c r="B22" s="230" t="s">
        <v>291</v>
      </c>
      <c r="C22" s="285">
        <f>(C21-Valuation!C9)/Valuation!C9</f>
        <v>0.29758360823909746</v>
      </c>
      <c r="D22" s="246"/>
      <c r="E22" s="246"/>
      <c r="F22" s="246"/>
      <c r="G22" s="246"/>
      <c r="H22" s="246"/>
      <c r="I22" s="246"/>
      <c r="J22" s="246"/>
      <c r="K22" s="246"/>
      <c r="L22" s="246"/>
      <c r="M22" s="246"/>
      <c r="N22" s="246"/>
      <c r="O22" s="246"/>
    </row>
    <row r="23" spans="2:15"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</row>
  </sheetData>
  <mergeCells count="3">
    <mergeCell ref="C13:F13"/>
    <mergeCell ref="G13:J13"/>
    <mergeCell ref="K13:N13"/>
  </mergeCells>
  <pageMargins left="0.7" right="0.7" top="0.75" bottom="0.75" header="0.51180555555555496" footer="0.51180555555555496"/>
  <pageSetup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2:G14"/>
  <sheetViews>
    <sheetView tabSelected="1" zoomScaleNormal="100" workbookViewId="0">
      <selection activeCell="C30" sqref="C30"/>
    </sheetView>
  </sheetViews>
  <sheetFormatPr defaultRowHeight="14.4"/>
  <cols>
    <col min="1" max="1" width="8.5546875"/>
    <col min="2" max="2" width="20.44140625"/>
    <col min="3" max="3" width="9.33203125"/>
    <col min="4" max="1025" width="8.5546875"/>
  </cols>
  <sheetData>
    <row r="2" spans="2:7">
      <c r="B2" s="1"/>
      <c r="C2" s="2"/>
      <c r="D2" s="2"/>
      <c r="E2" s="2"/>
      <c r="F2" s="2"/>
      <c r="G2" s="3"/>
    </row>
    <row r="3" spans="2:7">
      <c r="B3" s="4"/>
      <c r="C3" s="5"/>
      <c r="D3" s="5"/>
      <c r="E3" s="5"/>
      <c r="F3" s="5"/>
      <c r="G3" s="6"/>
    </row>
    <row r="4" spans="2:7">
      <c r="B4" s="7" t="s">
        <v>292</v>
      </c>
      <c r="C4" s="8"/>
      <c r="D4" s="8"/>
      <c r="E4" s="8"/>
      <c r="F4" s="8"/>
      <c r="G4" s="262"/>
    </row>
    <row r="5" spans="2:7">
      <c r="B5" s="7"/>
      <c r="C5" s="8">
        <v>2010</v>
      </c>
      <c r="D5" s="8">
        <v>2011</v>
      </c>
      <c r="E5" s="8">
        <v>2012</v>
      </c>
      <c r="F5" s="8">
        <v>2013</v>
      </c>
      <c r="G5" s="262">
        <v>2014</v>
      </c>
    </row>
    <row r="6" spans="2:7">
      <c r="B6" s="155" t="s">
        <v>293</v>
      </c>
      <c r="C6" s="286">
        <f>IS!C22/IS!C7</f>
        <v>0.26935860497426145</v>
      </c>
      <c r="D6" s="286">
        <f>IS!D22/IS!D7</f>
        <v>0.17431379803943559</v>
      </c>
      <c r="E6" s="286">
        <f>IS!E22/IS!E7</f>
        <v>8.2613212564292313E-2</v>
      </c>
      <c r="F6" s="286">
        <f>IS!F22/IS!F7</f>
        <v>0.16898808639153012</v>
      </c>
      <c r="G6" s="317">
        <f>IS!G22/IS!G7</f>
        <v>0.15200534846095198</v>
      </c>
    </row>
    <row r="7" spans="2:7">
      <c r="B7" s="135" t="s">
        <v>294</v>
      </c>
      <c r="C7" s="287">
        <f>IS!C7/BS!C22</f>
        <v>0.54995630481125612</v>
      </c>
      <c r="D7" s="287">
        <f>IS!D7/BS!D22</f>
        <v>0.55649541880957454</v>
      </c>
      <c r="E7" s="287">
        <f>IS!E7/BS!E22</f>
        <v>0.48867849287468856</v>
      </c>
      <c r="F7" s="287">
        <f>IS!F7/BS!F22</f>
        <v>0.58825145153596958</v>
      </c>
      <c r="G7" s="318">
        <f>IS!G7/BS!G22</f>
        <v>0.64409413955762884</v>
      </c>
    </row>
    <row r="8" spans="2:7">
      <c r="B8" s="144" t="s">
        <v>295</v>
      </c>
      <c r="C8" s="288">
        <f>C7*C6</f>
        <v>0.14813546306075967</v>
      </c>
      <c r="D8" s="288">
        <f>D7*D6</f>
        <v>9.7004830044243304E-2</v>
      </c>
      <c r="E8" s="288">
        <f>E7*E6</f>
        <v>4.037130020745465E-2</v>
      </c>
      <c r="F8" s="288">
        <f>F7*F6</f>
        <v>9.9407487112103426E-2</v>
      </c>
      <c r="G8" s="289">
        <f>G7*G6</f>
        <v>9.7905754125114403E-2</v>
      </c>
    </row>
    <row r="9" spans="2:7">
      <c r="B9" s="135" t="s">
        <v>296</v>
      </c>
      <c r="C9" s="287">
        <f>IS!C22/IS!C20</f>
        <v>0.8920766855148744</v>
      </c>
      <c r="D9" s="287">
        <f>IS!D22/IS!D20</f>
        <v>0.66835099143120658</v>
      </c>
      <c r="E9" s="287">
        <f>IS!E22/IS!E20</f>
        <v>0.66580530725009412</v>
      </c>
      <c r="F9" s="287">
        <f>IS!F22/IS!F20</f>
        <v>0.687700879003317</v>
      </c>
      <c r="G9" s="318">
        <f>IS!G22/IS!G20</f>
        <v>0.67657871231607158</v>
      </c>
    </row>
    <row r="10" spans="2:7">
      <c r="B10" s="135" t="s">
        <v>297</v>
      </c>
      <c r="C10" s="287">
        <f>IS!C20/IS!C16</f>
        <v>0.99716675310316139</v>
      </c>
      <c r="D10" s="287">
        <f>IS!D20/IS!D16</f>
        <v>0.96513561205149989</v>
      </c>
      <c r="E10" s="287">
        <f>IS!E20/IS!E16</f>
        <v>0.90061845006787866</v>
      </c>
      <c r="F10" s="287">
        <f>IS!F20/IS!F16</f>
        <v>0.97051548767451234</v>
      </c>
      <c r="G10" s="318">
        <f>IS!G20/IS!G16</f>
        <v>0.95577219574128303</v>
      </c>
    </row>
    <row r="11" spans="2:7">
      <c r="B11" s="135" t="s">
        <v>298</v>
      </c>
      <c r="C11" s="287">
        <f>IS!C16/IS!C7</f>
        <v>0.30280348893170994</v>
      </c>
      <c r="D11" s="287">
        <f>IS!D16/IS!D7</f>
        <v>0.27023327731804819</v>
      </c>
      <c r="E11" s="287">
        <f>IS!E16/IS!E7</f>
        <v>0.13777214449296379</v>
      </c>
      <c r="F11" s="287">
        <f>IS!F16/IS!F7</f>
        <v>0.25319436635606174</v>
      </c>
      <c r="G11" s="318">
        <f>IS!G16/IS!G7</f>
        <v>0.23506401390165307</v>
      </c>
    </row>
    <row r="12" spans="2:7">
      <c r="B12" s="135" t="s">
        <v>294</v>
      </c>
      <c r="C12" s="287">
        <f>IS!C7/BS!C22</f>
        <v>0.54995630481125612</v>
      </c>
      <c r="D12" s="287">
        <f>IS!D7/BS!D22</f>
        <v>0.55649541880957454</v>
      </c>
      <c r="E12" s="287">
        <f>IS!E7/BS!E22</f>
        <v>0.48867849287468856</v>
      </c>
      <c r="F12" s="287">
        <f>IS!F7/BS!F22</f>
        <v>0.58825145153596958</v>
      </c>
      <c r="G12" s="318">
        <f>IS!G7/BS!G22</f>
        <v>0.64409413955762884</v>
      </c>
    </row>
    <row r="13" spans="2:7">
      <c r="B13" s="135" t="s">
        <v>299</v>
      </c>
      <c r="C13" s="287">
        <f>BS!C22/BS!C41</f>
        <v>1.517772900330369</v>
      </c>
      <c r="D13" s="287">
        <f>BS!D22/BS!D41</f>
        <v>1.4402792157475597</v>
      </c>
      <c r="E13" s="287">
        <f>BS!E22/BS!E41</f>
        <v>1.4233573667923063</v>
      </c>
      <c r="F13" s="287">
        <f>BS!F22/BS!F41</f>
        <v>1.505297026122179</v>
      </c>
      <c r="G13" s="318">
        <f>BS!G22/BS!G41</f>
        <v>1.5762659314200438</v>
      </c>
    </row>
    <row r="14" spans="2:7">
      <c r="B14" s="143" t="s">
        <v>300</v>
      </c>
      <c r="C14" s="290">
        <f>C9*C10*C11*C12*C13</f>
        <v>0.22483599141151145</v>
      </c>
      <c r="D14" s="290">
        <f>D9*D10*D11*D12*D13</f>
        <v>0.13971404053984809</v>
      </c>
      <c r="E14" s="290">
        <f>E9*E10*E11*E12*E13</f>
        <v>5.746278755726434E-2</v>
      </c>
      <c r="F14" s="290">
        <f>F9*F10*F11*F12*F13</f>
        <v>0.14963779472412811</v>
      </c>
      <c r="G14" s="291">
        <f>G9*G10*G11*G12*G13</f>
        <v>0.1543255047174053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44"/>
  <sheetViews>
    <sheetView showGridLines="0" topLeftCell="A19" zoomScale="80" zoomScaleNormal="80" workbookViewId="0">
      <selection activeCell="H44" activeCellId="3" sqref="H8 G8 G44 H44"/>
    </sheetView>
  </sheetViews>
  <sheetFormatPr defaultRowHeight="14.4"/>
  <cols>
    <col min="1" max="1" width="3"/>
    <col min="2" max="2" width="30.33203125"/>
    <col min="3" max="3" width="8.5546875"/>
    <col min="4" max="4" width="8"/>
    <col min="5" max="5" width="8.33203125"/>
    <col min="6" max="6" width="8.6640625"/>
    <col min="7" max="7" width="8.109375"/>
    <col min="8" max="8" width="10.6640625"/>
    <col min="9" max="9" width="13.88671875"/>
    <col min="10" max="10" width="8.88671875" customWidth="1"/>
    <col min="11" max="11" width="17.88671875" customWidth="1"/>
    <col min="12" max="12" width="14.109375"/>
    <col min="13" max="16" width="8.5546875"/>
    <col min="17" max="17" width="10.33203125"/>
    <col min="18" max="1025" width="8.5546875"/>
  </cols>
  <sheetData>
    <row r="1" spans="1:12" ht="19.2" customHeight="1">
      <c r="B1" s="8"/>
      <c r="C1" s="8"/>
      <c r="D1" s="8"/>
      <c r="E1" s="8"/>
      <c r="F1" s="8"/>
      <c r="G1" s="8"/>
    </row>
    <row r="2" spans="1:12" ht="22.95" customHeight="1">
      <c r="A2" s="23"/>
      <c r="B2" s="24"/>
      <c r="C2" s="24"/>
      <c r="D2" s="24"/>
      <c r="E2" s="24"/>
      <c r="F2" s="24"/>
      <c r="G2" s="24"/>
      <c r="H2" s="23"/>
    </row>
    <row r="3" spans="1:12">
      <c r="A3" s="25"/>
      <c r="B3" s="26"/>
      <c r="C3" s="27"/>
      <c r="D3" s="27"/>
      <c r="E3" s="27"/>
      <c r="F3" s="27"/>
      <c r="G3" s="27"/>
      <c r="H3" s="27"/>
    </row>
    <row r="4" spans="1:12">
      <c r="A4" s="25"/>
      <c r="B4" s="25" t="s">
        <v>8</v>
      </c>
      <c r="C4" s="24"/>
      <c r="D4" s="24"/>
      <c r="E4" s="24"/>
      <c r="F4" s="24"/>
      <c r="G4" s="24"/>
      <c r="H4" s="24"/>
    </row>
    <row r="5" spans="1:12">
      <c r="A5" s="25"/>
      <c r="B5" s="25"/>
      <c r="C5" s="24"/>
      <c r="D5" s="24"/>
      <c r="E5" s="24"/>
      <c r="F5" s="24"/>
      <c r="G5" s="24"/>
      <c r="H5" s="24"/>
    </row>
    <row r="6" spans="1:12">
      <c r="A6" s="25"/>
      <c r="B6" s="28"/>
      <c r="C6" s="29">
        <v>2010</v>
      </c>
      <c r="D6" s="29">
        <v>2011</v>
      </c>
      <c r="E6" s="29">
        <v>2012</v>
      </c>
      <c r="F6" s="29">
        <v>2013</v>
      </c>
      <c r="G6" s="30">
        <v>2014</v>
      </c>
      <c r="H6" s="319" t="s">
        <v>9</v>
      </c>
      <c r="I6" s="31"/>
      <c r="L6" s="31"/>
    </row>
    <row r="7" spans="1:12">
      <c r="A7" s="24"/>
      <c r="B7" s="32" t="s">
        <v>10</v>
      </c>
      <c r="C7" s="33"/>
      <c r="D7" s="33"/>
      <c r="E7" s="33"/>
      <c r="F7" s="33"/>
      <c r="G7" s="33"/>
      <c r="H7" s="320"/>
      <c r="I7" s="34"/>
      <c r="L7" s="34"/>
    </row>
    <row r="8" spans="1:12">
      <c r="A8" s="24"/>
      <c r="B8" s="35" t="s">
        <v>11</v>
      </c>
      <c r="C8" s="36">
        <v>829149000</v>
      </c>
      <c r="D8" s="36">
        <v>1167496000</v>
      </c>
      <c r="E8" s="36">
        <v>995470000</v>
      </c>
      <c r="F8" s="36">
        <v>986246000</v>
      </c>
      <c r="G8" s="69">
        <v>809003000</v>
      </c>
      <c r="H8" s="366">
        <v>649940000</v>
      </c>
      <c r="I8" s="38"/>
      <c r="L8" s="38"/>
    </row>
    <row r="9" spans="1:12">
      <c r="A9" s="24"/>
      <c r="B9" s="35" t="s">
        <v>12</v>
      </c>
      <c r="C9" s="39">
        <v>2018565000</v>
      </c>
      <c r="D9" s="39">
        <v>1681492000</v>
      </c>
      <c r="E9" s="39">
        <v>1880034000</v>
      </c>
      <c r="F9" s="39">
        <v>1919611000</v>
      </c>
      <c r="G9" s="37">
        <v>1455509000</v>
      </c>
      <c r="H9" s="321">
        <v>1347541000</v>
      </c>
      <c r="I9" s="40"/>
      <c r="L9" s="40"/>
    </row>
    <row r="10" spans="1:12">
      <c r="A10" s="24"/>
      <c r="B10" s="35" t="s">
        <v>13</v>
      </c>
      <c r="C10" s="39">
        <v>367784000</v>
      </c>
      <c r="D10" s="39">
        <v>521763000</v>
      </c>
      <c r="E10" s="39">
        <v>626025000</v>
      </c>
      <c r="F10" s="39">
        <v>682809000</v>
      </c>
      <c r="G10" s="37">
        <v>842476000</v>
      </c>
      <c r="H10" s="321">
        <v>589246000</v>
      </c>
      <c r="I10" s="40"/>
      <c r="L10" s="40"/>
    </row>
    <row r="11" spans="1:12">
      <c r="A11" s="24"/>
      <c r="B11" s="35" t="s">
        <v>14</v>
      </c>
      <c r="C11" s="39">
        <v>509585000</v>
      </c>
      <c r="D11" s="39">
        <v>678382000</v>
      </c>
      <c r="E11" s="39">
        <v>750075000</v>
      </c>
      <c r="F11" s="39">
        <v>756975000</v>
      </c>
      <c r="G11" s="37">
        <v>698011000</v>
      </c>
      <c r="H11" s="321">
        <v>713053000</v>
      </c>
      <c r="I11" s="40"/>
      <c r="L11" s="40"/>
    </row>
    <row r="12" spans="1:12">
      <c r="A12" s="24"/>
      <c r="B12" s="35" t="s">
        <v>15</v>
      </c>
      <c r="C12" s="39">
        <v>104582000</v>
      </c>
      <c r="D12" s="39">
        <v>100409000</v>
      </c>
      <c r="E12" s="39">
        <v>93877000</v>
      </c>
      <c r="F12" s="39">
        <v>138192000</v>
      </c>
      <c r="G12" s="37">
        <v>180134000</v>
      </c>
      <c r="H12" s="321">
        <v>162298000</v>
      </c>
      <c r="I12" s="40"/>
      <c r="L12" s="40"/>
    </row>
    <row r="13" spans="1:12">
      <c r="A13" s="24"/>
      <c r="B13" s="35" t="s">
        <v>16</v>
      </c>
      <c r="C13" s="39">
        <v>203027000</v>
      </c>
      <c r="D13" s="39">
        <v>206419000</v>
      </c>
      <c r="E13" s="39">
        <v>260879000</v>
      </c>
      <c r="F13" s="39">
        <v>166885000</v>
      </c>
      <c r="G13" s="37">
        <v>214992000</v>
      </c>
      <c r="H13" s="321">
        <v>290908000</v>
      </c>
      <c r="I13" s="40"/>
      <c r="L13" s="40"/>
    </row>
    <row r="14" spans="1:12">
      <c r="A14" s="24"/>
      <c r="B14" s="41" t="s">
        <v>17</v>
      </c>
      <c r="C14" s="42">
        <v>4032692000</v>
      </c>
      <c r="D14" s="42">
        <v>4355961000</v>
      </c>
      <c r="E14" s="42">
        <v>4606360000</v>
      </c>
      <c r="F14" s="42">
        <v>4650718000</v>
      </c>
      <c r="G14" s="37">
        <v>4200125000</v>
      </c>
      <c r="H14" s="321">
        <v>3752986000</v>
      </c>
      <c r="I14" s="40"/>
      <c r="L14" s="40"/>
    </row>
    <row r="15" spans="1:12">
      <c r="A15" s="24"/>
      <c r="B15" s="35" t="s">
        <v>18</v>
      </c>
      <c r="C15" s="39">
        <v>2494972000</v>
      </c>
      <c r="D15" s="39">
        <v>2766263000</v>
      </c>
      <c r="E15" s="39">
        <v>2835931000</v>
      </c>
      <c r="F15" s="39">
        <v>3179471000</v>
      </c>
      <c r="G15" s="37">
        <v>2758475000</v>
      </c>
      <c r="H15" s="321">
        <v>2396950000</v>
      </c>
      <c r="I15" s="40"/>
      <c r="L15" s="40"/>
    </row>
    <row r="16" spans="1:12">
      <c r="A16" s="24"/>
      <c r="B16" s="35" t="s">
        <v>19</v>
      </c>
      <c r="C16" s="39">
        <v>266721000</v>
      </c>
      <c r="D16" s="39">
        <v>344897000</v>
      </c>
      <c r="E16" s="39">
        <v>665542000</v>
      </c>
      <c r="F16" s="39">
        <v>655794000</v>
      </c>
      <c r="G16" s="37">
        <v>724357000</v>
      </c>
      <c r="H16" s="321">
        <v>769933000</v>
      </c>
      <c r="I16" s="40"/>
      <c r="L16" s="40"/>
    </row>
    <row r="17" spans="1:17" ht="28.8">
      <c r="A17" s="24"/>
      <c r="B17" s="35" t="s">
        <v>20</v>
      </c>
      <c r="C17" s="39">
        <v>1733491000</v>
      </c>
      <c r="D17" s="39">
        <v>1943295000</v>
      </c>
      <c r="E17" s="39">
        <v>1460112000</v>
      </c>
      <c r="F17" s="39">
        <v>1134620000</v>
      </c>
      <c r="G17" s="37">
        <v>962817000</v>
      </c>
      <c r="H17" s="321">
        <v>989678000</v>
      </c>
      <c r="I17" s="40"/>
      <c r="L17" s="40"/>
    </row>
    <row r="18" spans="1:17">
      <c r="A18" s="24"/>
      <c r="B18" s="35" t="s">
        <v>15</v>
      </c>
      <c r="C18" s="39">
        <v>149486000</v>
      </c>
      <c r="D18" s="39">
        <v>199027000</v>
      </c>
      <c r="E18" s="39">
        <v>168718000</v>
      </c>
      <c r="F18" s="39">
        <v>134669000</v>
      </c>
      <c r="G18" s="37">
        <v>161827000</v>
      </c>
      <c r="H18" s="321">
        <v>157292000</v>
      </c>
      <c r="I18" s="40"/>
      <c r="L18" s="40"/>
    </row>
    <row r="19" spans="1:17">
      <c r="A19" s="24"/>
      <c r="B19" s="35" t="s">
        <v>21</v>
      </c>
      <c r="C19" s="43">
        <v>0</v>
      </c>
      <c r="D19" s="39">
        <v>154899000</v>
      </c>
      <c r="E19" s="39">
        <v>201735000</v>
      </c>
      <c r="F19" s="39">
        <v>318111000</v>
      </c>
      <c r="G19" s="37">
        <v>831328000</v>
      </c>
      <c r="H19" s="321">
        <v>831328000</v>
      </c>
      <c r="I19" s="40"/>
      <c r="L19" s="40"/>
    </row>
    <row r="20" spans="1:17">
      <c r="A20" s="24"/>
      <c r="B20" s="35" t="s">
        <v>22</v>
      </c>
      <c r="C20" s="39">
        <v>37404000</v>
      </c>
      <c r="D20" s="39">
        <v>287691000</v>
      </c>
      <c r="E20" s="39">
        <v>246919000</v>
      </c>
      <c r="F20" s="39">
        <v>247904000</v>
      </c>
      <c r="G20" s="37">
        <v>542351000</v>
      </c>
      <c r="H20" s="321">
        <v>437858000</v>
      </c>
      <c r="I20" s="40"/>
      <c r="L20" s="40"/>
    </row>
    <row r="21" spans="1:17">
      <c r="A21" s="24"/>
      <c r="B21" s="35" t="s">
        <v>23</v>
      </c>
      <c r="C21" s="39">
        <v>61944000</v>
      </c>
      <c r="D21" s="39">
        <v>122615000</v>
      </c>
      <c r="E21" s="39">
        <v>153810000</v>
      </c>
      <c r="F21" s="39">
        <v>167430000</v>
      </c>
      <c r="G21" s="72">
        <v>108677000</v>
      </c>
      <c r="H21" s="322">
        <v>125196000</v>
      </c>
      <c r="I21" s="40"/>
      <c r="L21" s="40"/>
    </row>
    <row r="22" spans="1:17" ht="15" thickBot="1">
      <c r="A22" s="24"/>
      <c r="B22" s="44" t="s">
        <v>24</v>
      </c>
      <c r="C22" s="45">
        <v>8776710000</v>
      </c>
      <c r="D22" s="45">
        <v>10174648000</v>
      </c>
      <c r="E22" s="45">
        <v>10339127000</v>
      </c>
      <c r="F22" s="45">
        <v>10488717000</v>
      </c>
      <c r="G22" s="303">
        <v>10289957000</v>
      </c>
      <c r="H22" s="323">
        <v>9461221000</v>
      </c>
      <c r="I22" s="40"/>
      <c r="L22" s="40"/>
    </row>
    <row r="23" spans="1:17" ht="15" thickTop="1">
      <c r="A23" s="24"/>
      <c r="B23" s="41" t="s">
        <v>25</v>
      </c>
      <c r="C23" s="46"/>
      <c r="D23" s="46"/>
      <c r="E23" s="46"/>
      <c r="F23" s="46"/>
      <c r="G23" s="37"/>
      <c r="H23" s="321"/>
      <c r="I23" s="34"/>
      <c r="L23" s="34"/>
    </row>
    <row r="24" spans="1:17">
      <c r="A24" s="24"/>
      <c r="B24" s="35" t="s">
        <v>26</v>
      </c>
      <c r="C24" s="39">
        <v>173259000</v>
      </c>
      <c r="D24" s="39">
        <v>258583000</v>
      </c>
      <c r="E24" s="39">
        <v>254459000</v>
      </c>
      <c r="F24" s="39">
        <v>282582000</v>
      </c>
      <c r="G24" s="37">
        <v>404237000</v>
      </c>
      <c r="H24" s="321">
        <v>397617000</v>
      </c>
      <c r="I24" s="40"/>
      <c r="L24" s="40"/>
    </row>
    <row r="25" spans="1:17">
      <c r="A25" s="24"/>
      <c r="B25" s="35" t="s">
        <v>27</v>
      </c>
      <c r="C25" s="39">
        <v>241744000</v>
      </c>
      <c r="D25" s="39">
        <v>276275000</v>
      </c>
      <c r="E25" s="39">
        <v>214806000</v>
      </c>
      <c r="F25" s="39">
        <v>146964000</v>
      </c>
      <c r="G25" s="37">
        <v>136051000</v>
      </c>
      <c r="H25" s="321">
        <v>147870000</v>
      </c>
      <c r="I25" s="40"/>
      <c r="L25" s="34">
        <v>2010</v>
      </c>
      <c r="M25" s="34">
        <v>2011</v>
      </c>
      <c r="N25" s="34">
        <v>2012</v>
      </c>
      <c r="O25" s="34">
        <v>2013</v>
      </c>
      <c r="P25" s="34">
        <v>2014</v>
      </c>
      <c r="Q25" s="34" t="s">
        <v>9</v>
      </c>
    </row>
    <row r="26" spans="1:17">
      <c r="A26" s="24"/>
      <c r="B26" s="35" t="s">
        <v>28</v>
      </c>
      <c r="C26" s="47">
        <v>0</v>
      </c>
      <c r="D26" s="47">
        <v>0</v>
      </c>
      <c r="E26" s="39">
        <v>906708000</v>
      </c>
      <c r="F26" s="47">
        <v>0</v>
      </c>
      <c r="G26" s="37">
        <v>869645000</v>
      </c>
      <c r="H26" s="321">
        <v>880653000</v>
      </c>
      <c r="I26" s="40"/>
      <c r="K26" s="48" t="s">
        <v>29</v>
      </c>
      <c r="L26" s="49">
        <f t="shared" ref="L26:Q26" si="0">C26+C28</f>
        <v>260395000</v>
      </c>
      <c r="M26" s="49">
        <f t="shared" si="0"/>
        <v>220999000</v>
      </c>
      <c r="N26" s="49">
        <f t="shared" si="0"/>
        <v>1154863000</v>
      </c>
      <c r="O26" s="49">
        <f t="shared" si="0"/>
        <v>291302000</v>
      </c>
      <c r="P26" s="49">
        <f t="shared" si="0"/>
        <v>1144302000</v>
      </c>
      <c r="Q26" s="335">
        <f t="shared" si="0"/>
        <v>1135755000</v>
      </c>
    </row>
    <row r="27" spans="1:17">
      <c r="A27" s="24"/>
      <c r="B27" s="35" t="s">
        <v>30</v>
      </c>
      <c r="C27" s="39">
        <v>284709000</v>
      </c>
      <c r="D27" s="39">
        <v>337517000</v>
      </c>
      <c r="E27" s="39">
        <v>257539000</v>
      </c>
      <c r="F27" s="39">
        <v>509732000</v>
      </c>
      <c r="G27" s="37">
        <v>506293000</v>
      </c>
      <c r="H27" s="321">
        <v>409434000</v>
      </c>
      <c r="I27" s="40"/>
      <c r="L27" s="40"/>
    </row>
    <row r="28" spans="1:17" ht="43.2">
      <c r="A28" s="24"/>
      <c r="B28" s="35" t="s">
        <v>31</v>
      </c>
      <c r="C28" s="39">
        <v>260395000</v>
      </c>
      <c r="D28" s="39">
        <v>220999000</v>
      </c>
      <c r="E28" s="39">
        <v>248155000</v>
      </c>
      <c r="F28" s="39">
        <v>291302000</v>
      </c>
      <c r="G28" s="37">
        <v>274657000</v>
      </c>
      <c r="H28" s="321">
        <v>255102000</v>
      </c>
      <c r="I28" s="40"/>
      <c r="L28" s="40"/>
    </row>
    <row r="29" spans="1:17">
      <c r="A29" s="24"/>
      <c r="B29" s="41" t="s">
        <v>32</v>
      </c>
      <c r="C29" s="42">
        <v>960107000</v>
      </c>
      <c r="D29" s="42">
        <v>1093374000</v>
      </c>
      <c r="E29" s="42">
        <v>1881667000</v>
      </c>
      <c r="F29" s="42">
        <v>1230580000</v>
      </c>
      <c r="G29" s="37">
        <v>2190883000</v>
      </c>
      <c r="H29" s="321">
        <v>2090676000</v>
      </c>
      <c r="I29" s="40"/>
      <c r="L29" s="40"/>
    </row>
    <row r="30" spans="1:17">
      <c r="A30" s="24"/>
      <c r="B30" s="35" t="s">
        <v>33</v>
      </c>
      <c r="C30" s="39">
        <v>1711032000</v>
      </c>
      <c r="D30" s="39">
        <v>1604911000</v>
      </c>
      <c r="E30" s="39">
        <v>789913000</v>
      </c>
      <c r="F30" s="39">
        <v>1985363000</v>
      </c>
      <c r="G30" s="37">
        <v>1199696000</v>
      </c>
      <c r="H30" s="321">
        <v>1211097000</v>
      </c>
      <c r="I30" s="40"/>
      <c r="L30" s="40"/>
    </row>
    <row r="31" spans="1:17">
      <c r="A31" s="24"/>
      <c r="B31" s="35" t="s">
        <v>34</v>
      </c>
      <c r="C31" s="39">
        <v>326176000</v>
      </c>
      <c r="D31" s="39">
        <v>415524000</v>
      </c>
      <c r="E31" s="39">
        <v>407947000</v>
      </c>
      <c r="F31" s="39">
        <v>307083000</v>
      </c>
      <c r="G31" s="72">
        <v>245554000</v>
      </c>
      <c r="H31" s="322">
        <v>207334000</v>
      </c>
      <c r="I31" s="40"/>
      <c r="L31" s="40"/>
    </row>
    <row r="32" spans="1:17" ht="15" thickBot="1">
      <c r="A32" s="24"/>
      <c r="B32" s="44" t="s">
        <v>35</v>
      </c>
      <c r="C32" s="45">
        <v>2997315000</v>
      </c>
      <c r="D32" s="45">
        <v>3113809000</v>
      </c>
      <c r="E32" s="45">
        <v>3079527000</v>
      </c>
      <c r="F32" s="45">
        <v>3523026000</v>
      </c>
      <c r="G32" s="303">
        <v>3636133000</v>
      </c>
      <c r="H32" s="323">
        <v>3509107000</v>
      </c>
      <c r="I32" s="40"/>
      <c r="L32" s="40"/>
    </row>
    <row r="33" spans="1:12" ht="29.4" thickTop="1">
      <c r="A33" s="24"/>
      <c r="B33" s="35" t="s">
        <v>36</v>
      </c>
      <c r="C33" s="50" t="s">
        <v>37</v>
      </c>
      <c r="D33" s="50" t="s">
        <v>37</v>
      </c>
      <c r="E33" s="50" t="s">
        <v>37</v>
      </c>
      <c r="F33" s="51" t="s">
        <v>37</v>
      </c>
      <c r="G33" s="52" t="s">
        <v>38</v>
      </c>
      <c r="H33" s="324" t="s">
        <v>38</v>
      </c>
      <c r="I33" s="34"/>
      <c r="L33" s="34"/>
    </row>
    <row r="34" spans="1:12" ht="28.8">
      <c r="A34" s="24"/>
      <c r="B34" s="35" t="s">
        <v>39</v>
      </c>
      <c r="C34" s="50">
        <v>0</v>
      </c>
      <c r="D34" s="50">
        <v>0</v>
      </c>
      <c r="E34" s="50">
        <v>0</v>
      </c>
      <c r="F34" s="53">
        <v>0</v>
      </c>
      <c r="G34" s="37">
        <v>127143000</v>
      </c>
      <c r="H34" s="321">
        <v>116067000</v>
      </c>
      <c r="I34" s="40"/>
      <c r="L34" s="40"/>
    </row>
    <row r="35" spans="1:12">
      <c r="A35" s="24"/>
      <c r="B35" s="41" t="s">
        <v>40</v>
      </c>
      <c r="C35" s="24"/>
      <c r="D35" s="24"/>
      <c r="E35" s="24"/>
      <c r="F35" s="46"/>
      <c r="G35" s="37"/>
      <c r="H35" s="321"/>
      <c r="I35" s="34"/>
      <c r="L35" s="34"/>
    </row>
    <row r="36" spans="1:12">
      <c r="A36" s="24"/>
      <c r="B36" s="35" t="s">
        <v>41</v>
      </c>
      <c r="C36" s="47">
        <v>0</v>
      </c>
      <c r="D36" s="43">
        <v>0</v>
      </c>
      <c r="E36" s="43">
        <v>0</v>
      </c>
      <c r="F36" s="47">
        <v>0</v>
      </c>
      <c r="G36" s="34">
        <v>0</v>
      </c>
      <c r="H36" s="325">
        <v>0</v>
      </c>
      <c r="I36" s="40"/>
      <c r="L36" s="40"/>
    </row>
    <row r="37" spans="1:12">
      <c r="A37" s="24"/>
      <c r="B37" s="35" t="s">
        <v>42</v>
      </c>
      <c r="C37" s="54">
        <v>237000</v>
      </c>
      <c r="D37" s="54">
        <v>243000</v>
      </c>
      <c r="E37" s="54">
        <v>241000</v>
      </c>
      <c r="F37" s="54">
        <v>225000</v>
      </c>
      <c r="G37" s="55">
        <v>216000</v>
      </c>
      <c r="H37" s="321">
        <v>208000</v>
      </c>
      <c r="I37" s="40"/>
      <c r="L37" s="40"/>
    </row>
    <row r="38" spans="1:12">
      <c r="A38" s="24"/>
      <c r="B38" s="35" t="s">
        <v>43</v>
      </c>
      <c r="C38" s="39">
        <v>4709506000</v>
      </c>
      <c r="D38" s="39">
        <v>4934565000</v>
      </c>
      <c r="E38" s="39">
        <v>5027271000</v>
      </c>
      <c r="F38" s="39">
        <v>5040017000</v>
      </c>
      <c r="G38" s="37">
        <v>5236766000</v>
      </c>
      <c r="H38" s="321">
        <v>5143973000</v>
      </c>
      <c r="I38" s="40"/>
      <c r="L38" s="40"/>
    </row>
    <row r="39" spans="1:12">
      <c r="A39" s="24"/>
      <c r="B39" s="35" t="s">
        <v>44</v>
      </c>
      <c r="C39" s="39">
        <v>812653000</v>
      </c>
      <c r="D39" s="39">
        <v>1796849000</v>
      </c>
      <c r="E39" s="39">
        <v>2071268000</v>
      </c>
      <c r="F39" s="39">
        <v>2004089000</v>
      </c>
      <c r="G39" s="37">
        <v>1499149000</v>
      </c>
      <c r="H39" s="321">
        <v>876252000</v>
      </c>
      <c r="I39" s="40"/>
      <c r="L39" s="40"/>
    </row>
    <row r="40" spans="1:12" ht="28.8">
      <c r="A40" s="24"/>
      <c r="B40" s="35" t="s">
        <v>45</v>
      </c>
      <c r="C40" s="39">
        <v>260228000</v>
      </c>
      <c r="D40" s="39">
        <v>332701000</v>
      </c>
      <c r="E40" s="39">
        <v>165121000</v>
      </c>
      <c r="F40" s="39">
        <v>-76459000</v>
      </c>
      <c r="G40" s="72">
        <v>-208072000</v>
      </c>
      <c r="H40" s="322">
        <v>-183041000</v>
      </c>
      <c r="I40" s="40"/>
      <c r="L40" s="40"/>
    </row>
    <row r="41" spans="1:12">
      <c r="A41" s="24"/>
      <c r="B41" s="56" t="s">
        <v>46</v>
      </c>
      <c r="C41" s="57">
        <v>5782624000</v>
      </c>
      <c r="D41" s="57">
        <v>7064358000</v>
      </c>
      <c r="E41" s="57">
        <v>7263901000</v>
      </c>
      <c r="F41" s="57">
        <v>6967872000</v>
      </c>
      <c r="G41" s="72">
        <v>6528059000</v>
      </c>
      <c r="H41" s="322">
        <v>5837392000</v>
      </c>
      <c r="I41" s="40"/>
      <c r="L41" s="40"/>
    </row>
    <row r="42" spans="1:12">
      <c r="A42" s="24"/>
      <c r="B42" s="35" t="s">
        <v>47</v>
      </c>
      <c r="C42" s="39">
        <v>-3229000</v>
      </c>
      <c r="D42" s="39">
        <v>-3519000</v>
      </c>
      <c r="E42" s="39">
        <v>-4301000</v>
      </c>
      <c r="F42" s="39">
        <v>-2181000</v>
      </c>
      <c r="G42" s="37">
        <v>-1378000</v>
      </c>
      <c r="H42" s="321">
        <v>-1345000</v>
      </c>
      <c r="I42" s="40"/>
      <c r="L42" s="40"/>
    </row>
    <row r="43" spans="1:12">
      <c r="A43" s="24"/>
      <c r="B43" s="41" t="s">
        <v>48</v>
      </c>
      <c r="C43" s="58">
        <v>5779395000</v>
      </c>
      <c r="D43" s="58">
        <v>7060839000</v>
      </c>
      <c r="E43" s="58">
        <v>7259600000</v>
      </c>
      <c r="F43" s="42">
        <v>6965691000</v>
      </c>
      <c r="G43" s="72">
        <v>6526681000</v>
      </c>
      <c r="H43" s="322">
        <v>5836047000</v>
      </c>
      <c r="I43" s="38"/>
      <c r="L43" s="38"/>
    </row>
    <row r="44" spans="1:12">
      <c r="A44" s="24"/>
      <c r="B44" s="59" t="s">
        <v>49</v>
      </c>
      <c r="C44" s="60">
        <v>8776710000</v>
      </c>
      <c r="D44" s="60">
        <v>10174648000</v>
      </c>
      <c r="E44" s="60">
        <v>10339127000</v>
      </c>
      <c r="F44" s="61">
        <v>10488717000</v>
      </c>
      <c r="G44" s="301">
        <v>10289957000</v>
      </c>
      <c r="H44" s="367">
        <v>9461221000</v>
      </c>
      <c r="I44" s="38"/>
      <c r="L44" s="4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1:L48"/>
  <sheetViews>
    <sheetView zoomScale="73" zoomScaleNormal="73" workbookViewId="0">
      <selection activeCell="H7" sqref="H7"/>
    </sheetView>
  </sheetViews>
  <sheetFormatPr defaultRowHeight="14.4"/>
  <cols>
    <col min="1" max="1" width="9.33203125"/>
    <col min="2" max="2" width="66.6640625" customWidth="1"/>
    <col min="3" max="3" width="17.109375" customWidth="1"/>
    <col min="4" max="4" width="18.44140625" customWidth="1"/>
    <col min="5" max="5" width="12.88671875" customWidth="1"/>
    <col min="6" max="6" width="12.33203125" customWidth="1"/>
    <col min="7" max="7" width="11.33203125" customWidth="1"/>
    <col min="8" max="8" width="11.88671875"/>
    <col min="9" max="9" width="9.33203125"/>
    <col min="10" max="10" width="8.5546875"/>
    <col min="11" max="11" width="9.33203125"/>
    <col min="12" max="12" width="28.88671875"/>
    <col min="13" max="13" width="14.6640625"/>
    <col min="14" max="14" width="31.44140625"/>
    <col min="15" max="1025" width="8.5546875"/>
  </cols>
  <sheetData>
    <row r="1" spans="2:12" ht="15" thickBot="1"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2:12">
      <c r="B2" s="62"/>
      <c r="C2" s="63"/>
      <c r="D2" s="63"/>
      <c r="E2" s="63"/>
      <c r="F2" s="63"/>
      <c r="G2" s="63"/>
      <c r="H2" s="63"/>
      <c r="I2" s="23"/>
      <c r="J2" s="23"/>
      <c r="K2" s="23"/>
    </row>
    <row r="3" spans="2:12">
      <c r="B3" s="64"/>
      <c r="C3" s="27"/>
      <c r="D3" s="27"/>
      <c r="E3" s="27"/>
      <c r="F3" s="27"/>
      <c r="G3" s="27"/>
      <c r="H3" s="27"/>
      <c r="I3" s="23"/>
      <c r="J3" s="23"/>
      <c r="K3" s="23"/>
    </row>
    <row r="4" spans="2:12">
      <c r="B4" s="65" t="s">
        <v>50</v>
      </c>
      <c r="C4" s="24"/>
      <c r="D4" s="24"/>
      <c r="E4" s="24"/>
      <c r="F4" s="24"/>
      <c r="G4" s="24"/>
      <c r="H4" s="24"/>
      <c r="I4" s="23"/>
      <c r="J4" s="23"/>
      <c r="K4" s="23"/>
    </row>
    <row r="5" spans="2:12">
      <c r="B5" s="65"/>
      <c r="C5" s="24"/>
      <c r="D5" s="24"/>
      <c r="E5" s="24"/>
      <c r="F5" s="24"/>
      <c r="G5" s="246"/>
      <c r="H5" s="24"/>
      <c r="I5" s="23"/>
      <c r="J5" s="23"/>
      <c r="K5" s="23"/>
    </row>
    <row r="6" spans="2:12">
      <c r="B6" s="66"/>
      <c r="C6" s="67">
        <v>2010</v>
      </c>
      <c r="D6" s="67">
        <v>2011</v>
      </c>
      <c r="E6" s="67">
        <v>2012</v>
      </c>
      <c r="F6" s="67">
        <v>2013</v>
      </c>
      <c r="G6" s="161">
        <v>2014</v>
      </c>
      <c r="H6" s="319" t="s">
        <v>51</v>
      </c>
      <c r="I6" s="23"/>
      <c r="J6" s="23"/>
      <c r="K6" s="23"/>
    </row>
    <row r="7" spans="2:12">
      <c r="B7" s="68" t="s">
        <v>52</v>
      </c>
      <c r="C7" s="36">
        <v>4826807000</v>
      </c>
      <c r="D7" s="36">
        <v>5662145000</v>
      </c>
      <c r="E7" s="36">
        <v>5052509000</v>
      </c>
      <c r="F7" s="36">
        <v>6170003000</v>
      </c>
      <c r="G7" s="69">
        <v>6627701000</v>
      </c>
      <c r="H7" s="366">
        <v>1332241000</v>
      </c>
      <c r="I7" s="23"/>
      <c r="J7" s="23"/>
      <c r="K7" s="70"/>
      <c r="L7" s="34"/>
    </row>
    <row r="8" spans="2:12">
      <c r="B8" s="71" t="s">
        <v>53</v>
      </c>
      <c r="C8" s="72">
        <v>2564717000</v>
      </c>
      <c r="D8" s="72">
        <v>3222999000</v>
      </c>
      <c r="E8" s="72">
        <v>3369289000</v>
      </c>
      <c r="F8" s="72">
        <v>3302520000</v>
      </c>
      <c r="G8" s="72">
        <v>3559853000</v>
      </c>
      <c r="H8" s="322">
        <v>787239000</v>
      </c>
      <c r="I8" s="23"/>
      <c r="J8" s="23"/>
      <c r="K8" s="34"/>
      <c r="L8" s="38"/>
    </row>
    <row r="9" spans="2:12">
      <c r="B9" s="73" t="s">
        <v>54</v>
      </c>
      <c r="C9" s="42">
        <v>2262090000</v>
      </c>
      <c r="D9" s="42">
        <v>2439146000</v>
      </c>
      <c r="E9" s="42">
        <v>1683220000</v>
      </c>
      <c r="F9" s="42">
        <v>2867483000</v>
      </c>
      <c r="G9" s="74">
        <v>3067848000</v>
      </c>
      <c r="H9" s="321">
        <v>545002000</v>
      </c>
      <c r="I9" s="23"/>
      <c r="J9" s="23"/>
      <c r="K9" s="34"/>
      <c r="L9" s="40"/>
    </row>
    <row r="10" spans="2:12">
      <c r="B10" s="68" t="s">
        <v>55</v>
      </c>
      <c r="C10" s="46"/>
      <c r="D10" s="39"/>
      <c r="E10" s="39"/>
      <c r="F10" s="39"/>
      <c r="G10" s="246"/>
      <c r="H10" s="326"/>
      <c r="I10" s="23"/>
      <c r="J10" s="23"/>
      <c r="K10" s="34"/>
      <c r="L10" s="40"/>
    </row>
    <row r="11" spans="2:12" ht="23.4" customHeight="1">
      <c r="B11" s="141" t="s">
        <v>56</v>
      </c>
      <c r="C11" s="39">
        <v>422562000</v>
      </c>
      <c r="D11" s="39">
        <v>547373000</v>
      </c>
      <c r="E11" s="39">
        <v>602765000</v>
      </c>
      <c r="F11" s="39">
        <v>742268000</v>
      </c>
      <c r="G11" s="37">
        <v>852310000</v>
      </c>
      <c r="H11" s="321">
        <v>222726000</v>
      </c>
      <c r="I11" s="23"/>
      <c r="J11" s="23"/>
      <c r="K11" s="34"/>
      <c r="L11" s="40"/>
    </row>
    <row r="12" spans="2:12" ht="13.2" customHeight="1">
      <c r="B12" s="141" t="s">
        <v>57</v>
      </c>
      <c r="C12" s="39">
        <v>376282000</v>
      </c>
      <c r="D12" s="39">
        <v>357188000</v>
      </c>
      <c r="E12" s="39">
        <v>374455000</v>
      </c>
      <c r="F12" s="39">
        <v>468622000</v>
      </c>
      <c r="G12" s="76">
        <v>578502000</v>
      </c>
      <c r="H12" s="321">
        <v>149867000</v>
      </c>
      <c r="I12" s="23"/>
      <c r="J12" s="23"/>
      <c r="K12" s="34"/>
      <c r="L12" s="40"/>
    </row>
    <row r="13" spans="2:12">
      <c r="B13" s="141" t="s">
        <v>58</v>
      </c>
      <c r="C13" s="39">
        <v>1672000</v>
      </c>
      <c r="D13" s="39">
        <v>4485000</v>
      </c>
      <c r="E13" s="77">
        <v>9905000</v>
      </c>
      <c r="F13" s="39">
        <v>94383000</v>
      </c>
      <c r="G13" s="37">
        <v>26423000</v>
      </c>
      <c r="H13" s="321">
        <v>24756000</v>
      </c>
      <c r="I13" s="23"/>
      <c r="J13" s="23"/>
      <c r="K13" s="34"/>
      <c r="L13" s="40"/>
    </row>
    <row r="14" spans="2:12">
      <c r="B14" s="141" t="s">
        <v>59</v>
      </c>
      <c r="C14" s="43">
        <v>0</v>
      </c>
      <c r="D14" s="43">
        <v>0</v>
      </c>
      <c r="E14" s="43">
        <v>0</v>
      </c>
      <c r="F14" s="43">
        <v>0</v>
      </c>
      <c r="G14" s="246">
        <v>0</v>
      </c>
      <c r="H14" s="326">
        <v>0</v>
      </c>
      <c r="I14" s="23"/>
      <c r="J14" s="23"/>
      <c r="K14" s="34"/>
      <c r="L14" s="40"/>
    </row>
    <row r="15" spans="2:12">
      <c r="B15" s="71" t="s">
        <v>60</v>
      </c>
      <c r="C15" s="72">
        <v>800516000</v>
      </c>
      <c r="D15" s="72">
        <v>909046000</v>
      </c>
      <c r="E15" s="72">
        <v>987125000</v>
      </c>
      <c r="F15" s="72">
        <v>1305273000</v>
      </c>
      <c r="G15" s="72">
        <v>1509914000</v>
      </c>
      <c r="H15" s="322">
        <v>487815000</v>
      </c>
      <c r="I15" s="23"/>
      <c r="J15" s="23"/>
      <c r="K15" s="34"/>
      <c r="L15" s="40"/>
    </row>
    <row r="16" spans="2:12">
      <c r="B16" s="68" t="s">
        <v>61</v>
      </c>
      <c r="C16" s="39">
        <v>1461574000</v>
      </c>
      <c r="D16" s="39">
        <v>1530100000</v>
      </c>
      <c r="E16" s="39">
        <v>696095000</v>
      </c>
      <c r="F16" s="39">
        <v>1562210000</v>
      </c>
      <c r="G16" s="37">
        <v>1557934000</v>
      </c>
      <c r="H16" s="321">
        <v>57187000</v>
      </c>
      <c r="I16" s="23"/>
      <c r="J16" s="23"/>
      <c r="K16" s="34"/>
      <c r="L16" s="40"/>
    </row>
    <row r="17" spans="2:12">
      <c r="B17" s="68" t="s">
        <v>62</v>
      </c>
      <c r="C17" s="39">
        <v>84973000</v>
      </c>
      <c r="D17" s="39">
        <v>81952000</v>
      </c>
      <c r="E17" s="39">
        <v>51229000</v>
      </c>
      <c r="F17" s="39">
        <v>52004000</v>
      </c>
      <c r="G17" s="246">
        <v>56574000</v>
      </c>
      <c r="H17" s="321">
        <v>11025000</v>
      </c>
      <c r="I17" s="23"/>
      <c r="J17" s="23"/>
      <c r="K17" s="34"/>
      <c r="L17" s="40"/>
    </row>
    <row r="18" spans="2:12">
      <c r="B18" s="68" t="s">
        <v>63</v>
      </c>
      <c r="C18" s="39">
        <v>-89114000</v>
      </c>
      <c r="D18" s="39">
        <v>-135298000</v>
      </c>
      <c r="E18" s="39">
        <v>-120408000</v>
      </c>
      <c r="F18" s="39">
        <v>-98065000</v>
      </c>
      <c r="G18" s="37">
        <v>-125478000</v>
      </c>
      <c r="H18" s="321">
        <v>-34595000</v>
      </c>
      <c r="I18" s="23"/>
      <c r="J18" s="23"/>
      <c r="K18" s="34"/>
      <c r="L18" s="40"/>
    </row>
    <row r="19" spans="2:12">
      <c r="B19" s="78" t="s">
        <v>64</v>
      </c>
      <c r="C19" s="79">
        <v>-4141000</v>
      </c>
      <c r="D19" s="79">
        <v>-53346000</v>
      </c>
      <c r="E19" s="79">
        <v>-69179000</v>
      </c>
      <c r="F19" s="79">
        <v>-46061000</v>
      </c>
      <c r="G19" s="37">
        <v>-68904000</v>
      </c>
      <c r="H19" s="321">
        <v>-23570000</v>
      </c>
      <c r="I19" s="23"/>
      <c r="J19" s="23"/>
      <c r="K19" s="34"/>
      <c r="L19" s="40"/>
    </row>
    <row r="20" spans="2:12">
      <c r="B20" s="68" t="s">
        <v>65</v>
      </c>
      <c r="C20" s="39">
        <v>1457433000</v>
      </c>
      <c r="D20" s="39">
        <v>1476754000</v>
      </c>
      <c r="E20" s="39">
        <v>626916000</v>
      </c>
      <c r="F20" s="39">
        <v>1516149000</v>
      </c>
      <c r="G20" s="37">
        <v>1489030000</v>
      </c>
      <c r="H20" s="321">
        <v>33617000</v>
      </c>
      <c r="I20" s="23"/>
      <c r="J20" s="23"/>
      <c r="K20" s="34"/>
      <c r="L20" s="40"/>
    </row>
    <row r="21" spans="2:12">
      <c r="B21" s="68" t="s">
        <v>66</v>
      </c>
      <c r="C21" s="39">
        <v>157291000</v>
      </c>
      <c r="D21" s="39">
        <v>489764000</v>
      </c>
      <c r="E21" s="39">
        <v>209512000</v>
      </c>
      <c r="F21" s="39">
        <v>473492000</v>
      </c>
      <c r="G21" s="37">
        <v>481584000</v>
      </c>
      <c r="H21" s="321">
        <v>-5408000</v>
      </c>
      <c r="I21" s="23"/>
      <c r="J21" s="23"/>
      <c r="K21" s="34"/>
      <c r="L21" s="40"/>
    </row>
    <row r="22" spans="2:12" ht="15" thickBot="1">
      <c r="B22" s="80" t="s">
        <v>67</v>
      </c>
      <c r="C22" s="81">
        <v>1300142000</v>
      </c>
      <c r="D22" s="81">
        <v>986990000</v>
      </c>
      <c r="E22" s="81">
        <v>417404000</v>
      </c>
      <c r="F22" s="81">
        <v>1042657000</v>
      </c>
      <c r="G22" s="81">
        <v>1007446000</v>
      </c>
      <c r="H22" s="323">
        <v>39025000</v>
      </c>
      <c r="I22" s="23"/>
      <c r="J22" s="23"/>
      <c r="K22" s="34"/>
      <c r="L22" s="40"/>
    </row>
    <row r="23" spans="2:12" ht="15" thickTop="1">
      <c r="B23" s="68" t="s">
        <v>68</v>
      </c>
      <c r="C23" s="24"/>
      <c r="D23" s="43"/>
      <c r="E23" s="43"/>
      <c r="F23" s="43"/>
      <c r="G23" s="23"/>
      <c r="H23" s="325"/>
      <c r="I23" s="23"/>
      <c r="J23" s="23"/>
      <c r="K23" s="70"/>
      <c r="L23" s="34"/>
    </row>
    <row r="24" spans="2:12">
      <c r="B24" s="75" t="s">
        <v>69</v>
      </c>
      <c r="C24" s="82">
        <v>5.59</v>
      </c>
      <c r="D24" s="82">
        <v>4.12</v>
      </c>
      <c r="E24" s="82">
        <v>1.72</v>
      </c>
      <c r="F24" s="82">
        <v>4.4400000000000004</v>
      </c>
      <c r="G24" s="23">
        <v>4.5199999999999996</v>
      </c>
      <c r="H24" s="325">
        <v>0.18</v>
      </c>
      <c r="I24" s="23"/>
      <c r="J24" s="23"/>
      <c r="K24" s="34"/>
      <c r="L24" s="40"/>
    </row>
    <row r="25" spans="2:12">
      <c r="B25" s="75" t="s">
        <v>70</v>
      </c>
      <c r="C25" s="82">
        <v>5.44</v>
      </c>
      <c r="D25" s="82">
        <v>4.04</v>
      </c>
      <c r="E25" s="82">
        <v>1.7</v>
      </c>
      <c r="F25" s="82">
        <v>4.34</v>
      </c>
      <c r="G25" s="23">
        <v>4.2300000000000004</v>
      </c>
      <c r="H25" s="325">
        <v>0.17</v>
      </c>
      <c r="I25" s="23"/>
      <c r="J25" s="23"/>
      <c r="K25" s="34"/>
      <c r="L25" s="40"/>
    </row>
    <row r="26" spans="2:12">
      <c r="B26" s="68" t="s">
        <v>71</v>
      </c>
      <c r="C26" s="43"/>
      <c r="D26" s="43"/>
      <c r="E26" s="43"/>
      <c r="F26" s="43"/>
      <c r="G26" s="23"/>
      <c r="H26" s="325"/>
      <c r="I26" s="23"/>
      <c r="J26" s="23"/>
      <c r="K26" s="34"/>
      <c r="L26" s="40"/>
    </row>
    <row r="27" spans="2:12">
      <c r="B27" s="75" t="s">
        <v>69</v>
      </c>
      <c r="C27" s="43">
        <v>232531</v>
      </c>
      <c r="D27" s="43">
        <v>239484</v>
      </c>
      <c r="E27" s="43">
        <v>242076</v>
      </c>
      <c r="F27" s="43">
        <v>234886</v>
      </c>
      <c r="G27" s="34">
        <v>222714</v>
      </c>
      <c r="H27" s="325">
        <v>211428</v>
      </c>
      <c r="I27" s="23"/>
      <c r="J27" s="23"/>
      <c r="K27" s="34"/>
      <c r="L27" s="40"/>
    </row>
    <row r="28" spans="2:12">
      <c r="B28" s="75" t="s">
        <v>70</v>
      </c>
      <c r="C28" s="43">
        <v>238901</v>
      </c>
      <c r="D28" s="43">
        <v>244553</v>
      </c>
      <c r="E28" s="43">
        <v>245253</v>
      </c>
      <c r="F28" s="43">
        <v>240236</v>
      </c>
      <c r="G28" s="34">
        <v>238209</v>
      </c>
      <c r="H28" s="325">
        <v>224049</v>
      </c>
      <c r="I28" s="23"/>
      <c r="J28" s="23"/>
      <c r="K28" s="34"/>
      <c r="L28" s="40"/>
    </row>
    <row r="29" spans="2:12">
      <c r="B29" s="83" t="s">
        <v>72</v>
      </c>
      <c r="C29" s="84">
        <v>0</v>
      </c>
      <c r="D29" s="84">
        <v>0</v>
      </c>
      <c r="E29" s="84">
        <v>0</v>
      </c>
      <c r="F29" s="85">
        <v>0.45</v>
      </c>
      <c r="G29" s="302">
        <v>1.05</v>
      </c>
      <c r="H29" s="327">
        <v>0.3</v>
      </c>
      <c r="I29" s="23"/>
      <c r="J29" s="23"/>
      <c r="K29" s="34"/>
      <c r="L29" s="40"/>
    </row>
    <row r="37" ht="33.75" customHeight="1"/>
    <row r="38" ht="45" customHeight="1"/>
    <row r="48" ht="37.950000000000003" customHeight="1"/>
  </sheetData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T120"/>
  <sheetViews>
    <sheetView showGridLines="0" topLeftCell="A52" zoomScale="68" zoomScaleNormal="68" workbookViewId="0">
      <selection activeCell="H8" sqref="H8"/>
    </sheetView>
  </sheetViews>
  <sheetFormatPr defaultRowHeight="14.4"/>
  <cols>
    <col min="1" max="1" width="3.33203125"/>
    <col min="2" max="2" width="41" customWidth="1"/>
    <col min="3" max="3" width="7.6640625"/>
    <col min="4" max="4" width="6.6640625" customWidth="1"/>
    <col min="5" max="5" width="9" customWidth="1"/>
    <col min="6" max="6" width="7.88671875"/>
    <col min="7" max="7" width="12" bestFit="1" customWidth="1"/>
    <col min="8" max="8" width="14.88671875" customWidth="1"/>
    <col min="9" max="9" width="15.88671875" customWidth="1"/>
    <col min="10" max="10" width="15.5546875" customWidth="1"/>
    <col min="11" max="13" width="8.5546875"/>
    <col min="14" max="14" width="8.5546875" customWidth="1"/>
    <col min="15" max="15" width="53.88671875" customWidth="1"/>
    <col min="16" max="16" width="17.6640625" customWidth="1"/>
    <col min="17" max="17" width="19.6640625" customWidth="1"/>
    <col min="18" max="1025" width="8.5546875"/>
  </cols>
  <sheetData>
    <row r="1" spans="1:8" ht="15" thickBot="1">
      <c r="G1" s="246"/>
      <c r="H1" s="246"/>
    </row>
    <row r="2" spans="1:8" ht="49.35" customHeight="1">
      <c r="A2" s="23"/>
      <c r="B2" s="62"/>
      <c r="C2" s="63"/>
      <c r="D2" s="63"/>
      <c r="E2" s="63"/>
      <c r="F2" s="63"/>
      <c r="G2" s="63"/>
      <c r="H2" s="63"/>
    </row>
    <row r="3" spans="1:8">
      <c r="A3" s="23"/>
      <c r="B3" s="64"/>
      <c r="C3" s="27"/>
      <c r="D3" s="27"/>
      <c r="E3" s="27"/>
      <c r="F3" s="27"/>
      <c r="G3" s="27"/>
      <c r="H3" s="27"/>
    </row>
    <row r="4" spans="1:8">
      <c r="A4" s="23"/>
      <c r="B4" s="65"/>
      <c r="C4" s="24"/>
      <c r="D4" s="24"/>
      <c r="E4" s="24"/>
      <c r="F4" s="24"/>
      <c r="G4" s="24"/>
      <c r="H4" s="24"/>
    </row>
    <row r="5" spans="1:8">
      <c r="A5" s="23"/>
      <c r="B5" s="65" t="s">
        <v>73</v>
      </c>
      <c r="C5" s="24"/>
      <c r="D5" s="24"/>
      <c r="E5" s="24"/>
      <c r="F5" s="24"/>
      <c r="G5" s="246"/>
      <c r="H5" s="23"/>
    </row>
    <row r="6" spans="1:8">
      <c r="A6" s="23"/>
      <c r="B6" s="66"/>
      <c r="C6" s="67">
        <v>2010</v>
      </c>
      <c r="D6" s="67">
        <v>2011</v>
      </c>
      <c r="E6" s="67">
        <v>2012</v>
      </c>
      <c r="F6" s="67">
        <v>2013</v>
      </c>
      <c r="G6" s="161">
        <v>2014</v>
      </c>
      <c r="H6" s="319" t="s">
        <v>9</v>
      </c>
    </row>
    <row r="7" spans="1:8">
      <c r="A7" s="23"/>
      <c r="B7" s="73" t="s">
        <v>74</v>
      </c>
      <c r="C7" s="24"/>
      <c r="D7" s="24"/>
      <c r="E7" s="24"/>
      <c r="F7" s="24"/>
      <c r="G7" s="37"/>
      <c r="H7" s="328"/>
    </row>
    <row r="8" spans="1:8">
      <c r="A8" s="23"/>
      <c r="B8" s="71" t="s">
        <v>75</v>
      </c>
      <c r="C8" s="86">
        <v>1300142000</v>
      </c>
      <c r="D8" s="86">
        <v>986990000</v>
      </c>
      <c r="E8" s="86">
        <v>417404000</v>
      </c>
      <c r="F8" s="86">
        <v>1042657000</v>
      </c>
      <c r="G8" s="301">
        <v>1007446000</v>
      </c>
      <c r="H8" s="367">
        <v>39025000</v>
      </c>
    </row>
    <row r="9" spans="1:8" ht="28.8">
      <c r="A9" s="23"/>
      <c r="B9" s="73" t="s">
        <v>76</v>
      </c>
      <c r="C9" s="43"/>
      <c r="D9" s="43"/>
      <c r="E9" s="43"/>
      <c r="F9" s="43"/>
      <c r="G9" s="37"/>
      <c r="H9" s="325"/>
    </row>
    <row r="10" spans="1:8">
      <c r="A10" s="23"/>
      <c r="B10" s="68" t="s">
        <v>15</v>
      </c>
      <c r="C10" s="39">
        <v>-172327000</v>
      </c>
      <c r="D10" s="39">
        <v>-74829000</v>
      </c>
      <c r="E10" s="39">
        <v>34368000</v>
      </c>
      <c r="F10" s="54">
        <v>527000</v>
      </c>
      <c r="G10" s="37">
        <v>-7915000</v>
      </c>
      <c r="H10" s="321">
        <v>-965000</v>
      </c>
    </row>
    <row r="11" spans="1:8">
      <c r="A11" s="23"/>
      <c r="B11" s="68" t="s">
        <v>77</v>
      </c>
      <c r="C11" s="39">
        <v>226779000</v>
      </c>
      <c r="D11" s="39">
        <v>351960000</v>
      </c>
      <c r="E11" s="39">
        <v>416301000</v>
      </c>
      <c r="F11" s="39">
        <v>464065000</v>
      </c>
      <c r="G11" s="76">
        <v>578502000</v>
      </c>
      <c r="H11" s="321">
        <v>69081000</v>
      </c>
    </row>
    <row r="12" spans="1:8">
      <c r="A12" s="23"/>
      <c r="B12" s="68" t="s">
        <v>78</v>
      </c>
      <c r="C12" s="39">
        <v>132818000</v>
      </c>
      <c r="D12" s="39">
        <v>114984000</v>
      </c>
      <c r="E12" s="39">
        <v>161949000</v>
      </c>
      <c r="F12" s="39">
        <v>226334000</v>
      </c>
      <c r="G12" s="37">
        <v>254271000</v>
      </c>
      <c r="H12" s="321">
        <v>83374000</v>
      </c>
    </row>
    <row r="13" spans="1:8">
      <c r="A13" s="23"/>
      <c r="B13" s="68" t="s">
        <v>79</v>
      </c>
      <c r="C13" s="39">
        <v>93961000</v>
      </c>
      <c r="D13" s="39">
        <v>236976000</v>
      </c>
      <c r="E13" s="39">
        <v>254352000</v>
      </c>
      <c r="F13" s="39">
        <v>237731000</v>
      </c>
      <c r="G13" s="37">
        <v>324231000</v>
      </c>
      <c r="H13" s="328"/>
    </row>
    <row r="14" spans="1:8">
      <c r="A14" s="23"/>
      <c r="B14" s="68" t="s">
        <v>80</v>
      </c>
      <c r="C14" s="39">
        <v>-2575000</v>
      </c>
      <c r="D14" s="39">
        <v>-1476000</v>
      </c>
      <c r="E14" s="39">
        <v>1452000</v>
      </c>
      <c r="F14" s="39">
        <v>2167000</v>
      </c>
      <c r="G14" s="37">
        <v>857000</v>
      </c>
      <c r="H14" s="321">
        <v>330000</v>
      </c>
    </row>
    <row r="15" spans="1:8">
      <c r="A15" s="23"/>
      <c r="B15" s="68" t="s">
        <v>81</v>
      </c>
      <c r="C15" s="39">
        <v>77590000</v>
      </c>
      <c r="D15" s="39">
        <v>63110000</v>
      </c>
      <c r="E15" s="39">
        <v>78443000</v>
      </c>
      <c r="F15" s="39">
        <v>99756000</v>
      </c>
      <c r="G15" s="37">
        <v>155313000</v>
      </c>
      <c r="H15" s="321">
        <v>41410000</v>
      </c>
    </row>
    <row r="16" spans="1:8">
      <c r="A16" s="23"/>
      <c r="B16" s="68" t="s">
        <v>82</v>
      </c>
      <c r="C16" s="39">
        <v>-29626000</v>
      </c>
      <c r="D16" s="39">
        <v>-24895000</v>
      </c>
      <c r="E16" s="39">
        <v>-16015000</v>
      </c>
      <c r="F16" s="39">
        <v>-27198000</v>
      </c>
      <c r="G16" s="37">
        <v>-44919000</v>
      </c>
      <c r="H16" s="321">
        <v>-8865000</v>
      </c>
    </row>
    <row r="17" spans="1:19">
      <c r="A17" s="23"/>
      <c r="B17" s="68" t="s">
        <v>83</v>
      </c>
      <c r="C17" s="39">
        <v>-41505000</v>
      </c>
      <c r="D17" s="39">
        <v>-49438000</v>
      </c>
      <c r="E17" s="39">
        <v>-17350000</v>
      </c>
      <c r="F17" s="39">
        <v>75561000</v>
      </c>
      <c r="G17" s="37">
        <v>6790000</v>
      </c>
      <c r="H17" s="321">
        <v>63709000</v>
      </c>
    </row>
    <row r="18" spans="1:19">
      <c r="A18" s="23"/>
      <c r="B18" s="71" t="s">
        <v>84</v>
      </c>
      <c r="C18" s="72">
        <v>41054000</v>
      </c>
      <c r="D18" s="72">
        <v>11614000</v>
      </c>
      <c r="E18" s="72">
        <v>9424000</v>
      </c>
      <c r="F18" s="87">
        <v>-792000</v>
      </c>
      <c r="G18" s="72">
        <v>636000</v>
      </c>
      <c r="H18" s="322">
        <v>-4187000</v>
      </c>
    </row>
    <row r="19" spans="1:19">
      <c r="A19" s="23"/>
      <c r="B19" s="73" t="s">
        <v>85</v>
      </c>
      <c r="C19" s="46"/>
      <c r="D19" s="39"/>
      <c r="E19" s="39"/>
      <c r="F19" s="39"/>
      <c r="G19" s="37"/>
      <c r="H19" s="328"/>
    </row>
    <row r="20" spans="1:19" ht="14.4" customHeight="1">
      <c r="A20" s="23"/>
      <c r="B20" s="68" t="s">
        <v>13</v>
      </c>
      <c r="C20" s="39">
        <v>-132479000</v>
      </c>
      <c r="D20" s="39">
        <v>-146726000</v>
      </c>
      <c r="E20" s="39">
        <v>-68070000</v>
      </c>
      <c r="F20" s="39">
        <v>-51125000</v>
      </c>
      <c r="G20" s="37">
        <v>-118606000</v>
      </c>
      <c r="H20" s="321">
        <v>252899000</v>
      </c>
      <c r="S20" s="298"/>
    </row>
    <row r="21" spans="1:19">
      <c r="A21" s="23"/>
      <c r="B21" s="68" t="s">
        <v>14</v>
      </c>
      <c r="C21" s="39">
        <v>84314000</v>
      </c>
      <c r="D21" s="39">
        <v>-158534000</v>
      </c>
      <c r="E21" s="39">
        <v>-71260000</v>
      </c>
      <c r="F21" s="39">
        <v>23310000</v>
      </c>
      <c r="G21" s="37">
        <v>136442000</v>
      </c>
      <c r="H21" s="321">
        <v>-13945000</v>
      </c>
    </row>
    <row r="22" spans="1:19">
      <c r="A22" s="23"/>
      <c r="B22" s="68" t="s">
        <v>86</v>
      </c>
      <c r="C22" s="39">
        <v>-127629000</v>
      </c>
      <c r="D22" s="39">
        <v>-112577000</v>
      </c>
      <c r="E22" s="39">
        <v>-84579000</v>
      </c>
      <c r="F22" s="39">
        <v>147713000</v>
      </c>
      <c r="G22" s="37">
        <v>37738000</v>
      </c>
      <c r="H22" s="321">
        <v>-94673000</v>
      </c>
    </row>
    <row r="23" spans="1:19">
      <c r="A23" s="23"/>
      <c r="B23" s="68" t="s">
        <v>26</v>
      </c>
      <c r="C23" s="39">
        <v>38957000</v>
      </c>
      <c r="D23" s="39">
        <v>73711000</v>
      </c>
      <c r="E23" s="39">
        <v>-4124000</v>
      </c>
      <c r="F23" s="39">
        <v>16377000</v>
      </c>
      <c r="G23" s="37">
        <v>37380000</v>
      </c>
      <c r="H23" s="321">
        <v>-26090000</v>
      </c>
    </row>
    <row r="24" spans="1:19">
      <c r="A24" s="23"/>
      <c r="B24" s="68" t="s">
        <v>27</v>
      </c>
      <c r="C24" s="39">
        <v>59653000</v>
      </c>
      <c r="D24" s="39">
        <v>34531000</v>
      </c>
      <c r="E24" s="39">
        <v>-61469000</v>
      </c>
      <c r="F24" s="39">
        <v>-67842000</v>
      </c>
      <c r="G24" s="37">
        <v>-10913000</v>
      </c>
      <c r="H24" s="321">
        <v>11819000</v>
      </c>
    </row>
    <row r="25" spans="1:19">
      <c r="A25" s="23"/>
      <c r="B25" s="68" t="s">
        <v>87</v>
      </c>
      <c r="C25" s="39">
        <v>129544000</v>
      </c>
      <c r="D25" s="39">
        <v>100331000</v>
      </c>
      <c r="E25" s="39">
        <v>-104671000</v>
      </c>
      <c r="F25" s="39">
        <v>138496000</v>
      </c>
      <c r="G25" s="37">
        <v>-80303000</v>
      </c>
      <c r="H25" s="321">
        <v>-104057000</v>
      </c>
    </row>
    <row r="26" spans="1:19">
      <c r="A26" s="23"/>
      <c r="B26" s="68" t="s">
        <v>88</v>
      </c>
      <c r="C26" s="39">
        <v>151750000</v>
      </c>
      <c r="D26" s="39">
        <v>66782000</v>
      </c>
      <c r="E26" s="39">
        <v>112450000</v>
      </c>
      <c r="F26" s="39">
        <v>821015000</v>
      </c>
      <c r="G26" s="37">
        <v>691002000</v>
      </c>
      <c r="H26" s="321">
        <v>269840000</v>
      </c>
    </row>
    <row r="27" spans="1:19">
      <c r="A27" s="23"/>
      <c r="B27" s="71" t="s">
        <v>89</v>
      </c>
      <c r="C27" s="58">
        <v>1451892000</v>
      </c>
      <c r="D27" s="58">
        <v>1053772000</v>
      </c>
      <c r="E27" s="58">
        <v>529854000</v>
      </c>
      <c r="F27" s="58">
        <v>1863672000</v>
      </c>
      <c r="G27" s="72">
        <v>1698448000</v>
      </c>
      <c r="H27" s="322">
        <v>308865000</v>
      </c>
    </row>
    <row r="28" spans="1:19">
      <c r="A28" s="23"/>
      <c r="B28" s="73" t="s">
        <v>90</v>
      </c>
      <c r="C28" s="39"/>
      <c r="D28" s="43"/>
      <c r="E28" s="43"/>
      <c r="F28" s="43"/>
      <c r="G28" s="37"/>
      <c r="H28" s="328"/>
    </row>
    <row r="29" spans="1:19" ht="28.8">
      <c r="A29" s="23"/>
      <c r="B29" s="68" t="s">
        <v>91</v>
      </c>
      <c r="C29" s="39">
        <v>-5803438000</v>
      </c>
      <c r="D29" s="39">
        <v>-3473915000</v>
      </c>
      <c r="E29" s="39">
        <v>-3178660000</v>
      </c>
      <c r="F29" s="39">
        <v>-4925520000</v>
      </c>
      <c r="G29" s="37">
        <v>-4106494000</v>
      </c>
      <c r="H29" s="321">
        <v>-692656000</v>
      </c>
    </row>
    <row r="30" spans="1:19" ht="28.8">
      <c r="A30" s="23"/>
      <c r="B30" s="68" t="s">
        <v>92</v>
      </c>
      <c r="C30" s="39">
        <v>2771840000</v>
      </c>
      <c r="D30" s="39">
        <v>2849232000</v>
      </c>
      <c r="E30" s="39">
        <v>2197302000</v>
      </c>
      <c r="F30" s="39">
        <v>3701528000</v>
      </c>
      <c r="G30" s="37">
        <v>4114712000</v>
      </c>
      <c r="H30" s="321">
        <v>1045097000</v>
      </c>
    </row>
    <row r="31" spans="1:19" ht="28.8">
      <c r="A31" s="23"/>
      <c r="B31" s="68" t="s">
        <v>93</v>
      </c>
      <c r="C31" s="39">
        <v>407001000</v>
      </c>
      <c r="D31" s="39">
        <v>634390000</v>
      </c>
      <c r="E31" s="39">
        <v>650060000</v>
      </c>
      <c r="F31" s="39">
        <v>751900000</v>
      </c>
      <c r="G31" s="37">
        <v>772882000</v>
      </c>
      <c r="H31" s="321">
        <v>99881000</v>
      </c>
    </row>
    <row r="32" spans="1:19">
      <c r="A32" s="23"/>
      <c r="B32" s="68" t="s">
        <v>94</v>
      </c>
      <c r="C32" s="39">
        <v>-108142000</v>
      </c>
      <c r="D32" s="39">
        <v>-192876000</v>
      </c>
      <c r="E32" s="39">
        <v>-487973000</v>
      </c>
      <c r="F32" s="39">
        <v>-213415000</v>
      </c>
      <c r="G32" s="37">
        <v>-232786000</v>
      </c>
      <c r="H32" s="321">
        <v>-98287000</v>
      </c>
    </row>
    <row r="33" spans="1:8">
      <c r="A33" s="23"/>
      <c r="B33" s="68" t="s">
        <v>95</v>
      </c>
      <c r="C33" s="88" t="s">
        <v>37</v>
      </c>
      <c r="D33" s="39">
        <v>-83316000</v>
      </c>
      <c r="E33" s="39">
        <v>-50439000</v>
      </c>
      <c r="F33" s="39">
        <v>-12342000</v>
      </c>
      <c r="G33" s="37">
        <v>-24296000</v>
      </c>
      <c r="H33" s="329"/>
    </row>
    <row r="34" spans="1:8">
      <c r="A34" s="23"/>
      <c r="B34" s="68" t="s">
        <v>96</v>
      </c>
      <c r="C34" s="54">
        <v>122000</v>
      </c>
      <c r="D34" s="88" t="s">
        <v>37</v>
      </c>
      <c r="E34" s="88" t="s">
        <v>37</v>
      </c>
      <c r="F34" s="88" t="s">
        <v>37</v>
      </c>
      <c r="G34" s="299" t="s">
        <v>37</v>
      </c>
      <c r="H34" s="330" t="s">
        <v>37</v>
      </c>
    </row>
    <row r="35" spans="1:8">
      <c r="A35" s="23"/>
      <c r="B35" s="68" t="s">
        <v>97</v>
      </c>
      <c r="C35" s="39">
        <v>-59880000</v>
      </c>
      <c r="D35" s="39">
        <v>-399281000</v>
      </c>
      <c r="E35" s="39">
        <v>-142316000</v>
      </c>
      <c r="F35" s="39">
        <v>-37099000</v>
      </c>
      <c r="G35" s="37">
        <v>-181481000</v>
      </c>
      <c r="H35" s="326">
        <v>-100499000</v>
      </c>
    </row>
    <row r="36" spans="1:8">
      <c r="A36" s="23"/>
      <c r="B36" s="68" t="s">
        <v>98</v>
      </c>
      <c r="C36" s="39">
        <v>59664000</v>
      </c>
      <c r="D36" s="39">
        <v>416388000</v>
      </c>
      <c r="E36" s="39">
        <v>511289000</v>
      </c>
      <c r="F36" s="39">
        <v>124765000</v>
      </c>
      <c r="G36" s="37">
        <v>231409000</v>
      </c>
      <c r="H36" s="326">
        <v>89693000</v>
      </c>
    </row>
    <row r="37" spans="1:8">
      <c r="A37" s="23"/>
      <c r="B37" s="68" t="s">
        <v>99</v>
      </c>
      <c r="C37" s="54">
        <v>473000</v>
      </c>
      <c r="D37" s="39">
        <v>-100000000</v>
      </c>
      <c r="E37" s="39">
        <v>-4000000</v>
      </c>
      <c r="F37" s="39">
        <v>-8377000</v>
      </c>
      <c r="G37" s="37">
        <v>-24837000</v>
      </c>
      <c r="H37" s="364">
        <v>-1500000</v>
      </c>
    </row>
    <row r="38" spans="1:8">
      <c r="A38" s="23"/>
      <c r="B38" s="89" t="s">
        <v>100</v>
      </c>
      <c r="C38" s="39">
        <v>17767000</v>
      </c>
      <c r="D38" s="88" t="s">
        <v>37</v>
      </c>
      <c r="E38" s="88" t="s">
        <v>37</v>
      </c>
      <c r="F38" s="88" t="s">
        <v>37</v>
      </c>
      <c r="G38" s="52" t="s">
        <v>37</v>
      </c>
      <c r="H38" s="331" t="s">
        <v>37</v>
      </c>
    </row>
    <row r="39" spans="1:8">
      <c r="A39" s="23"/>
      <c r="B39" s="68" t="s">
        <v>101</v>
      </c>
      <c r="C39" s="88" t="s">
        <v>37</v>
      </c>
      <c r="D39" s="39">
        <v>-317649000</v>
      </c>
      <c r="E39" s="39">
        <v>-69629000</v>
      </c>
      <c r="F39" s="39">
        <v>-304320000</v>
      </c>
      <c r="G39" s="37">
        <v>-1063798000</v>
      </c>
      <c r="H39" s="332" t="s">
        <v>37</v>
      </c>
    </row>
    <row r="40" spans="1:8">
      <c r="A40" s="23"/>
      <c r="B40" s="71" t="s">
        <v>102</v>
      </c>
      <c r="C40" s="58">
        <v>-2714593000</v>
      </c>
      <c r="D40" s="58">
        <v>-667027000</v>
      </c>
      <c r="E40" s="58">
        <v>-574366000</v>
      </c>
      <c r="F40" s="58">
        <v>-922880000</v>
      </c>
      <c r="G40" s="72">
        <v>-514689000</v>
      </c>
      <c r="H40" s="333">
        <v>341729000</v>
      </c>
    </row>
    <row r="41" spans="1:8">
      <c r="A41" s="23"/>
      <c r="B41" s="73" t="s">
        <v>103</v>
      </c>
      <c r="C41" s="24"/>
      <c r="D41" s="43"/>
      <c r="E41" s="43"/>
      <c r="F41" s="43"/>
      <c r="G41" s="37">
        <v>0</v>
      </c>
      <c r="H41" s="328"/>
    </row>
    <row r="42" spans="1:8" ht="28.8">
      <c r="A42" s="23"/>
      <c r="B42" s="68" t="s">
        <v>104</v>
      </c>
      <c r="C42" s="39">
        <v>982500000</v>
      </c>
      <c r="D42" s="88" t="s">
        <v>37</v>
      </c>
      <c r="E42" s="88" t="s">
        <v>37</v>
      </c>
      <c r="F42" s="39">
        <v>1483125000</v>
      </c>
      <c r="G42" s="300" t="s">
        <v>37</v>
      </c>
      <c r="H42" s="332" t="s">
        <v>37</v>
      </c>
    </row>
    <row r="43" spans="1:8" ht="28.8">
      <c r="A43" s="23"/>
      <c r="B43" s="68" t="s">
        <v>105</v>
      </c>
      <c r="C43" s="39">
        <v>-292900000</v>
      </c>
      <c r="D43" s="39">
        <v>1494000</v>
      </c>
      <c r="E43" s="88" t="s">
        <v>37</v>
      </c>
      <c r="F43" s="39">
        <v>-331650000</v>
      </c>
      <c r="G43" s="300" t="s">
        <v>37</v>
      </c>
      <c r="H43" s="332" t="s">
        <v>37</v>
      </c>
    </row>
    <row r="44" spans="1:8">
      <c r="A44" s="23"/>
      <c r="B44" s="68" t="s">
        <v>106</v>
      </c>
      <c r="C44" s="39">
        <v>188100000</v>
      </c>
      <c r="D44" s="43"/>
      <c r="E44" s="88" t="s">
        <v>37</v>
      </c>
      <c r="F44" s="39">
        <v>217800000</v>
      </c>
      <c r="G44" s="300" t="s">
        <v>37</v>
      </c>
      <c r="H44" s="332" t="s">
        <v>37</v>
      </c>
    </row>
    <row r="45" spans="1:8">
      <c r="A45" s="23"/>
      <c r="B45" s="68" t="s">
        <v>107</v>
      </c>
      <c r="C45" s="88" t="s">
        <v>37</v>
      </c>
      <c r="D45" s="39">
        <v>-1158000</v>
      </c>
      <c r="E45" s="88" t="s">
        <v>37</v>
      </c>
      <c r="F45" s="88" t="s">
        <v>37</v>
      </c>
      <c r="G45" s="300" t="s">
        <v>37</v>
      </c>
      <c r="H45" s="332" t="s">
        <v>37</v>
      </c>
    </row>
    <row r="46" spans="1:8">
      <c r="A46" s="23"/>
      <c r="B46" s="68" t="s">
        <v>108</v>
      </c>
      <c r="C46" s="39">
        <v>-75000000</v>
      </c>
      <c r="D46" s="39">
        <v>-211441000</v>
      </c>
      <c r="E46" s="88" t="s">
        <v>37</v>
      </c>
      <c r="F46" s="39">
        <v>-928061000</v>
      </c>
      <c r="G46" s="37">
        <v>-3212000</v>
      </c>
      <c r="H46" s="364">
        <v>-68000</v>
      </c>
    </row>
    <row r="47" spans="1:8">
      <c r="A47" s="23"/>
      <c r="B47" s="68" t="s">
        <v>109</v>
      </c>
      <c r="C47" s="88" t="s">
        <v>37</v>
      </c>
      <c r="D47" s="88" t="s">
        <v>37</v>
      </c>
      <c r="E47" s="88" t="s">
        <v>37</v>
      </c>
      <c r="F47" s="47">
        <v>-87000</v>
      </c>
      <c r="G47" s="300" t="s">
        <v>37</v>
      </c>
      <c r="H47" s="332" t="s">
        <v>37</v>
      </c>
    </row>
    <row r="48" spans="1:8">
      <c r="A48" s="23"/>
      <c r="B48" s="68" t="s">
        <v>110</v>
      </c>
      <c r="C48" s="39">
        <v>152843000</v>
      </c>
      <c r="D48" s="39">
        <v>143140000</v>
      </c>
      <c r="E48" s="39">
        <v>86302000</v>
      </c>
      <c r="F48" s="39">
        <v>266044000</v>
      </c>
      <c r="G48" s="37">
        <v>181486000</v>
      </c>
      <c r="H48" s="365">
        <v>30844000</v>
      </c>
    </row>
    <row r="49" spans="1:20">
      <c r="A49" s="23"/>
      <c r="B49" s="68" t="s">
        <v>82</v>
      </c>
      <c r="C49" s="39">
        <v>29626000</v>
      </c>
      <c r="D49" s="39">
        <v>24895000</v>
      </c>
      <c r="E49" s="39">
        <v>16015000</v>
      </c>
      <c r="F49" s="39">
        <v>27198000</v>
      </c>
      <c r="G49" s="37">
        <v>44919000</v>
      </c>
      <c r="H49" s="365">
        <v>-8865000</v>
      </c>
    </row>
    <row r="50" spans="1:20">
      <c r="A50" s="23"/>
      <c r="B50" s="68" t="s">
        <v>111</v>
      </c>
      <c r="C50" s="88" t="s">
        <v>37</v>
      </c>
      <c r="D50" s="88" t="s">
        <v>37</v>
      </c>
      <c r="E50" s="88" t="s">
        <v>37</v>
      </c>
      <c r="F50" s="39">
        <v>-101191000</v>
      </c>
      <c r="G50" s="37">
        <v>-234565000</v>
      </c>
      <c r="H50" s="364">
        <v>-64503000</v>
      </c>
    </row>
    <row r="51" spans="1:20">
      <c r="A51" s="23"/>
      <c r="B51" s="68" t="s">
        <v>112</v>
      </c>
      <c r="C51" s="88" t="s">
        <v>37</v>
      </c>
      <c r="D51" s="39">
        <v>-4039000</v>
      </c>
      <c r="E51" s="39">
        <v>-230081000</v>
      </c>
      <c r="F51" s="39">
        <v>-1589539000</v>
      </c>
      <c r="G51" s="37">
        <v>-1341476000</v>
      </c>
      <c r="H51" s="364">
        <v>-783899000</v>
      </c>
    </row>
    <row r="52" spans="1:20" ht="28.8">
      <c r="A52" s="23"/>
      <c r="B52" s="68" t="s">
        <v>113</v>
      </c>
      <c r="C52" s="88" t="s">
        <v>37</v>
      </c>
      <c r="D52" s="88" t="s">
        <v>37</v>
      </c>
      <c r="E52" s="39">
        <v>2675000</v>
      </c>
      <c r="F52" s="88" t="s">
        <v>37</v>
      </c>
      <c r="G52" s="88" t="s">
        <v>37</v>
      </c>
      <c r="H52" s="331" t="s">
        <v>37</v>
      </c>
    </row>
    <row r="53" spans="1:20">
      <c r="A53" s="23"/>
      <c r="B53" s="68" t="s">
        <v>114</v>
      </c>
      <c r="C53" s="39">
        <v>985169000</v>
      </c>
      <c r="D53" s="39">
        <v>-47109000</v>
      </c>
      <c r="E53" s="39">
        <v>-125089000</v>
      </c>
      <c r="F53" s="39">
        <v>-956361000</v>
      </c>
      <c r="G53" s="37">
        <v>-1352848000</v>
      </c>
      <c r="H53" s="364">
        <v>-808761000</v>
      </c>
    </row>
    <row r="54" spans="1:20" ht="28.8">
      <c r="A54" s="23"/>
      <c r="B54" s="68" t="s">
        <v>115</v>
      </c>
      <c r="C54" s="39">
        <v>6317000</v>
      </c>
      <c r="D54" s="39">
        <v>-1289000</v>
      </c>
      <c r="E54" s="39">
        <v>-2425000</v>
      </c>
      <c r="F54" s="39">
        <v>6345000</v>
      </c>
      <c r="G54" s="37">
        <v>-8154000</v>
      </c>
      <c r="H54" s="364">
        <v>-896000</v>
      </c>
    </row>
    <row r="55" spans="1:20" ht="28.8">
      <c r="A55" s="23"/>
      <c r="B55" s="68" t="s">
        <v>116</v>
      </c>
      <c r="C55" s="39">
        <v>-271215000</v>
      </c>
      <c r="D55" s="39">
        <v>338347000</v>
      </c>
      <c r="E55" s="39">
        <v>-172026000</v>
      </c>
      <c r="F55" s="39">
        <v>-9224000</v>
      </c>
      <c r="G55" s="37">
        <v>-177243000</v>
      </c>
      <c r="H55" s="364">
        <v>-159063000</v>
      </c>
      <c r="O55" s="246"/>
      <c r="P55" s="246"/>
      <c r="Q55" s="246"/>
      <c r="R55" s="246"/>
      <c r="S55" s="246"/>
      <c r="T55" s="246"/>
    </row>
    <row r="56" spans="1:20" ht="28.8">
      <c r="A56" s="23"/>
      <c r="B56" s="68" t="s">
        <v>117</v>
      </c>
      <c r="C56" s="39">
        <v>1100364000</v>
      </c>
      <c r="D56" s="39">
        <v>829149000</v>
      </c>
      <c r="E56" s="39">
        <v>1167496000</v>
      </c>
      <c r="F56" s="39">
        <v>995470000</v>
      </c>
      <c r="G56" s="37">
        <v>986246000</v>
      </c>
      <c r="H56" s="364">
        <v>809003000</v>
      </c>
      <c r="O56" s="246"/>
      <c r="P56" s="246"/>
      <c r="Q56" s="246"/>
      <c r="R56" s="246"/>
      <c r="S56" s="246"/>
      <c r="T56" s="246"/>
    </row>
    <row r="57" spans="1:20">
      <c r="A57" s="23"/>
      <c r="B57" s="71" t="s">
        <v>118</v>
      </c>
      <c r="C57" s="58">
        <v>829149000</v>
      </c>
      <c r="D57" s="58">
        <v>1167496000</v>
      </c>
      <c r="E57" s="58">
        <v>995470000</v>
      </c>
      <c r="F57" s="58">
        <v>986246000</v>
      </c>
      <c r="G57" s="72">
        <v>809003000</v>
      </c>
      <c r="H57" s="333">
        <v>649940000</v>
      </c>
      <c r="O57" s="246"/>
      <c r="P57" s="246"/>
      <c r="Q57" s="246"/>
      <c r="R57" s="246"/>
      <c r="S57" s="246"/>
      <c r="T57" s="246"/>
    </row>
    <row r="58" spans="1:20" ht="28.8">
      <c r="A58" s="23"/>
      <c r="B58" s="73" t="s">
        <v>119</v>
      </c>
      <c r="C58" s="24"/>
      <c r="D58" s="39"/>
      <c r="E58" s="39"/>
      <c r="F58" s="39"/>
      <c r="G58" s="246"/>
      <c r="H58" s="328"/>
      <c r="O58" s="246"/>
      <c r="P58" s="246"/>
      <c r="Q58" s="246"/>
      <c r="R58" s="246"/>
      <c r="S58" s="246"/>
      <c r="T58" s="246"/>
    </row>
    <row r="59" spans="1:20">
      <c r="A59" s="23"/>
      <c r="B59" s="68" t="s">
        <v>120</v>
      </c>
      <c r="C59" s="39">
        <v>-338328000</v>
      </c>
      <c r="D59" s="39">
        <v>-374460000</v>
      </c>
      <c r="E59" s="39">
        <v>-360688000</v>
      </c>
      <c r="F59" s="39">
        <v>-373183000</v>
      </c>
      <c r="G59" s="169">
        <v>-433959000</v>
      </c>
      <c r="H59" s="332" t="s">
        <v>37</v>
      </c>
      <c r="M59" s="246"/>
      <c r="N59" s="246"/>
      <c r="O59" s="368"/>
      <c r="P59" s="368"/>
      <c r="Q59" s="368"/>
      <c r="R59" s="246"/>
      <c r="S59" s="246"/>
      <c r="T59" s="246"/>
    </row>
    <row r="60" spans="1:20" ht="15" thickBot="1">
      <c r="A60" s="23"/>
      <c r="B60" s="83" t="s">
        <v>121</v>
      </c>
      <c r="C60" s="90">
        <v>-12323000</v>
      </c>
      <c r="D60" s="90">
        <v>-26479000</v>
      </c>
      <c r="E60" s="90">
        <v>-24957000</v>
      </c>
      <c r="F60" s="90">
        <v>-20403000</v>
      </c>
      <c r="G60" s="172">
        <v>-22349000</v>
      </c>
      <c r="H60" s="334" t="s">
        <v>37</v>
      </c>
      <c r="M60" s="246"/>
      <c r="N60" s="246"/>
      <c r="O60" s="368"/>
      <c r="P60" s="246"/>
      <c r="Q60" s="246"/>
      <c r="R60" s="246"/>
      <c r="S60" s="246"/>
      <c r="T60" s="246"/>
    </row>
    <row r="61" spans="1:20">
      <c r="G61" s="246"/>
      <c r="H61" s="246"/>
      <c r="M61" s="246"/>
      <c r="N61" s="246"/>
      <c r="O61" s="246"/>
      <c r="P61" s="246"/>
      <c r="Q61" s="246"/>
      <c r="R61" s="246"/>
      <c r="S61" s="246"/>
      <c r="T61" s="246"/>
    </row>
    <row r="62" spans="1:20">
      <c r="M62" s="246"/>
      <c r="N62" s="246"/>
      <c r="O62" s="246"/>
      <c r="P62" s="246"/>
      <c r="Q62" s="246"/>
      <c r="R62" s="246"/>
      <c r="S62" s="246"/>
      <c r="T62" s="246"/>
    </row>
    <row r="63" spans="1:20">
      <c r="M63" s="246"/>
      <c r="N63" s="246"/>
      <c r="O63" s="246"/>
      <c r="P63" s="246"/>
      <c r="Q63" s="246"/>
      <c r="R63" s="246"/>
      <c r="S63" s="246"/>
      <c r="T63" s="246"/>
    </row>
    <row r="64" spans="1:20">
      <c r="M64" s="246"/>
      <c r="N64" s="246"/>
      <c r="O64" s="246"/>
      <c r="P64" s="246"/>
      <c r="Q64" s="246"/>
      <c r="R64" s="246"/>
      <c r="S64" s="246"/>
      <c r="T64" s="246"/>
    </row>
    <row r="65" spans="7:20">
      <c r="M65" s="246"/>
      <c r="N65" s="246"/>
      <c r="O65" s="246"/>
      <c r="P65" s="246"/>
      <c r="Q65" s="246"/>
      <c r="R65" s="246"/>
      <c r="S65" s="246"/>
      <c r="T65" s="246"/>
    </row>
    <row r="66" spans="7:20">
      <c r="M66" s="246"/>
      <c r="N66" s="246"/>
      <c r="O66" s="246"/>
      <c r="P66" s="246"/>
      <c r="Q66" s="246"/>
      <c r="R66" s="246"/>
      <c r="S66" s="246"/>
      <c r="T66" s="246"/>
    </row>
    <row r="67" spans="7:20">
      <c r="M67" s="246"/>
      <c r="N67" s="246"/>
      <c r="O67" s="246"/>
      <c r="P67" s="246"/>
      <c r="Q67" s="246"/>
      <c r="R67" s="246"/>
      <c r="S67" s="246"/>
      <c r="T67" s="246"/>
    </row>
    <row r="68" spans="7:20">
      <c r="M68" s="246"/>
      <c r="N68" s="246"/>
      <c r="O68" s="246"/>
      <c r="P68" s="246"/>
      <c r="Q68" s="246"/>
      <c r="R68" s="246"/>
      <c r="S68" s="246"/>
      <c r="T68" s="246"/>
    </row>
    <row r="69" spans="7:20">
      <c r="M69" s="246"/>
      <c r="N69" s="246"/>
      <c r="O69" s="246"/>
      <c r="P69" s="246"/>
      <c r="Q69" s="246"/>
      <c r="R69" s="246"/>
      <c r="S69" s="246"/>
      <c r="T69" s="246"/>
    </row>
    <row r="70" spans="7:20">
      <c r="G70" s="246"/>
      <c r="H70" s="246"/>
      <c r="I70" s="246"/>
      <c r="J70" s="246"/>
      <c r="K70" s="246"/>
      <c r="M70" s="246"/>
      <c r="N70" s="246"/>
      <c r="O70" s="246"/>
      <c r="P70" s="246"/>
      <c r="Q70" s="246"/>
      <c r="R70" s="246"/>
      <c r="S70" s="246"/>
      <c r="T70" s="246"/>
    </row>
    <row r="71" spans="7:20">
      <c r="G71" s="246"/>
      <c r="H71" s="246"/>
      <c r="I71" s="246"/>
      <c r="J71" s="246"/>
      <c r="K71" s="246"/>
      <c r="M71" s="246"/>
      <c r="N71" s="246"/>
      <c r="O71" s="246"/>
      <c r="P71" s="246"/>
      <c r="Q71" s="246"/>
      <c r="R71" s="246"/>
      <c r="S71" s="246"/>
      <c r="T71" s="246"/>
    </row>
    <row r="72" spans="7:20">
      <c r="G72" s="246"/>
      <c r="H72" s="246"/>
      <c r="I72" s="246"/>
      <c r="J72" s="246"/>
      <c r="K72" s="246"/>
      <c r="M72" s="246"/>
      <c r="N72" s="246"/>
      <c r="O72" s="246"/>
      <c r="P72" s="246"/>
      <c r="Q72" s="246"/>
      <c r="R72" s="246"/>
      <c r="S72" s="246"/>
      <c r="T72" s="246"/>
    </row>
    <row r="73" spans="7:20">
      <c r="G73" s="246"/>
      <c r="H73" s="368"/>
      <c r="I73" s="368"/>
      <c r="J73" s="368"/>
      <c r="K73" s="246"/>
      <c r="M73" s="246"/>
      <c r="N73" s="246"/>
      <c r="O73" s="246"/>
      <c r="P73" s="246"/>
      <c r="Q73" s="246"/>
      <c r="R73" s="246"/>
      <c r="S73" s="246"/>
      <c r="T73" s="246"/>
    </row>
    <row r="74" spans="7:20">
      <c r="G74" s="246"/>
      <c r="H74" s="368"/>
      <c r="I74" s="246"/>
      <c r="J74" s="246"/>
      <c r="K74" s="246"/>
      <c r="M74" s="246"/>
      <c r="N74" s="246"/>
      <c r="O74" s="246"/>
      <c r="P74" s="246"/>
      <c r="Q74" s="246"/>
      <c r="R74" s="246"/>
      <c r="S74" s="246"/>
      <c r="T74" s="246"/>
    </row>
    <row r="75" spans="7:20">
      <c r="G75" s="246"/>
      <c r="H75" s="246"/>
      <c r="I75" s="246"/>
      <c r="J75" s="246"/>
      <c r="K75" s="246"/>
      <c r="M75" s="246"/>
      <c r="N75" s="246"/>
      <c r="O75" s="246"/>
      <c r="P75" s="246"/>
      <c r="Q75" s="246"/>
      <c r="R75" s="246"/>
      <c r="S75" s="246"/>
      <c r="T75" s="246"/>
    </row>
    <row r="76" spans="7:20">
      <c r="G76" s="246"/>
      <c r="H76" s="246"/>
      <c r="I76" s="246"/>
      <c r="J76" s="246"/>
      <c r="K76" s="246"/>
      <c r="M76" s="246"/>
      <c r="N76" s="246"/>
      <c r="O76" s="246"/>
      <c r="P76" s="246"/>
      <c r="Q76" s="246"/>
      <c r="R76" s="246"/>
      <c r="S76" s="246"/>
      <c r="T76" s="246"/>
    </row>
    <row r="77" spans="7:20">
      <c r="G77" s="246"/>
      <c r="H77" s="246"/>
      <c r="I77" s="246"/>
      <c r="J77" s="246"/>
      <c r="K77" s="246"/>
      <c r="M77" s="246"/>
      <c r="N77" s="246"/>
      <c r="O77" s="246"/>
      <c r="P77" s="246"/>
      <c r="Q77" s="246"/>
      <c r="R77" s="246"/>
      <c r="S77" s="246"/>
      <c r="T77" s="246"/>
    </row>
    <row r="78" spans="7:20">
      <c r="G78" s="246"/>
      <c r="H78" s="246"/>
      <c r="I78" s="246"/>
      <c r="J78" s="246"/>
      <c r="K78" s="246"/>
      <c r="M78" s="246"/>
      <c r="N78" s="246"/>
      <c r="O78" s="246"/>
      <c r="P78" s="246"/>
      <c r="Q78" s="246"/>
      <c r="R78" s="246"/>
      <c r="S78" s="246"/>
      <c r="T78" s="246"/>
    </row>
    <row r="79" spans="7:20">
      <c r="G79" s="246"/>
      <c r="H79" s="246"/>
      <c r="I79" s="246"/>
      <c r="J79" s="246"/>
      <c r="K79" s="246"/>
      <c r="M79" s="246"/>
      <c r="N79" s="246"/>
      <c r="O79" s="246"/>
      <c r="P79" s="246"/>
      <c r="Q79" s="246"/>
      <c r="R79" s="246"/>
      <c r="S79" s="246"/>
      <c r="T79" s="246"/>
    </row>
    <row r="80" spans="7:20">
      <c r="G80" s="246"/>
      <c r="H80" s="246"/>
      <c r="I80" s="246"/>
      <c r="J80" s="246"/>
      <c r="K80" s="246"/>
      <c r="M80" s="246"/>
      <c r="N80" s="246"/>
      <c r="O80" s="246"/>
      <c r="P80" s="246"/>
      <c r="Q80" s="246"/>
      <c r="R80" s="246"/>
      <c r="S80" s="246"/>
      <c r="T80" s="246"/>
    </row>
    <row r="81" spans="7:20">
      <c r="G81" s="246"/>
      <c r="H81" s="246"/>
      <c r="I81" s="246"/>
      <c r="J81" s="246"/>
      <c r="K81" s="246"/>
      <c r="M81" s="246"/>
      <c r="N81" s="246"/>
      <c r="O81" s="246"/>
      <c r="P81" s="246"/>
      <c r="Q81" s="246"/>
      <c r="R81" s="246"/>
      <c r="S81" s="246"/>
      <c r="T81" s="246"/>
    </row>
    <row r="82" spans="7:20">
      <c r="G82" s="246"/>
      <c r="H82" s="246"/>
      <c r="I82" s="246"/>
      <c r="J82" s="246"/>
      <c r="K82" s="246"/>
      <c r="M82" s="246"/>
      <c r="N82" s="246"/>
      <c r="O82" s="246"/>
      <c r="P82" s="246"/>
      <c r="Q82" s="246"/>
      <c r="R82" s="246"/>
      <c r="S82" s="246"/>
    </row>
    <row r="83" spans="7:20">
      <c r="G83" s="246"/>
      <c r="H83" s="246"/>
      <c r="I83" s="246"/>
      <c r="J83" s="246"/>
      <c r="K83" s="246"/>
      <c r="M83" s="246"/>
      <c r="N83" s="246"/>
      <c r="O83" s="246"/>
      <c r="P83" s="246"/>
      <c r="Q83" s="246"/>
      <c r="R83" s="246"/>
      <c r="S83" s="246"/>
    </row>
    <row r="84" spans="7:20">
      <c r="G84" s="246"/>
      <c r="H84" s="246"/>
      <c r="I84" s="246"/>
      <c r="J84" s="246"/>
      <c r="K84" s="246"/>
      <c r="M84" s="246"/>
      <c r="N84" s="246"/>
      <c r="O84" s="246"/>
      <c r="P84" s="246"/>
      <c r="Q84" s="246"/>
      <c r="R84" s="246"/>
      <c r="S84" s="246"/>
    </row>
    <row r="85" spans="7:20">
      <c r="G85" s="246"/>
      <c r="H85" s="246"/>
      <c r="I85" s="246"/>
      <c r="J85" s="246"/>
      <c r="K85" s="246"/>
      <c r="M85" s="246"/>
      <c r="N85" s="246"/>
      <c r="O85" s="246"/>
      <c r="P85" s="246"/>
      <c r="Q85" s="246"/>
      <c r="R85" s="246"/>
      <c r="S85" s="246"/>
    </row>
    <row r="86" spans="7:20">
      <c r="G86" s="246"/>
      <c r="H86" s="246"/>
      <c r="I86" s="246"/>
      <c r="J86" s="246"/>
      <c r="K86" s="246"/>
      <c r="M86" s="246"/>
      <c r="N86" s="246"/>
      <c r="O86" s="246"/>
      <c r="P86" s="246"/>
      <c r="Q86" s="246"/>
      <c r="R86" s="246"/>
      <c r="S86" s="246"/>
    </row>
    <row r="87" spans="7:20">
      <c r="G87" s="246"/>
      <c r="H87" s="246"/>
      <c r="I87" s="246"/>
      <c r="J87" s="246"/>
      <c r="K87" s="246"/>
      <c r="M87" s="246"/>
      <c r="N87" s="246"/>
      <c r="O87" s="246"/>
      <c r="P87" s="246"/>
      <c r="Q87" s="246"/>
      <c r="R87" s="246"/>
      <c r="S87" s="246"/>
    </row>
    <row r="88" spans="7:20">
      <c r="G88" s="246"/>
      <c r="H88" s="246"/>
      <c r="I88" s="246"/>
      <c r="J88" s="246"/>
      <c r="K88" s="246"/>
      <c r="M88" s="246"/>
      <c r="N88" s="246"/>
      <c r="O88" s="246"/>
      <c r="P88" s="246"/>
      <c r="Q88" s="246"/>
      <c r="R88" s="246"/>
      <c r="S88" s="246"/>
    </row>
    <row r="89" spans="7:20">
      <c r="G89" s="246"/>
      <c r="H89" s="246"/>
      <c r="I89" s="246"/>
      <c r="J89" s="246"/>
      <c r="K89" s="246"/>
      <c r="M89" s="246"/>
      <c r="N89" s="246"/>
      <c r="O89" s="246"/>
      <c r="P89" s="246"/>
      <c r="Q89" s="246"/>
      <c r="R89" s="246"/>
      <c r="S89" s="246"/>
    </row>
    <row r="90" spans="7:20">
      <c r="G90" s="246"/>
      <c r="H90" s="246"/>
      <c r="I90" s="246"/>
      <c r="J90" s="246"/>
      <c r="K90" s="246"/>
      <c r="M90" s="246"/>
      <c r="N90" s="246"/>
      <c r="O90" s="246"/>
      <c r="P90" s="246"/>
      <c r="Q90" s="246"/>
      <c r="R90" s="246"/>
      <c r="S90" s="246"/>
    </row>
    <row r="91" spans="7:20">
      <c r="G91" s="246"/>
      <c r="H91" s="246"/>
      <c r="I91" s="246"/>
      <c r="J91" s="246"/>
      <c r="K91" s="246"/>
      <c r="M91" s="246"/>
      <c r="N91" s="246"/>
      <c r="O91" s="246"/>
      <c r="P91" s="246"/>
      <c r="Q91" s="246"/>
      <c r="R91" s="246"/>
      <c r="S91" s="246"/>
    </row>
    <row r="92" spans="7:20">
      <c r="G92" s="246"/>
      <c r="H92" s="246"/>
      <c r="I92" s="246"/>
      <c r="J92" s="246"/>
      <c r="K92" s="246"/>
      <c r="M92" s="246"/>
      <c r="N92" s="246"/>
      <c r="O92" s="246"/>
      <c r="P92" s="246"/>
      <c r="Q92" s="246"/>
      <c r="R92" s="246"/>
      <c r="S92" s="246"/>
    </row>
    <row r="93" spans="7:20">
      <c r="G93" s="246"/>
      <c r="H93" s="246"/>
      <c r="I93" s="246"/>
      <c r="J93" s="246"/>
      <c r="K93" s="246"/>
      <c r="M93" s="246"/>
      <c r="N93" s="246"/>
      <c r="O93" s="246"/>
      <c r="P93" s="246"/>
      <c r="Q93" s="246"/>
    </row>
    <row r="94" spans="7:20">
      <c r="G94" s="246"/>
      <c r="H94" s="246"/>
      <c r="I94" s="246"/>
      <c r="J94" s="246"/>
      <c r="K94" s="246"/>
      <c r="M94" s="246"/>
      <c r="N94" s="246"/>
      <c r="O94" s="246"/>
      <c r="P94" s="246"/>
      <c r="Q94" s="246"/>
    </row>
    <row r="95" spans="7:20">
      <c r="G95" s="246"/>
      <c r="H95" s="246"/>
      <c r="I95" s="246"/>
      <c r="J95" s="246"/>
      <c r="K95" s="246"/>
      <c r="M95" s="246"/>
      <c r="N95" s="246"/>
      <c r="O95" s="246"/>
      <c r="P95" s="246"/>
      <c r="Q95" s="246"/>
    </row>
    <row r="96" spans="7:20">
      <c r="G96" s="246"/>
      <c r="H96" s="246"/>
      <c r="I96" s="246"/>
      <c r="J96" s="246"/>
      <c r="K96" s="246"/>
      <c r="M96" s="246"/>
      <c r="N96" s="246"/>
      <c r="O96" s="246"/>
      <c r="P96" s="246"/>
      <c r="Q96" s="246"/>
    </row>
    <row r="97" spans="7:17">
      <c r="G97" s="246"/>
      <c r="H97" s="246"/>
      <c r="I97" s="246"/>
      <c r="J97" s="246"/>
      <c r="K97" s="246"/>
      <c r="M97" s="246"/>
      <c r="N97" s="246"/>
      <c r="O97" s="246"/>
      <c r="P97" s="246"/>
      <c r="Q97" s="246"/>
    </row>
    <row r="98" spans="7:17">
      <c r="G98" s="246"/>
      <c r="H98" s="246"/>
      <c r="I98" s="246"/>
      <c r="J98" s="246"/>
      <c r="K98" s="246"/>
      <c r="M98" s="246"/>
      <c r="N98" s="246"/>
      <c r="O98" s="246"/>
      <c r="P98" s="246"/>
      <c r="Q98" s="246"/>
    </row>
    <row r="99" spans="7:17">
      <c r="G99" s="246"/>
      <c r="H99" s="246"/>
      <c r="I99" s="246"/>
      <c r="J99" s="246"/>
      <c r="K99" s="246"/>
      <c r="M99" s="246"/>
      <c r="N99" s="246"/>
      <c r="O99" s="246"/>
      <c r="P99" s="246"/>
      <c r="Q99" s="246"/>
    </row>
    <row r="100" spans="7:17">
      <c r="G100" s="246"/>
      <c r="H100" s="246"/>
      <c r="I100" s="246"/>
      <c r="J100" s="246"/>
      <c r="K100" s="246"/>
      <c r="M100" s="246"/>
      <c r="N100" s="246"/>
      <c r="O100" s="246"/>
      <c r="P100" s="246"/>
      <c r="Q100" s="246"/>
    </row>
    <row r="101" spans="7:17">
      <c r="G101" s="246"/>
      <c r="H101" s="246"/>
      <c r="I101" s="246"/>
      <c r="J101" s="246"/>
      <c r="K101" s="246"/>
      <c r="M101" s="246"/>
      <c r="N101" s="246"/>
      <c r="O101" s="246"/>
      <c r="P101" s="246"/>
      <c r="Q101" s="246"/>
    </row>
    <row r="102" spans="7:17">
      <c r="G102" s="246"/>
      <c r="H102" s="246"/>
      <c r="I102" s="246"/>
      <c r="J102" s="246"/>
      <c r="K102" s="246"/>
      <c r="M102" s="246"/>
      <c r="N102" s="246"/>
      <c r="O102" s="246"/>
      <c r="P102" s="246"/>
      <c r="Q102" s="246"/>
    </row>
    <row r="103" spans="7:17">
      <c r="G103" s="246"/>
      <c r="H103" s="246"/>
      <c r="I103" s="246"/>
      <c r="J103" s="246"/>
      <c r="K103" s="246"/>
      <c r="M103" s="246"/>
      <c r="N103" s="246"/>
      <c r="O103" s="246"/>
      <c r="P103" s="246"/>
      <c r="Q103" s="246"/>
    </row>
    <row r="104" spans="7:17">
      <c r="G104" s="246"/>
      <c r="H104" s="246"/>
      <c r="I104" s="246"/>
      <c r="J104" s="246"/>
      <c r="K104" s="246"/>
      <c r="M104" s="246"/>
      <c r="N104" s="246"/>
      <c r="O104" s="246"/>
      <c r="P104" s="246"/>
      <c r="Q104" s="246"/>
    </row>
    <row r="105" spans="7:17">
      <c r="G105" s="246"/>
      <c r="H105" s="246"/>
      <c r="I105" s="246"/>
      <c r="J105" s="246"/>
      <c r="K105" s="246"/>
    </row>
    <row r="106" spans="7:17">
      <c r="G106" s="246"/>
      <c r="H106" s="246"/>
      <c r="I106" s="246"/>
      <c r="J106" s="246"/>
      <c r="K106" s="246"/>
    </row>
    <row r="107" spans="7:17">
      <c r="G107" s="246"/>
      <c r="H107" s="246"/>
      <c r="I107" s="246"/>
      <c r="J107" s="246"/>
      <c r="K107" s="246"/>
    </row>
    <row r="108" spans="7:17">
      <c r="G108" s="246"/>
      <c r="H108" s="246"/>
      <c r="I108" s="246"/>
      <c r="J108" s="246"/>
      <c r="K108" s="246"/>
    </row>
    <row r="109" spans="7:17">
      <c r="G109" s="246"/>
      <c r="H109" s="246"/>
      <c r="I109" s="246"/>
      <c r="J109" s="246"/>
      <c r="K109" s="246"/>
    </row>
    <row r="110" spans="7:17">
      <c r="G110" s="246"/>
      <c r="H110" s="246"/>
      <c r="I110" s="246"/>
      <c r="J110" s="246"/>
      <c r="K110" s="246"/>
    </row>
    <row r="111" spans="7:17">
      <c r="G111" s="246"/>
      <c r="H111" s="246"/>
      <c r="I111" s="246"/>
      <c r="J111" s="246"/>
      <c r="K111" s="246"/>
    </row>
    <row r="112" spans="7:17">
      <c r="G112" s="246"/>
      <c r="H112" s="246"/>
      <c r="I112" s="246"/>
      <c r="J112" s="246"/>
      <c r="K112" s="246"/>
    </row>
    <row r="113" spans="7:11">
      <c r="G113" s="246"/>
      <c r="H113" s="246"/>
      <c r="I113" s="246"/>
      <c r="J113" s="246"/>
      <c r="K113" s="246"/>
    </row>
    <row r="114" spans="7:11">
      <c r="G114" s="246"/>
      <c r="H114" s="246"/>
      <c r="I114" s="246"/>
      <c r="J114" s="246"/>
      <c r="K114" s="246"/>
    </row>
    <row r="115" spans="7:11">
      <c r="G115" s="246"/>
      <c r="H115" s="246"/>
      <c r="I115" s="246"/>
      <c r="J115" s="246"/>
      <c r="K115" s="246"/>
    </row>
    <row r="116" spans="7:11">
      <c r="G116" s="246"/>
      <c r="H116" s="246"/>
      <c r="I116" s="246"/>
      <c r="J116" s="246"/>
      <c r="K116" s="246"/>
    </row>
    <row r="117" spans="7:11">
      <c r="G117" s="246"/>
      <c r="H117" s="246"/>
      <c r="I117" s="246"/>
      <c r="J117" s="246"/>
      <c r="K117" s="246"/>
    </row>
    <row r="118" spans="7:11">
      <c r="G118" s="246"/>
      <c r="H118" s="246"/>
      <c r="I118" s="246"/>
      <c r="J118" s="246"/>
      <c r="K118" s="246"/>
    </row>
    <row r="119" spans="7:11">
      <c r="G119" s="246"/>
      <c r="H119" s="246"/>
      <c r="I119" s="246"/>
      <c r="J119" s="246"/>
      <c r="K119" s="246"/>
    </row>
    <row r="120" spans="7:11">
      <c r="G120" s="246"/>
      <c r="H120" s="246"/>
      <c r="I120" s="246"/>
      <c r="J120" s="246"/>
      <c r="K120" s="246"/>
    </row>
  </sheetData>
  <mergeCells count="4">
    <mergeCell ref="H73:H74"/>
    <mergeCell ref="I73:J73"/>
    <mergeCell ref="O59:O60"/>
    <mergeCell ref="P59:Q5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1266"/>
  <sheetViews>
    <sheetView zoomScale="50" zoomScaleNormal="50" workbookViewId="0">
      <selection activeCell="AA73" sqref="AA73"/>
    </sheetView>
  </sheetViews>
  <sheetFormatPr defaultRowHeight="14.4"/>
  <cols>
    <col min="1" max="1" width="9.33203125"/>
    <col min="2" max="2" width="18.88671875"/>
    <col min="3" max="3" width="8.5546875"/>
    <col min="4" max="4" width="7"/>
    <col min="5" max="5" width="9.88671875"/>
    <col min="6" max="6" width="7"/>
    <col min="7" max="7" width="9.33203125"/>
    <col min="8" max="8" width="11.5546875"/>
    <col min="9" max="9" width="6.6640625" customWidth="1"/>
    <col min="10" max="10" width="6.6640625"/>
    <col min="11" max="11" width="7"/>
    <col min="12" max="12" width="9.33203125"/>
    <col min="13" max="13" width="20.44140625"/>
    <col min="14" max="14" width="8.33203125"/>
    <col min="15" max="15" width="7"/>
    <col min="16" max="16" width="9.88671875"/>
    <col min="17" max="17" width="7"/>
    <col min="18" max="19" width="9.33203125"/>
    <col min="20" max="20" width="21.109375"/>
    <col min="21" max="21" width="8.33203125"/>
    <col min="22" max="22" width="7"/>
    <col min="23" max="23" width="9.88671875"/>
    <col min="24" max="24" width="7"/>
    <col min="25" max="33" width="9.33203125"/>
    <col min="34" max="1025" width="8.5546875"/>
  </cols>
  <sheetData>
    <row r="1" spans="1:24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</row>
    <row r="2" spans="1:24">
      <c r="A2" s="91"/>
      <c r="B2" s="92"/>
      <c r="C2" s="93"/>
      <c r="D2" s="93"/>
      <c r="E2" s="93"/>
      <c r="F2" s="94"/>
      <c r="G2" s="95"/>
      <c r="H2" s="95"/>
      <c r="I2" s="95"/>
      <c r="J2" s="95"/>
      <c r="K2" s="91"/>
      <c r="L2" s="91"/>
      <c r="M2" s="92"/>
      <c r="N2" s="93"/>
      <c r="O2" s="93"/>
      <c r="P2" s="93"/>
      <c r="Q2" s="94"/>
      <c r="R2" s="91"/>
      <c r="S2" s="91"/>
      <c r="T2" s="92"/>
      <c r="U2" s="93"/>
      <c r="V2" s="93"/>
      <c r="W2" s="93"/>
      <c r="X2" s="94"/>
    </row>
    <row r="3" spans="1:24">
      <c r="A3" s="91"/>
      <c r="B3" s="96"/>
      <c r="C3" s="97"/>
      <c r="D3" s="97"/>
      <c r="E3" s="97"/>
      <c r="F3" s="98"/>
      <c r="G3" s="91"/>
      <c r="H3" s="91"/>
      <c r="I3" s="91"/>
      <c r="J3" s="91"/>
      <c r="K3" s="91"/>
      <c r="L3" s="91"/>
      <c r="M3" s="96"/>
      <c r="N3" s="97"/>
      <c r="O3" s="97"/>
      <c r="P3" s="97"/>
      <c r="Q3" s="98"/>
      <c r="R3" s="91"/>
      <c r="S3" s="91"/>
      <c r="T3" s="96"/>
      <c r="U3" s="97"/>
      <c r="V3" s="97"/>
      <c r="W3" s="97"/>
      <c r="X3" s="98"/>
    </row>
    <row r="4" spans="1:24">
      <c r="A4" s="91"/>
      <c r="B4" s="7" t="s">
        <v>122</v>
      </c>
      <c r="C4" s="95"/>
      <c r="D4" s="95"/>
      <c r="E4" s="95"/>
      <c r="F4" s="99"/>
      <c r="G4" s="95"/>
      <c r="H4" s="95"/>
      <c r="I4" s="95"/>
      <c r="J4" s="95"/>
      <c r="K4" s="91"/>
      <c r="L4" s="91"/>
      <c r="M4" s="7" t="s">
        <v>123</v>
      </c>
      <c r="N4" s="95"/>
      <c r="O4" s="95"/>
      <c r="P4" s="95"/>
      <c r="Q4" s="99"/>
      <c r="R4" s="91"/>
      <c r="S4" s="91"/>
      <c r="T4" s="7" t="s">
        <v>124</v>
      </c>
      <c r="U4" s="95"/>
      <c r="V4" s="95"/>
      <c r="W4" s="95"/>
      <c r="X4" s="99"/>
    </row>
    <row r="5" spans="1:24">
      <c r="A5" s="91"/>
      <c r="B5" s="7"/>
      <c r="C5" s="95"/>
      <c r="D5" s="95"/>
      <c r="E5" s="95"/>
      <c r="F5" s="99"/>
      <c r="G5" s="95"/>
      <c r="H5" s="95"/>
      <c r="I5" s="95"/>
      <c r="J5" s="95"/>
      <c r="K5" s="91"/>
      <c r="L5" s="91"/>
      <c r="M5" s="7"/>
      <c r="N5" s="95"/>
      <c r="O5" s="95"/>
      <c r="P5" s="95"/>
      <c r="Q5" s="99"/>
      <c r="R5" s="91"/>
      <c r="S5" s="91"/>
      <c r="T5" s="7"/>
      <c r="U5" s="95"/>
      <c r="V5" s="95"/>
      <c r="W5" s="95"/>
      <c r="X5" s="99"/>
    </row>
    <row r="6" spans="1:24">
      <c r="A6" s="91"/>
      <c r="B6" s="7"/>
      <c r="C6" s="370" t="s">
        <v>125</v>
      </c>
      <c r="D6" s="370"/>
      <c r="E6" s="369" t="s">
        <v>126</v>
      </c>
      <c r="F6" s="369"/>
      <c r="G6" s="100"/>
      <c r="H6" s="100"/>
      <c r="I6" s="100"/>
      <c r="J6" s="100"/>
      <c r="K6" s="91"/>
      <c r="L6" s="91"/>
      <c r="M6" s="7"/>
      <c r="N6" s="370" t="s">
        <v>125</v>
      </c>
      <c r="O6" s="370"/>
      <c r="P6" s="369" t="s">
        <v>126</v>
      </c>
      <c r="Q6" s="369"/>
      <c r="R6" s="91"/>
      <c r="S6" s="91"/>
      <c r="T6" s="7"/>
      <c r="U6" s="370" t="s">
        <v>125</v>
      </c>
      <c r="V6" s="370"/>
      <c r="W6" s="369" t="s">
        <v>126</v>
      </c>
      <c r="X6" s="369"/>
    </row>
    <row r="7" spans="1:24">
      <c r="A7" s="91"/>
      <c r="B7" s="101" t="s">
        <v>127</v>
      </c>
      <c r="C7" s="102" t="s">
        <v>128</v>
      </c>
      <c r="D7" s="103" t="s">
        <v>129</v>
      </c>
      <c r="E7" s="102" t="s">
        <v>128</v>
      </c>
      <c r="F7" s="104" t="s">
        <v>129</v>
      </c>
      <c r="G7" s="95"/>
      <c r="H7" s="95"/>
      <c r="I7" s="95"/>
      <c r="J7" s="95"/>
      <c r="K7" s="91"/>
      <c r="L7" s="91"/>
      <c r="M7" s="105" t="s">
        <v>127</v>
      </c>
      <c r="N7" s="106" t="s">
        <v>128</v>
      </c>
      <c r="O7" s="103" t="s">
        <v>129</v>
      </c>
      <c r="P7" s="102" t="s">
        <v>128</v>
      </c>
      <c r="Q7" s="104" t="s">
        <v>129</v>
      </c>
      <c r="R7" s="91"/>
      <c r="S7" s="91"/>
      <c r="T7" s="105" t="s">
        <v>127</v>
      </c>
      <c r="U7" s="106" t="s">
        <v>128</v>
      </c>
      <c r="V7" s="103" t="s">
        <v>129</v>
      </c>
      <c r="W7" s="102" t="s">
        <v>128</v>
      </c>
      <c r="X7" s="104" t="s">
        <v>129</v>
      </c>
    </row>
    <row r="8" spans="1:24">
      <c r="A8" s="91"/>
      <c r="B8" s="107">
        <v>42139</v>
      </c>
      <c r="C8" s="108">
        <v>67.19</v>
      </c>
      <c r="D8" s="109">
        <f>(C9-C10)/C10</f>
        <v>-2.9761904761905185E-3</v>
      </c>
      <c r="E8" s="110">
        <v>2122.7299800000001</v>
      </c>
      <c r="F8" s="111">
        <f>(E9-E10)/E10</f>
        <v>1.0779287968236914E-2</v>
      </c>
      <c r="G8" s="112"/>
      <c r="H8" s="112"/>
      <c r="I8" s="112"/>
      <c r="J8" s="112"/>
      <c r="K8" s="91"/>
      <c r="L8" s="91"/>
      <c r="M8" s="107">
        <v>42135</v>
      </c>
      <c r="N8" s="113">
        <v>67.19</v>
      </c>
      <c r="O8" s="109">
        <f>(N9-N10)/N10</f>
        <v>-1.0953702351394772E-2</v>
      </c>
      <c r="P8">
        <v>2122.7299800000001</v>
      </c>
      <c r="Q8" s="111">
        <f>(P9-P10)/P10</f>
        <v>3.7044523532446462E-3</v>
      </c>
      <c r="R8" s="91"/>
      <c r="S8" s="91"/>
      <c r="T8" s="114">
        <v>42125</v>
      </c>
      <c r="U8" s="115">
        <v>67.19</v>
      </c>
      <c r="V8" s="109">
        <f>(U9-U10)/U10</f>
        <v>5.6858481060382403E-2</v>
      </c>
      <c r="W8">
        <v>2122.7299800000001</v>
      </c>
      <c r="X8" s="111">
        <f>(W9-W10)/W10</f>
        <v>8.5208211932406332E-3</v>
      </c>
    </row>
    <row r="9" spans="1:24">
      <c r="A9" s="91"/>
      <c r="B9" s="107">
        <v>42138</v>
      </c>
      <c r="C9" s="108">
        <v>67</v>
      </c>
      <c r="D9" s="109">
        <f t="shared" ref="D9:D72" si="0">(C9-C10)/C10</f>
        <v>-2.9761904761905185E-3</v>
      </c>
      <c r="E9" s="110">
        <v>2121.1001000000001</v>
      </c>
      <c r="F9" s="111">
        <f t="shared" ref="F9:F72" si="1">(E9-E10)/E10</f>
        <v>1.0779287968236914E-2</v>
      </c>
      <c r="G9" s="112"/>
      <c r="H9" s="112"/>
      <c r="I9" s="112"/>
      <c r="J9" s="112"/>
      <c r="K9" s="91"/>
      <c r="L9" s="91"/>
      <c r="M9" s="107">
        <v>42128</v>
      </c>
      <c r="N9" s="113">
        <v>67.72</v>
      </c>
      <c r="O9" s="109">
        <f t="shared" ref="O9:O72" si="2">(N9-N10)/N10</f>
        <v>-1.0953702351394772E-2</v>
      </c>
      <c r="P9">
        <v>2116.1001000000001</v>
      </c>
      <c r="Q9" s="111">
        <f t="shared" ref="Q9:Q72" si="3">(P9-P10)/P10</f>
        <v>3.7044523532446462E-3</v>
      </c>
      <c r="R9" s="91"/>
      <c r="S9" s="91"/>
      <c r="T9" s="116">
        <v>42095</v>
      </c>
      <c r="U9" s="115">
        <v>66.94</v>
      </c>
      <c r="V9" s="109">
        <f t="shared" ref="V9:V40" si="4">(U9-U10)/U10</f>
        <v>5.6858481060382403E-2</v>
      </c>
      <c r="W9">
        <v>2085.51001</v>
      </c>
      <c r="X9" s="111">
        <f t="shared" ref="X9:X40" si="5">(W9-W10)/W10</f>
        <v>8.5208211932406332E-3</v>
      </c>
    </row>
    <row r="10" spans="1:24">
      <c r="A10" s="91"/>
      <c r="B10" s="107">
        <v>42137</v>
      </c>
      <c r="C10" s="108">
        <v>67.2</v>
      </c>
      <c r="D10" s="109">
        <f t="shared" si="0"/>
        <v>7.9496025198740224E-3</v>
      </c>
      <c r="E10" s="110">
        <v>2098.4799800000001</v>
      </c>
      <c r="F10" s="111">
        <f t="shared" si="1"/>
        <v>-3.0495634523286546E-4</v>
      </c>
      <c r="G10" s="112"/>
      <c r="H10" s="112"/>
      <c r="I10" s="112"/>
      <c r="J10" s="112"/>
      <c r="K10" s="91"/>
      <c r="L10" s="91"/>
      <c r="M10" s="107">
        <v>42121</v>
      </c>
      <c r="N10" s="113">
        <v>68.47</v>
      </c>
      <c r="O10" s="109">
        <f t="shared" si="2"/>
        <v>1.2575636309214228E-2</v>
      </c>
      <c r="P10">
        <v>2108.2900399999999</v>
      </c>
      <c r="Q10" s="111">
        <f t="shared" si="3"/>
        <v>-4.4387517844091673E-3</v>
      </c>
      <c r="R10" s="91"/>
      <c r="S10" s="91"/>
      <c r="T10" s="116">
        <v>42065</v>
      </c>
      <c r="U10" s="115">
        <v>63.338659999999997</v>
      </c>
      <c r="V10" s="109">
        <f t="shared" si="4"/>
        <v>-0.20405360675395032</v>
      </c>
      <c r="W10">
        <v>2067.8898899999999</v>
      </c>
      <c r="X10" s="111">
        <f t="shared" si="5"/>
        <v>-1.7396108339273023E-2</v>
      </c>
    </row>
    <row r="11" spans="1:24">
      <c r="A11" s="91"/>
      <c r="B11" s="107">
        <v>42136</v>
      </c>
      <c r="C11" s="108">
        <v>66.67</v>
      </c>
      <c r="D11" s="109">
        <f t="shared" si="0"/>
        <v>-1.6231370813044037E-2</v>
      </c>
      <c r="E11" s="110">
        <v>2099.12012</v>
      </c>
      <c r="F11" s="111">
        <f t="shared" si="1"/>
        <v>-2.9496372369315774E-3</v>
      </c>
      <c r="G11" s="112"/>
      <c r="H11" s="112"/>
      <c r="I11" s="117" t="s">
        <v>130</v>
      </c>
      <c r="J11" s="118" t="s">
        <v>131</v>
      </c>
      <c r="K11" s="119" t="s">
        <v>132</v>
      </c>
      <c r="L11" s="91"/>
      <c r="M11" s="107">
        <v>42114</v>
      </c>
      <c r="N11" s="113">
        <v>67.619640000000004</v>
      </c>
      <c r="O11" s="109">
        <f t="shared" si="2"/>
        <v>1.3579975438317375E-2</v>
      </c>
      <c r="P11">
        <v>2117.6899400000002</v>
      </c>
      <c r="Q11" s="111">
        <f t="shared" si="3"/>
        <v>1.7542937769921906E-2</v>
      </c>
      <c r="R11" s="91"/>
      <c r="S11" s="91"/>
      <c r="T11" s="116">
        <v>42037</v>
      </c>
      <c r="U11" s="115">
        <v>79.576539999999994</v>
      </c>
      <c r="V11" s="109">
        <f t="shared" si="4"/>
        <v>5.6969240698352533E-2</v>
      </c>
      <c r="W11">
        <v>2104.5</v>
      </c>
      <c r="X11" s="111">
        <f t="shared" si="5"/>
        <v>5.4892511014553995E-2</v>
      </c>
    </row>
    <row r="12" spans="1:24">
      <c r="A12" s="91"/>
      <c r="B12" s="107">
        <v>42135</v>
      </c>
      <c r="C12" s="108">
        <v>67.77</v>
      </c>
      <c r="D12" s="109">
        <f t="shared" si="0"/>
        <v>7.3833431777904841E-4</v>
      </c>
      <c r="E12" s="110">
        <v>2105.3300800000002</v>
      </c>
      <c r="F12" s="111">
        <f t="shared" si="1"/>
        <v>-5.0895607443144728E-3</v>
      </c>
      <c r="G12" s="112"/>
      <c r="H12" s="120" t="s">
        <v>133</v>
      </c>
      <c r="I12" s="121">
        <f>SLOPE(D8:D1265,F8:F1265)</f>
        <v>1.4141960436165009</v>
      </c>
      <c r="J12" s="122">
        <f>SLOPE(O8:O267,Q8:Q267)</f>
        <v>1.7446682504845037</v>
      </c>
      <c r="K12" s="123">
        <f>SLOPE(V8:V67,X8:X67)</f>
        <v>1.7059073987637985</v>
      </c>
      <c r="L12" s="91"/>
      <c r="M12" s="107">
        <v>42107</v>
      </c>
      <c r="N12" s="113">
        <v>66.713669999999993</v>
      </c>
      <c r="O12" s="109">
        <f t="shared" si="2"/>
        <v>-5.1924156968052387E-2</v>
      </c>
      <c r="P12">
        <v>2081.1799299999998</v>
      </c>
      <c r="Q12" s="111">
        <f t="shared" si="3"/>
        <v>-9.9331747923510853E-3</v>
      </c>
      <c r="R12" s="91"/>
      <c r="S12" s="91"/>
      <c r="T12" s="116">
        <v>42006</v>
      </c>
      <c r="U12" s="115">
        <v>75.287469999999999</v>
      </c>
      <c r="V12" s="109">
        <f t="shared" si="4"/>
        <v>-0.22525008108958053</v>
      </c>
      <c r="W12">
        <v>1994.98999</v>
      </c>
      <c r="X12" s="111">
        <f t="shared" si="5"/>
        <v>-3.1040804849230337E-2</v>
      </c>
    </row>
    <row r="13" spans="1:24">
      <c r="A13" s="91"/>
      <c r="B13" s="107">
        <v>42132</v>
      </c>
      <c r="C13" s="108">
        <v>67.72</v>
      </c>
      <c r="D13" s="109">
        <f t="shared" si="0"/>
        <v>1.696951494218344E-2</v>
      </c>
      <c r="E13" s="110">
        <v>2116.1001000000001</v>
      </c>
      <c r="F13" s="111">
        <f t="shared" si="1"/>
        <v>1.3457902298850627E-2</v>
      </c>
      <c r="G13" s="112"/>
      <c r="H13" s="124" t="s">
        <v>134</v>
      </c>
      <c r="I13" s="125">
        <f>CORREL(D8:D1265,F8:F1265)</f>
        <v>0.5960908667906607</v>
      </c>
      <c r="J13" s="126">
        <f>CORREL(O8:O267,Q8:Q267)</f>
        <v>0.64146451939000237</v>
      </c>
      <c r="K13" s="127">
        <f>CORREL(V7:V67,X7:X67)</f>
        <v>0.56696035403095713</v>
      </c>
      <c r="L13" s="91"/>
      <c r="M13" s="107">
        <v>42100</v>
      </c>
      <c r="N13" s="113">
        <v>70.367440000000002</v>
      </c>
      <c r="O13" s="109">
        <f t="shared" si="2"/>
        <v>9.4625979591335244E-2</v>
      </c>
      <c r="P13">
        <v>2102.0600599999998</v>
      </c>
      <c r="Q13" s="111">
        <f t="shared" si="3"/>
        <v>1.6981509404758694E-2</v>
      </c>
      <c r="R13" s="91"/>
      <c r="S13" s="91"/>
      <c r="T13" s="116">
        <v>41974</v>
      </c>
      <c r="U13" s="115">
        <v>97.176479999999998</v>
      </c>
      <c r="V13" s="109">
        <f t="shared" si="4"/>
        <v>-5.2967244519207576E-2</v>
      </c>
      <c r="W13">
        <v>2058.8998999999999</v>
      </c>
      <c r="X13" s="111">
        <f t="shared" si="5"/>
        <v>-4.1885893268802585E-3</v>
      </c>
    </row>
    <row r="14" spans="1:24">
      <c r="A14" s="91"/>
      <c r="B14" s="107">
        <v>42131</v>
      </c>
      <c r="C14" s="108">
        <v>66.59</v>
      </c>
      <c r="D14" s="109">
        <f t="shared" si="0"/>
        <v>-7.5030012004797652E-4</v>
      </c>
      <c r="E14" s="110">
        <v>2088</v>
      </c>
      <c r="F14" s="111">
        <f t="shared" si="1"/>
        <v>3.7738145698058161E-3</v>
      </c>
      <c r="G14" s="112"/>
      <c r="H14" s="124" t="s">
        <v>135</v>
      </c>
      <c r="I14" s="125">
        <f>RSQ(D8:D1265,F8:F1265)</f>
        <v>0.35532432147124104</v>
      </c>
      <c r="J14" s="126">
        <f>RSQ(O8:O267,Q8:Q267)</f>
        <v>0.41147672963624687</v>
      </c>
      <c r="K14" s="127">
        <f>RSQ(V7:V66,X7:X66)</f>
        <v>0.30857963434649033</v>
      </c>
      <c r="L14" s="91"/>
      <c r="M14" s="107">
        <v>42093</v>
      </c>
      <c r="N14" s="113">
        <v>64.284459999999996</v>
      </c>
      <c r="O14" s="109">
        <f t="shared" si="2"/>
        <v>-3.0962125902189984E-4</v>
      </c>
      <c r="P14">
        <v>2066.9599600000001</v>
      </c>
      <c r="Q14" s="111">
        <f t="shared" si="3"/>
        <v>2.8820389624357973E-3</v>
      </c>
      <c r="R14" s="91"/>
      <c r="S14" s="91"/>
      <c r="T14" s="116">
        <v>41946</v>
      </c>
      <c r="U14" s="115">
        <v>102.61153</v>
      </c>
      <c r="V14" s="109">
        <f t="shared" si="4"/>
        <v>9.900140272943711E-2</v>
      </c>
      <c r="W14">
        <v>2067.5600599999998</v>
      </c>
      <c r="X14" s="111">
        <f t="shared" si="5"/>
        <v>2.4533588748207578E-2</v>
      </c>
    </row>
    <row r="15" spans="1:24">
      <c r="A15" s="91"/>
      <c r="B15" s="107">
        <v>42130</v>
      </c>
      <c r="C15" s="108">
        <v>66.64</v>
      </c>
      <c r="D15" s="109">
        <f t="shared" si="0"/>
        <v>-4.927579513214847E-3</v>
      </c>
      <c r="E15" s="110">
        <v>2080.1498999999999</v>
      </c>
      <c r="F15" s="111">
        <f t="shared" si="1"/>
        <v>-4.4557254880348354E-3</v>
      </c>
      <c r="G15" s="112"/>
      <c r="H15" s="128" t="s">
        <v>136</v>
      </c>
      <c r="I15" s="129">
        <f>COUNT(D8:D1265)</f>
        <v>1258</v>
      </c>
      <c r="J15" s="130">
        <f>COUNT(O8:O267)</f>
        <v>260</v>
      </c>
      <c r="K15" s="91">
        <f>COUNT(V8:V67)</f>
        <v>60</v>
      </c>
      <c r="L15" s="91"/>
      <c r="M15" s="107">
        <v>42086</v>
      </c>
      <c r="N15" s="113">
        <v>64.304370000000006</v>
      </c>
      <c r="O15" s="109">
        <f t="shared" si="2"/>
        <v>-0.25818308043286858</v>
      </c>
      <c r="P15">
        <v>2061.0200199999999</v>
      </c>
      <c r="Q15" s="111">
        <f t="shared" si="3"/>
        <v>-2.2332943298091101E-2</v>
      </c>
      <c r="R15" s="91"/>
      <c r="S15" s="91"/>
      <c r="T15" s="116">
        <v>41913</v>
      </c>
      <c r="U15" s="115">
        <v>93.36797</v>
      </c>
      <c r="V15" s="109">
        <f t="shared" si="4"/>
        <v>-3.5714554974708788E-2</v>
      </c>
      <c r="W15">
        <v>2018.0500500000001</v>
      </c>
      <c r="X15" s="111">
        <f t="shared" si="5"/>
        <v>2.3201460775008509E-2</v>
      </c>
    </row>
    <row r="16" spans="1:24">
      <c r="A16" s="91"/>
      <c r="B16" s="107">
        <v>42129</v>
      </c>
      <c r="C16" s="108">
        <v>66.97</v>
      </c>
      <c r="D16" s="109">
        <f t="shared" si="0"/>
        <v>-7.9988149903718886E-3</v>
      </c>
      <c r="E16" s="110">
        <v>2089.4599600000001</v>
      </c>
      <c r="F16" s="111">
        <f t="shared" si="1"/>
        <v>-1.1837384011451336E-2</v>
      </c>
      <c r="G16" s="112"/>
      <c r="H16" s="112"/>
      <c r="I16" s="112"/>
      <c r="J16" s="112"/>
      <c r="K16" s="91"/>
      <c r="L16" s="91"/>
      <c r="M16" s="107">
        <v>42079</v>
      </c>
      <c r="N16" s="113">
        <v>86.684960000000004</v>
      </c>
      <c r="O16" s="109">
        <f t="shared" si="2"/>
        <v>3.8773588715451647E-2</v>
      </c>
      <c r="P16">
        <v>2108.1001000000001</v>
      </c>
      <c r="Q16" s="111">
        <f t="shared" si="3"/>
        <v>2.6638844192015509E-2</v>
      </c>
      <c r="R16" s="91"/>
      <c r="S16" s="91"/>
      <c r="T16" s="116">
        <v>41884</v>
      </c>
      <c r="U16" s="115">
        <v>96.826070000000001</v>
      </c>
      <c r="V16" s="109">
        <f t="shared" si="4"/>
        <v>-1.0202822402212658E-4</v>
      </c>
      <c r="W16">
        <v>1972.2900400000001</v>
      </c>
      <c r="X16" s="111">
        <f t="shared" si="5"/>
        <v>-1.551383918097995E-2</v>
      </c>
    </row>
    <row r="17" spans="1:24">
      <c r="A17" s="91"/>
      <c r="B17" s="107">
        <v>42128</v>
      </c>
      <c r="C17" s="108">
        <v>67.510000000000005</v>
      </c>
      <c r="D17" s="109">
        <f t="shared" si="0"/>
        <v>-1.4020739009785217E-2</v>
      </c>
      <c r="E17" s="110">
        <v>2114.48999</v>
      </c>
      <c r="F17" s="111">
        <f t="shared" si="1"/>
        <v>2.9407481334969318E-3</v>
      </c>
      <c r="G17" s="112"/>
      <c r="H17" s="112"/>
      <c r="I17" s="112"/>
      <c r="J17" s="112"/>
      <c r="K17" s="91"/>
      <c r="L17" s="91"/>
      <c r="M17" s="107">
        <v>42072</v>
      </c>
      <c r="N17" s="113">
        <v>83.449330000000003</v>
      </c>
      <c r="O17" s="109">
        <f t="shared" si="2"/>
        <v>3.9176716376946447E-2</v>
      </c>
      <c r="P17">
        <v>2053.3998999999999</v>
      </c>
      <c r="Q17" s="111">
        <f t="shared" si="3"/>
        <v>-8.6228237467878676E-3</v>
      </c>
      <c r="R17" s="91"/>
      <c r="S17" s="91"/>
      <c r="T17" s="116">
        <v>41852</v>
      </c>
      <c r="U17" s="115">
        <v>96.835949999999997</v>
      </c>
      <c r="V17" s="109">
        <f t="shared" si="4"/>
        <v>6.8149556457826471E-2</v>
      </c>
      <c r="W17">
        <v>2003.37</v>
      </c>
      <c r="X17" s="111">
        <f t="shared" si="5"/>
        <v>3.7655300229344171E-2</v>
      </c>
    </row>
    <row r="18" spans="1:24">
      <c r="A18" s="91"/>
      <c r="B18" s="107">
        <v>42125</v>
      </c>
      <c r="C18" s="108">
        <v>68.47</v>
      </c>
      <c r="D18" s="109">
        <f t="shared" si="0"/>
        <v>2.2856289214221708E-2</v>
      </c>
      <c r="E18" s="110">
        <v>2108.2900399999999</v>
      </c>
      <c r="F18" s="111">
        <f t="shared" si="1"/>
        <v>1.0923001995085077E-2</v>
      </c>
      <c r="G18" s="112"/>
      <c r="H18" s="112"/>
      <c r="I18" s="112"/>
      <c r="J18" s="112"/>
      <c r="K18" s="91"/>
      <c r="L18" s="91"/>
      <c r="M18" s="107">
        <v>42065</v>
      </c>
      <c r="N18" s="113">
        <v>80.303309999999996</v>
      </c>
      <c r="O18" s="109">
        <f t="shared" si="2"/>
        <v>9.1329680833069898E-3</v>
      </c>
      <c r="P18">
        <v>2071.26001</v>
      </c>
      <c r="Q18" s="111">
        <f t="shared" si="3"/>
        <v>-1.5794720836303178E-2</v>
      </c>
      <c r="R18" s="91"/>
      <c r="S18" s="91"/>
      <c r="T18" s="116">
        <v>41821</v>
      </c>
      <c r="U18" s="115">
        <v>90.657669999999996</v>
      </c>
      <c r="V18" s="109">
        <f t="shared" si="4"/>
        <v>-0.1189724813223877</v>
      </c>
      <c r="W18">
        <v>1930.67004</v>
      </c>
      <c r="X18" s="111">
        <f t="shared" si="5"/>
        <v>-1.5079832622496722E-2</v>
      </c>
    </row>
    <row r="19" spans="1:24">
      <c r="A19" s="91"/>
      <c r="B19" s="107">
        <v>42124</v>
      </c>
      <c r="C19" s="108">
        <v>66.94</v>
      </c>
      <c r="D19" s="109">
        <f t="shared" si="0"/>
        <v>-8.8834777736864542E-3</v>
      </c>
      <c r="E19" s="110">
        <v>2085.51001</v>
      </c>
      <c r="F19" s="111">
        <f t="shared" si="1"/>
        <v>-1.0128907604769862E-2</v>
      </c>
      <c r="G19" s="112"/>
      <c r="H19" s="112"/>
      <c r="I19" s="112"/>
      <c r="J19" s="112"/>
      <c r="K19" s="91"/>
      <c r="L19" s="91"/>
      <c r="M19" s="107">
        <v>42058</v>
      </c>
      <c r="N19" s="113">
        <v>79.576539999999994</v>
      </c>
      <c r="O19" s="109">
        <f t="shared" si="2"/>
        <v>-2.8990138781865332E-2</v>
      </c>
      <c r="P19">
        <v>2104.5</v>
      </c>
      <c r="Q19" s="111">
        <f t="shared" si="3"/>
        <v>-2.748448022829658E-3</v>
      </c>
      <c r="R19" s="91"/>
      <c r="S19" s="91"/>
      <c r="T19" s="116">
        <v>41792</v>
      </c>
      <c r="U19" s="115">
        <v>102.89993</v>
      </c>
      <c r="V19" s="109">
        <f t="shared" si="4"/>
        <v>8.0720417752814091E-2</v>
      </c>
      <c r="W19">
        <v>1960.2299800000001</v>
      </c>
      <c r="X19" s="111">
        <f t="shared" si="5"/>
        <v>1.9058329539822561E-2</v>
      </c>
    </row>
    <row r="20" spans="1:24">
      <c r="A20" s="91"/>
      <c r="B20" s="107">
        <v>42123</v>
      </c>
      <c r="C20" s="108">
        <v>67.539990000000003</v>
      </c>
      <c r="D20" s="109">
        <f t="shared" si="0"/>
        <v>-1.2374709828364633E-2</v>
      </c>
      <c r="E20" s="110">
        <v>2106.8501000000001</v>
      </c>
      <c r="F20" s="111">
        <f t="shared" si="1"/>
        <v>-3.7403345829297454E-3</v>
      </c>
      <c r="G20" s="112"/>
      <c r="H20" s="112"/>
      <c r="I20" s="112"/>
      <c r="J20" s="112"/>
      <c r="K20" s="91"/>
      <c r="L20" s="91"/>
      <c r="M20" s="107">
        <v>42052</v>
      </c>
      <c r="N20" s="113">
        <v>81.952349999999996</v>
      </c>
      <c r="O20" s="109">
        <f t="shared" si="2"/>
        <v>-2.1736041515206888E-3</v>
      </c>
      <c r="P20">
        <v>2110.3000499999998</v>
      </c>
      <c r="Q20" s="111">
        <f t="shared" si="3"/>
        <v>6.3472215239328798E-3</v>
      </c>
      <c r="R20" s="91"/>
      <c r="S20" s="91"/>
      <c r="T20" s="116">
        <v>41760</v>
      </c>
      <c r="U20" s="115">
        <v>95.214200000000005</v>
      </c>
      <c r="V20" s="109">
        <f t="shared" si="4"/>
        <v>0.14024421059085795</v>
      </c>
      <c r="W20">
        <v>1923.5699500000001</v>
      </c>
      <c r="X20" s="111">
        <f t="shared" si="5"/>
        <v>2.1030282678157198E-2</v>
      </c>
    </row>
    <row r="21" spans="1:24">
      <c r="A21" s="91"/>
      <c r="B21" s="107">
        <v>42122</v>
      </c>
      <c r="C21" s="108">
        <v>68.386250000000004</v>
      </c>
      <c r="D21" s="109">
        <f t="shared" si="0"/>
        <v>1.5073307036065398E-2</v>
      </c>
      <c r="E21" s="110">
        <v>2114.76001</v>
      </c>
      <c r="F21" s="111">
        <f t="shared" si="1"/>
        <v>2.7692326980344262E-3</v>
      </c>
      <c r="G21" s="112"/>
      <c r="H21" s="112"/>
      <c r="I21" s="112"/>
      <c r="J21" s="112"/>
      <c r="K21" s="91"/>
      <c r="L21" s="91"/>
      <c r="M21" s="107">
        <v>42044</v>
      </c>
      <c r="N21" s="113">
        <v>82.130870000000002</v>
      </c>
      <c r="O21" s="109">
        <f t="shared" si="2"/>
        <v>6.8929820353233751E-2</v>
      </c>
      <c r="P21">
        <v>2096.98999</v>
      </c>
      <c r="Q21" s="111">
        <f t="shared" si="3"/>
        <v>2.0199769690626972E-2</v>
      </c>
      <c r="R21" s="91"/>
      <c r="S21" s="91"/>
      <c r="T21" s="116">
        <v>41730</v>
      </c>
      <c r="U21" s="115">
        <v>83.503339999999994</v>
      </c>
      <c r="V21" s="109">
        <f t="shared" si="4"/>
        <v>4.6557408772356992E-2</v>
      </c>
      <c r="W21">
        <v>1883.9499499999999</v>
      </c>
      <c r="X21" s="111">
        <f t="shared" si="5"/>
        <v>6.2007862813503629E-3</v>
      </c>
    </row>
    <row r="22" spans="1:24">
      <c r="A22" s="91"/>
      <c r="B22" s="107">
        <v>42121</v>
      </c>
      <c r="C22" s="108">
        <v>67.370750000000001</v>
      </c>
      <c r="D22" s="109">
        <f t="shared" si="0"/>
        <v>-3.6807353603184362E-3</v>
      </c>
      <c r="E22" s="110">
        <v>2108.9199199999998</v>
      </c>
      <c r="F22" s="111">
        <f t="shared" si="1"/>
        <v>-4.1413144740161468E-3</v>
      </c>
      <c r="G22" s="112"/>
      <c r="H22" s="112"/>
      <c r="I22" s="112"/>
      <c r="J22" s="112"/>
      <c r="K22" s="91"/>
      <c r="L22" s="91"/>
      <c r="M22" s="107">
        <v>42037</v>
      </c>
      <c r="N22" s="113">
        <v>76.834670000000003</v>
      </c>
      <c r="O22" s="109">
        <f t="shared" si="2"/>
        <v>2.0550564390063895E-2</v>
      </c>
      <c r="P22">
        <v>2055.4699700000001</v>
      </c>
      <c r="Q22" s="111">
        <f t="shared" si="3"/>
        <v>3.0315931560137836E-2</v>
      </c>
      <c r="R22" s="91"/>
      <c r="S22" s="91"/>
      <c r="T22" s="116">
        <v>41701</v>
      </c>
      <c r="U22" s="115">
        <v>79.788589999999999</v>
      </c>
      <c r="V22" s="109">
        <f t="shared" si="4"/>
        <v>9.2732127850959523E-2</v>
      </c>
      <c r="W22">
        <v>1872.33997</v>
      </c>
      <c r="X22" s="111">
        <f t="shared" si="5"/>
        <v>6.9321683006310815E-3</v>
      </c>
    </row>
    <row r="23" spans="1:24">
      <c r="A23" s="91"/>
      <c r="B23" s="107">
        <v>42118</v>
      </c>
      <c r="C23" s="108">
        <v>67.619640000000004</v>
      </c>
      <c r="D23" s="109">
        <f t="shared" si="0"/>
        <v>-1.2216472700027466E-2</v>
      </c>
      <c r="E23" s="110">
        <v>2117.6899400000002</v>
      </c>
      <c r="F23" s="111">
        <f t="shared" si="1"/>
        <v>2.2528006880002979E-3</v>
      </c>
      <c r="G23" s="112"/>
      <c r="H23" s="112"/>
      <c r="I23" s="112"/>
      <c r="J23" s="112"/>
      <c r="K23" s="91"/>
      <c r="L23" s="91"/>
      <c r="M23" s="107">
        <v>42030</v>
      </c>
      <c r="N23" s="113">
        <v>75.287469999999999</v>
      </c>
      <c r="O23" s="109">
        <f t="shared" si="2"/>
        <v>-4.7314225409055582E-2</v>
      </c>
      <c r="P23">
        <v>1994.98999</v>
      </c>
      <c r="Q23" s="111">
        <f t="shared" si="3"/>
        <v>-2.7697399411830578E-2</v>
      </c>
      <c r="R23" s="91"/>
      <c r="S23" s="91"/>
      <c r="T23" s="116">
        <v>41673</v>
      </c>
      <c r="U23" s="115">
        <v>73.017520000000005</v>
      </c>
      <c r="V23" s="109">
        <f t="shared" si="4"/>
        <v>6.8296173593636739E-2</v>
      </c>
      <c r="W23">
        <v>1859.4499499999999</v>
      </c>
      <c r="X23" s="111">
        <f t="shared" si="5"/>
        <v>4.3117027074936337E-2</v>
      </c>
    </row>
    <row r="24" spans="1:24">
      <c r="A24" s="91"/>
      <c r="B24" s="107">
        <v>42117</v>
      </c>
      <c r="C24" s="108">
        <v>68.455929999999995</v>
      </c>
      <c r="D24" s="109">
        <f t="shared" si="0"/>
        <v>4.0887587443126667E-3</v>
      </c>
      <c r="E24" s="110">
        <v>2112.9299299999998</v>
      </c>
      <c r="F24" s="111">
        <f t="shared" si="1"/>
        <v>2.3577155611625793E-3</v>
      </c>
      <c r="G24" s="112"/>
      <c r="H24" s="112"/>
      <c r="I24" s="112"/>
      <c r="J24" s="112"/>
      <c r="K24" s="91"/>
      <c r="L24" s="91"/>
      <c r="M24" s="107">
        <v>42024</v>
      </c>
      <c r="N24" s="113">
        <v>79.02655</v>
      </c>
      <c r="O24" s="109">
        <f t="shared" si="2"/>
        <v>9.5020994421499867E-3</v>
      </c>
      <c r="P24">
        <v>2051.8200700000002</v>
      </c>
      <c r="Q24" s="111">
        <f t="shared" si="3"/>
        <v>1.6044225251919477E-2</v>
      </c>
      <c r="R24" s="91"/>
      <c r="S24" s="91"/>
      <c r="T24" s="116">
        <v>41641</v>
      </c>
      <c r="U24" s="115">
        <v>68.349509999999995</v>
      </c>
      <c r="V24" s="109">
        <f t="shared" si="4"/>
        <v>-1.081125202669376E-2</v>
      </c>
      <c r="W24">
        <v>1782.58997</v>
      </c>
      <c r="X24" s="111">
        <f t="shared" si="5"/>
        <v>-3.5582906119927392E-2</v>
      </c>
    </row>
    <row r="25" spans="1:24">
      <c r="A25" s="91"/>
      <c r="B25" s="107">
        <v>42116</v>
      </c>
      <c r="C25" s="108">
        <v>68.177170000000004</v>
      </c>
      <c r="D25" s="109">
        <f t="shared" si="0"/>
        <v>8.2450897401997389E-3</v>
      </c>
      <c r="E25" s="110">
        <v>2107.9599600000001</v>
      </c>
      <c r="F25" s="111">
        <f t="shared" si="1"/>
        <v>5.0874794599226128E-3</v>
      </c>
      <c r="G25" s="112"/>
      <c r="H25" s="112"/>
      <c r="I25" s="112"/>
      <c r="J25" s="112"/>
      <c r="K25" s="91"/>
      <c r="L25" s="91"/>
      <c r="M25" s="107">
        <v>42016</v>
      </c>
      <c r="N25" s="113">
        <v>78.282700000000006</v>
      </c>
      <c r="O25" s="109">
        <f t="shared" si="2"/>
        <v>-0.18662406391742331</v>
      </c>
      <c r="P25">
        <v>2019.42004</v>
      </c>
      <c r="Q25" s="111">
        <f t="shared" si="3"/>
        <v>-1.2416810977543826E-2</v>
      </c>
      <c r="R25" s="91"/>
      <c r="S25" s="91"/>
      <c r="T25" s="116">
        <v>41610</v>
      </c>
      <c r="U25" s="115">
        <v>69.096530000000001</v>
      </c>
      <c r="V25" s="109">
        <f t="shared" si="4"/>
        <v>3.5069651252392441E-2</v>
      </c>
      <c r="W25">
        <v>1848.3599899999999</v>
      </c>
      <c r="X25" s="111">
        <f t="shared" si="5"/>
        <v>2.3562793752516752E-2</v>
      </c>
    </row>
    <row r="26" spans="1:24">
      <c r="A26" s="91"/>
      <c r="B26" s="107">
        <v>42115</v>
      </c>
      <c r="C26" s="108">
        <v>67.619640000000004</v>
      </c>
      <c r="D26" s="109">
        <f t="shared" si="0"/>
        <v>1.5853986662225938E-2</v>
      </c>
      <c r="E26" s="110">
        <v>2097.2900399999999</v>
      </c>
      <c r="F26" s="111">
        <f t="shared" si="1"/>
        <v>-1.4806037650259012E-3</v>
      </c>
      <c r="G26" s="112"/>
      <c r="H26" s="112"/>
      <c r="I26" s="112"/>
      <c r="J26" s="112"/>
      <c r="K26" s="91"/>
      <c r="L26" s="91"/>
      <c r="M26" s="107">
        <v>42009</v>
      </c>
      <c r="N26" s="113">
        <v>96.24418</v>
      </c>
      <c r="O26" s="109">
        <f t="shared" si="2"/>
        <v>-8.5819247735490437E-3</v>
      </c>
      <c r="P26">
        <v>2044.81006</v>
      </c>
      <c r="Q26" s="111">
        <f t="shared" si="3"/>
        <v>-6.5056312920424228E-3</v>
      </c>
      <c r="R26" s="91"/>
      <c r="S26" s="91"/>
      <c r="T26" s="116">
        <v>41579</v>
      </c>
      <c r="U26" s="115">
        <v>66.755439999999993</v>
      </c>
      <c r="V26" s="109">
        <f t="shared" si="4"/>
        <v>-1.9424391002002068E-2</v>
      </c>
      <c r="W26">
        <v>1805.81006</v>
      </c>
      <c r="X26" s="111">
        <f t="shared" si="5"/>
        <v>2.804947161921793E-2</v>
      </c>
    </row>
    <row r="27" spans="1:24">
      <c r="A27" s="91"/>
      <c r="B27" s="107">
        <v>42114</v>
      </c>
      <c r="C27" s="108">
        <v>66.564329999999998</v>
      </c>
      <c r="D27" s="109">
        <f t="shared" si="0"/>
        <v>-2.2385217302540116E-3</v>
      </c>
      <c r="E27" s="110">
        <v>2100.3998999999999</v>
      </c>
      <c r="F27" s="111">
        <f t="shared" si="1"/>
        <v>9.2351313420556119E-3</v>
      </c>
      <c r="G27" s="112"/>
      <c r="H27" s="112"/>
      <c r="I27" s="112"/>
      <c r="J27" s="112"/>
      <c r="K27" s="91"/>
      <c r="L27" s="91"/>
      <c r="M27" s="107">
        <v>42002</v>
      </c>
      <c r="N27" s="113">
        <v>97.077290000000005</v>
      </c>
      <c r="O27" s="109">
        <f t="shared" si="2"/>
        <v>-3.3856473322428138E-2</v>
      </c>
      <c r="P27">
        <v>2058.1999500000002</v>
      </c>
      <c r="Q27" s="111">
        <f t="shared" si="3"/>
        <v>-1.4635440813153648E-2</v>
      </c>
      <c r="R27" s="91"/>
      <c r="S27" s="91"/>
      <c r="T27" s="116">
        <v>41548</v>
      </c>
      <c r="U27" s="115">
        <v>68.077809999999999</v>
      </c>
      <c r="V27" s="109">
        <f t="shared" si="4"/>
        <v>0.17164456653866167</v>
      </c>
      <c r="W27">
        <v>1756.5400400000001</v>
      </c>
      <c r="X27" s="111">
        <f t="shared" si="5"/>
        <v>4.4595752591485474E-2</v>
      </c>
    </row>
    <row r="28" spans="1:24">
      <c r="A28" s="91"/>
      <c r="B28" s="107">
        <v>42111</v>
      </c>
      <c r="C28" s="108">
        <v>66.713669999999993</v>
      </c>
      <c r="D28" s="109">
        <f t="shared" si="0"/>
        <v>-1.325297997180893E-2</v>
      </c>
      <c r="E28" s="110">
        <v>2081.1799299999998</v>
      </c>
      <c r="F28" s="111">
        <f t="shared" si="1"/>
        <v>-1.131124618792142E-2</v>
      </c>
      <c r="G28" s="112"/>
      <c r="H28" s="112"/>
      <c r="I28" s="112"/>
      <c r="J28" s="112"/>
      <c r="K28" s="91"/>
      <c r="L28" s="91"/>
      <c r="M28" s="107">
        <v>41995</v>
      </c>
      <c r="N28" s="113">
        <v>100.47915999999999</v>
      </c>
      <c r="O28" s="109">
        <f t="shared" si="2"/>
        <v>1.3201374044847019E-2</v>
      </c>
      <c r="P28">
        <v>2088.7700199999999</v>
      </c>
      <c r="Q28" s="111">
        <f t="shared" si="3"/>
        <v>8.7509337044374535E-3</v>
      </c>
      <c r="R28" s="91"/>
      <c r="S28" s="91"/>
      <c r="T28" s="116">
        <v>41520</v>
      </c>
      <c r="U28" s="115">
        <v>58.104489999999998</v>
      </c>
      <c r="V28" s="109">
        <f t="shared" si="4"/>
        <v>7.847038314850413E-2</v>
      </c>
      <c r="W28">
        <v>1681.5500500000001</v>
      </c>
      <c r="X28" s="111">
        <f t="shared" si="5"/>
        <v>2.9749524420219404E-2</v>
      </c>
    </row>
    <row r="29" spans="1:24">
      <c r="A29" s="91"/>
      <c r="B29" s="107">
        <v>42110</v>
      </c>
      <c r="C29" s="108">
        <v>67.609700000000004</v>
      </c>
      <c r="D29" s="109">
        <f t="shared" si="0"/>
        <v>-4.5134911835944827E-2</v>
      </c>
      <c r="E29" s="110">
        <v>2104.98999</v>
      </c>
      <c r="F29" s="111">
        <f t="shared" si="1"/>
        <v>-7.7844239064905083E-4</v>
      </c>
      <c r="G29" s="112"/>
      <c r="H29" s="112"/>
      <c r="I29" s="112"/>
      <c r="J29" s="112"/>
      <c r="K29" s="91"/>
      <c r="L29" s="91"/>
      <c r="M29" s="107">
        <v>41988</v>
      </c>
      <c r="N29" s="113">
        <v>99.169979999999995</v>
      </c>
      <c r="O29" s="109">
        <f t="shared" si="2"/>
        <v>1.2146887782924184E-2</v>
      </c>
      <c r="P29">
        <v>2070.6498999999999</v>
      </c>
      <c r="Q29" s="111">
        <f t="shared" si="3"/>
        <v>3.4120220625375779E-2</v>
      </c>
      <c r="R29" s="91"/>
      <c r="S29" s="91"/>
      <c r="T29" s="116">
        <v>41487</v>
      </c>
      <c r="U29" s="115">
        <v>53.876759999999997</v>
      </c>
      <c r="V29" s="109">
        <f t="shared" si="4"/>
        <v>5.0537394705988366E-3</v>
      </c>
      <c r="W29">
        <v>1632.9699700000001</v>
      </c>
      <c r="X29" s="111">
        <f t="shared" si="5"/>
        <v>-3.1298019627081654E-2</v>
      </c>
    </row>
    <row r="30" spans="1:24">
      <c r="A30" s="91"/>
      <c r="B30" s="107">
        <v>42109</v>
      </c>
      <c r="C30" s="108">
        <v>70.805499999999995</v>
      </c>
      <c r="D30" s="109">
        <f t="shared" si="0"/>
        <v>1.1232809842015612E-2</v>
      </c>
      <c r="E30" s="110">
        <v>2106.62988</v>
      </c>
      <c r="F30" s="111">
        <f t="shared" si="1"/>
        <v>5.1481933433193423E-3</v>
      </c>
      <c r="G30" s="112"/>
      <c r="H30" s="112"/>
      <c r="I30" s="112"/>
      <c r="J30" s="112"/>
      <c r="K30" s="91"/>
      <c r="L30" s="91"/>
      <c r="M30" s="107">
        <v>41981</v>
      </c>
      <c r="N30" s="113">
        <v>97.979830000000007</v>
      </c>
      <c r="O30" s="109">
        <f t="shared" si="2"/>
        <v>-5.4369687274552117E-2</v>
      </c>
      <c r="P30">
        <v>2002.32996</v>
      </c>
      <c r="Q30" s="111">
        <f t="shared" si="3"/>
        <v>-3.5193799552245657E-2</v>
      </c>
      <c r="R30" s="91"/>
      <c r="S30" s="91"/>
      <c r="T30" s="116">
        <v>41456</v>
      </c>
      <c r="U30" s="115">
        <v>53.605849999999997</v>
      </c>
      <c r="V30" s="109">
        <f t="shared" si="4"/>
        <v>-9.7872203645915201E-2</v>
      </c>
      <c r="W30">
        <v>1685.7299800000001</v>
      </c>
      <c r="X30" s="111">
        <f t="shared" si="5"/>
        <v>4.9462079161875762E-2</v>
      </c>
    </row>
    <row r="31" spans="1:24">
      <c r="A31" s="91"/>
      <c r="B31" s="107">
        <v>42108</v>
      </c>
      <c r="C31" s="108">
        <v>70.018990000000002</v>
      </c>
      <c r="D31" s="109">
        <f t="shared" si="0"/>
        <v>-1.9866482074769229E-3</v>
      </c>
      <c r="E31" s="110">
        <v>2095.8400900000001</v>
      </c>
      <c r="F31" s="111">
        <f t="shared" si="1"/>
        <v>1.6297606677803354E-3</v>
      </c>
      <c r="G31" s="112"/>
      <c r="H31" s="112"/>
      <c r="I31" s="112"/>
      <c r="J31" s="112"/>
      <c r="K31" s="91"/>
      <c r="L31" s="91"/>
      <c r="M31" s="107">
        <v>41974</v>
      </c>
      <c r="N31" s="113">
        <v>103.61324999999999</v>
      </c>
      <c r="O31" s="109">
        <f t="shared" si="2"/>
        <v>9.7622557620960504E-3</v>
      </c>
      <c r="P31">
        <v>2075.37012</v>
      </c>
      <c r="Q31" s="111">
        <f t="shared" si="3"/>
        <v>3.7774283567850744E-3</v>
      </c>
      <c r="R31" s="91"/>
      <c r="S31" s="91"/>
      <c r="T31" s="116">
        <v>41428</v>
      </c>
      <c r="U31" s="115">
        <v>59.421570000000003</v>
      </c>
      <c r="V31" s="109">
        <f t="shared" si="4"/>
        <v>3.5242075084601282E-2</v>
      </c>
      <c r="W31">
        <v>1606.2800299999999</v>
      </c>
      <c r="X31" s="111">
        <f t="shared" si="5"/>
        <v>-1.499930102284432E-2</v>
      </c>
    </row>
    <row r="32" spans="1:24">
      <c r="A32" s="91"/>
      <c r="B32" s="107">
        <v>42107</v>
      </c>
      <c r="C32" s="108">
        <v>70.158370000000005</v>
      </c>
      <c r="D32" s="109">
        <f t="shared" si="0"/>
        <v>-2.9711184604697427E-3</v>
      </c>
      <c r="E32" s="110">
        <v>2092.4299299999998</v>
      </c>
      <c r="F32" s="111">
        <f t="shared" si="1"/>
        <v>-4.5812820400574139E-3</v>
      </c>
      <c r="G32" s="112"/>
      <c r="H32" s="112"/>
      <c r="I32" s="112"/>
      <c r="J32" s="112"/>
      <c r="K32" s="91"/>
      <c r="L32" s="91"/>
      <c r="M32" s="107">
        <v>41967</v>
      </c>
      <c r="N32" s="113">
        <v>102.61153</v>
      </c>
      <c r="O32" s="109">
        <f t="shared" si="2"/>
        <v>2.6083491411766219E-2</v>
      </c>
      <c r="P32">
        <v>2067.5600599999998</v>
      </c>
      <c r="Q32" s="111">
        <f t="shared" si="3"/>
        <v>1.9675599709230887E-3</v>
      </c>
      <c r="R32" s="91"/>
      <c r="S32" s="91"/>
      <c r="T32" s="116">
        <v>41395</v>
      </c>
      <c r="U32" s="115">
        <v>57.398719999999997</v>
      </c>
      <c r="V32" s="109">
        <f t="shared" si="4"/>
        <v>0.12547679417060598</v>
      </c>
      <c r="W32">
        <v>1630.73999</v>
      </c>
      <c r="X32" s="111">
        <f t="shared" si="5"/>
        <v>2.0762809165257502E-2</v>
      </c>
    </row>
    <row r="33" spans="1:24">
      <c r="A33" s="91"/>
      <c r="B33" s="107">
        <v>42104</v>
      </c>
      <c r="C33" s="108">
        <v>70.367440000000002</v>
      </c>
      <c r="D33" s="109">
        <f t="shared" si="0"/>
        <v>3.8345965057239172E-3</v>
      </c>
      <c r="E33" s="110">
        <v>2102.0600599999998</v>
      </c>
      <c r="F33" s="111">
        <f t="shared" si="1"/>
        <v>5.2028664984366075E-3</v>
      </c>
      <c r="G33" s="112"/>
      <c r="H33" s="112"/>
      <c r="I33" s="112"/>
      <c r="J33" s="112"/>
      <c r="K33" s="91"/>
      <c r="L33" s="91"/>
      <c r="M33" s="107">
        <v>41960</v>
      </c>
      <c r="N33" s="113">
        <v>100.0031</v>
      </c>
      <c r="O33" s="109">
        <f t="shared" si="2"/>
        <v>4.8237888117700911E-2</v>
      </c>
      <c r="P33">
        <v>2063.5</v>
      </c>
      <c r="Q33" s="111">
        <f t="shared" si="3"/>
        <v>1.1608892245612137E-2</v>
      </c>
      <c r="R33" s="91"/>
      <c r="S33" s="91"/>
      <c r="T33" s="116">
        <v>41365</v>
      </c>
      <c r="U33" s="115">
        <v>50.999470000000002</v>
      </c>
      <c r="V33" s="109">
        <f t="shared" si="4"/>
        <v>-4.5851431162890914E-2</v>
      </c>
      <c r="W33">
        <v>1597.5699500000001</v>
      </c>
      <c r="X33" s="111">
        <f t="shared" si="5"/>
        <v>1.8085771057135432E-2</v>
      </c>
    </row>
    <row r="34" spans="1:24">
      <c r="A34" s="91"/>
      <c r="B34" s="107">
        <v>42103</v>
      </c>
      <c r="C34" s="108">
        <v>70.098640000000003</v>
      </c>
      <c r="D34" s="109">
        <f t="shared" si="0"/>
        <v>2.2064183959958933E-2</v>
      </c>
      <c r="E34" s="110">
        <v>2091.1799299999998</v>
      </c>
      <c r="F34" s="111">
        <f t="shared" si="1"/>
        <v>4.4574813611355174E-3</v>
      </c>
      <c r="G34" s="112"/>
      <c r="H34" s="112"/>
      <c r="I34" s="112"/>
      <c r="J34" s="112"/>
      <c r="K34" s="91"/>
      <c r="L34" s="91"/>
      <c r="M34" s="107">
        <v>41953</v>
      </c>
      <c r="N34" s="113">
        <v>95.401150000000001</v>
      </c>
      <c r="O34" s="109">
        <f t="shared" si="2"/>
        <v>3.6195141650187189E-2</v>
      </c>
      <c r="P34">
        <v>2039.8199500000001</v>
      </c>
      <c r="Q34" s="111">
        <f t="shared" si="3"/>
        <v>3.8879039748040928E-3</v>
      </c>
      <c r="R34" s="91"/>
      <c r="S34" s="91"/>
      <c r="T34" s="116">
        <v>41334</v>
      </c>
      <c r="U34" s="115">
        <v>53.450240000000001</v>
      </c>
      <c r="V34" s="109">
        <f t="shared" si="4"/>
        <v>9.0259851917063941E-2</v>
      </c>
      <c r="W34">
        <v>1569.18994</v>
      </c>
      <c r="X34" s="111">
        <f t="shared" si="5"/>
        <v>3.5987725592609501E-2</v>
      </c>
    </row>
    <row r="35" spans="1:24">
      <c r="A35" s="91"/>
      <c r="B35" s="107">
        <v>42102</v>
      </c>
      <c r="C35" s="108">
        <v>68.585359999999994</v>
      </c>
      <c r="D35" s="109">
        <f t="shared" si="0"/>
        <v>1.7577734088756673E-2</v>
      </c>
      <c r="E35" s="110">
        <v>2081.8998999999999</v>
      </c>
      <c r="F35" s="111">
        <f t="shared" si="1"/>
        <v>2.6825310935146246E-3</v>
      </c>
      <c r="G35" s="112"/>
      <c r="H35" s="112"/>
      <c r="I35" s="112"/>
      <c r="J35" s="112"/>
      <c r="K35" s="91"/>
      <c r="L35" s="91"/>
      <c r="M35" s="107">
        <v>41946</v>
      </c>
      <c r="N35" s="113">
        <v>92.068709999999996</v>
      </c>
      <c r="O35" s="109">
        <f t="shared" si="2"/>
        <v>-1.3915478723592297E-2</v>
      </c>
      <c r="P35">
        <v>2031.92004</v>
      </c>
      <c r="Q35" s="111">
        <f t="shared" si="3"/>
        <v>6.8729663072528433E-3</v>
      </c>
      <c r="R35" s="91"/>
      <c r="S35" s="91"/>
      <c r="T35" s="116">
        <v>41306</v>
      </c>
      <c r="U35" s="115">
        <v>49.025230000000001</v>
      </c>
      <c r="V35" s="109">
        <f t="shared" si="4"/>
        <v>8.4016276688064235E-3</v>
      </c>
      <c r="W35">
        <v>1514.6800499999999</v>
      </c>
      <c r="X35" s="111">
        <f t="shared" si="5"/>
        <v>1.1060643150774272E-2</v>
      </c>
    </row>
    <row r="36" spans="1:24">
      <c r="A36" s="91"/>
      <c r="B36" s="107">
        <v>42101</v>
      </c>
      <c r="C36" s="108">
        <v>67.40061</v>
      </c>
      <c r="D36" s="109">
        <f t="shared" si="0"/>
        <v>6.6913000105596069E-3</v>
      </c>
      <c r="E36" s="110">
        <v>2076.3300800000002</v>
      </c>
      <c r="F36" s="111">
        <f t="shared" si="1"/>
        <v>-2.0619045056624093E-3</v>
      </c>
      <c r="G36" s="112"/>
      <c r="H36" s="112"/>
      <c r="I36" s="112"/>
      <c r="J36" s="112"/>
      <c r="K36" s="91"/>
      <c r="L36" s="91"/>
      <c r="M36" s="107">
        <v>41939</v>
      </c>
      <c r="N36" s="113">
        <v>93.36797</v>
      </c>
      <c r="O36" s="109">
        <f t="shared" si="2"/>
        <v>6.4125285269733254E-2</v>
      </c>
      <c r="P36">
        <v>2018.0500500000001</v>
      </c>
      <c r="Q36" s="111">
        <f t="shared" si="3"/>
        <v>2.7217059671116685E-2</v>
      </c>
      <c r="R36" s="91"/>
      <c r="S36" s="91"/>
      <c r="T36" s="116">
        <v>41276</v>
      </c>
      <c r="U36" s="115">
        <v>48.616770000000002</v>
      </c>
      <c r="V36" s="109">
        <f t="shared" si="4"/>
        <v>0.14919542702348776</v>
      </c>
      <c r="W36">
        <v>1498.1099899999999</v>
      </c>
      <c r="X36" s="111">
        <f t="shared" si="5"/>
        <v>5.0428100761950367E-2</v>
      </c>
    </row>
    <row r="37" spans="1:24">
      <c r="A37" s="91"/>
      <c r="B37" s="107">
        <v>42100</v>
      </c>
      <c r="C37" s="108">
        <v>66.952610000000007</v>
      </c>
      <c r="D37" s="109">
        <f t="shared" si="0"/>
        <v>4.1505365371351202E-2</v>
      </c>
      <c r="E37" s="110">
        <v>2080.62012</v>
      </c>
      <c r="F37" s="111">
        <f t="shared" si="1"/>
        <v>6.6088169409918825E-3</v>
      </c>
      <c r="G37" s="112"/>
      <c r="H37" s="112"/>
      <c r="I37" s="112"/>
      <c r="J37" s="112"/>
      <c r="K37" s="91"/>
      <c r="L37" s="91"/>
      <c r="M37" s="107">
        <v>41932</v>
      </c>
      <c r="N37" s="113">
        <v>87.741519999999994</v>
      </c>
      <c r="O37" s="109">
        <f t="shared" si="2"/>
        <v>7.1980653369075179E-2</v>
      </c>
      <c r="P37">
        <v>1964.57996</v>
      </c>
      <c r="Q37" s="111">
        <f t="shared" si="3"/>
        <v>4.1245282700262481E-2</v>
      </c>
      <c r="R37" s="91"/>
      <c r="S37" s="91"/>
      <c r="T37" s="116">
        <v>41246</v>
      </c>
      <c r="U37" s="115">
        <v>42.305050000000001</v>
      </c>
      <c r="V37" s="109">
        <f t="shared" si="4"/>
        <v>0.11253192559180691</v>
      </c>
      <c r="W37">
        <v>1426.18994</v>
      </c>
      <c r="X37" s="111">
        <f t="shared" si="5"/>
        <v>7.0682326022034007E-3</v>
      </c>
    </row>
    <row r="38" spans="1:24">
      <c r="A38" s="91"/>
      <c r="B38" s="107">
        <v>42096</v>
      </c>
      <c r="C38" s="108">
        <v>64.284459999999996</v>
      </c>
      <c r="D38" s="109">
        <f t="shared" si="0"/>
        <v>-8.7503935888425741E-3</v>
      </c>
      <c r="E38" s="110">
        <v>2066.9599600000001</v>
      </c>
      <c r="F38" s="111">
        <f t="shared" si="1"/>
        <v>3.5296671886448747E-3</v>
      </c>
      <c r="G38" s="112"/>
      <c r="H38" s="112"/>
      <c r="I38" s="112"/>
      <c r="J38" s="112"/>
      <c r="K38" s="91"/>
      <c r="L38" s="91"/>
      <c r="M38" s="107">
        <v>41925</v>
      </c>
      <c r="N38" s="113">
        <v>81.849909999999994</v>
      </c>
      <c r="O38" s="109">
        <f t="shared" si="2"/>
        <v>-3.7992237640743082E-2</v>
      </c>
      <c r="P38">
        <v>1886.76001</v>
      </c>
      <c r="Q38" s="111">
        <f t="shared" si="3"/>
        <v>-1.0161945932334175E-2</v>
      </c>
      <c r="R38" s="91"/>
      <c r="S38" s="91"/>
      <c r="T38" s="116">
        <v>41214</v>
      </c>
      <c r="U38" s="115">
        <v>38.025919999999999</v>
      </c>
      <c r="V38" s="109">
        <f t="shared" si="4"/>
        <v>-6.4145519697383649E-2</v>
      </c>
      <c r="W38">
        <v>1416.1800499999999</v>
      </c>
      <c r="X38" s="111">
        <f t="shared" si="5"/>
        <v>2.8467170254067673E-3</v>
      </c>
    </row>
    <row r="39" spans="1:24">
      <c r="A39" s="91"/>
      <c r="B39" s="107">
        <v>42095</v>
      </c>
      <c r="C39" s="108">
        <v>64.851939999999999</v>
      </c>
      <c r="D39" s="109">
        <f t="shared" si="0"/>
        <v>2.3891885303541339E-2</v>
      </c>
      <c r="E39" s="110">
        <v>2059.6899400000002</v>
      </c>
      <c r="F39" s="111">
        <f t="shared" si="1"/>
        <v>-3.9653707093658249E-3</v>
      </c>
      <c r="G39" s="112"/>
      <c r="H39" s="112"/>
      <c r="I39" s="112"/>
      <c r="J39" s="112"/>
      <c r="K39" s="91"/>
      <c r="L39" s="91"/>
      <c r="M39" s="107">
        <v>41918</v>
      </c>
      <c r="N39" s="113">
        <v>85.082380000000001</v>
      </c>
      <c r="O39" s="109">
        <f t="shared" si="2"/>
        <v>-9.9968603450150767E-2</v>
      </c>
      <c r="P39">
        <v>1906.13</v>
      </c>
      <c r="Q39" s="111">
        <f t="shared" si="3"/>
        <v>-3.1388799924906716E-2</v>
      </c>
      <c r="R39" s="91"/>
      <c r="S39" s="91"/>
      <c r="T39" s="116">
        <v>41183</v>
      </c>
      <c r="U39" s="115">
        <v>40.632300000000001</v>
      </c>
      <c r="V39" s="109">
        <f t="shared" si="4"/>
        <v>-3.7992071874473919E-2</v>
      </c>
      <c r="W39">
        <v>1412.16003</v>
      </c>
      <c r="X39" s="111">
        <f t="shared" si="5"/>
        <v>-1.978940993317246E-2</v>
      </c>
    </row>
    <row r="40" spans="1:24">
      <c r="A40" s="91"/>
      <c r="B40" s="107">
        <v>42094</v>
      </c>
      <c r="C40" s="108">
        <v>63.338659999999997</v>
      </c>
      <c r="D40" s="109">
        <f t="shared" si="0"/>
        <v>-2.0929580099130322E-2</v>
      </c>
      <c r="E40" s="110">
        <v>2067.8898899999999</v>
      </c>
      <c r="F40" s="111">
        <f t="shared" si="1"/>
        <v>-8.7957761753000002E-3</v>
      </c>
      <c r="G40" s="112"/>
      <c r="H40" s="112"/>
      <c r="I40" s="112"/>
      <c r="J40" s="112"/>
      <c r="K40" s="91"/>
      <c r="L40" s="91"/>
      <c r="M40" s="107">
        <v>41911</v>
      </c>
      <c r="N40" s="113">
        <v>94.532679999999999</v>
      </c>
      <c r="O40" s="109">
        <f t="shared" si="2"/>
        <v>-3.6085162668380862E-2</v>
      </c>
      <c r="P40">
        <v>1967.90002</v>
      </c>
      <c r="Q40" s="111">
        <f t="shared" si="3"/>
        <v>-7.5396324234271719E-3</v>
      </c>
      <c r="R40" s="91"/>
      <c r="S40" s="91"/>
      <c r="T40" s="116">
        <v>41156</v>
      </c>
      <c r="U40" s="115">
        <v>42.236969999999999</v>
      </c>
      <c r="V40" s="109">
        <f t="shared" si="4"/>
        <v>5.3614726519469337E-2</v>
      </c>
      <c r="W40">
        <v>1440.67004</v>
      </c>
      <c r="X40" s="111">
        <f t="shared" si="5"/>
        <v>2.4236147940000469E-2</v>
      </c>
    </row>
    <row r="41" spans="1:24">
      <c r="A41" s="91"/>
      <c r="B41" s="107">
        <v>42093</v>
      </c>
      <c r="C41" s="108">
        <v>64.69265</v>
      </c>
      <c r="D41" s="109">
        <f t="shared" si="0"/>
        <v>6.0381588374164089E-3</v>
      </c>
      <c r="E41" s="110">
        <v>2086.23999</v>
      </c>
      <c r="F41" s="111">
        <f t="shared" si="1"/>
        <v>1.2236644843459649E-2</v>
      </c>
      <c r="G41" s="112"/>
      <c r="H41" s="112"/>
      <c r="I41" s="112"/>
      <c r="J41" s="112"/>
      <c r="K41" s="91"/>
      <c r="L41" s="91"/>
      <c r="M41" s="107">
        <v>41904</v>
      </c>
      <c r="N41" s="113">
        <v>98.071610000000007</v>
      </c>
      <c r="O41" s="109">
        <f t="shared" si="2"/>
        <v>-1.8888413919650893E-2</v>
      </c>
      <c r="P41">
        <v>1982.84998</v>
      </c>
      <c r="Q41" s="111">
        <f t="shared" si="3"/>
        <v>-1.3703760309353797E-2</v>
      </c>
      <c r="R41" s="91"/>
      <c r="S41" s="91"/>
      <c r="T41" s="116">
        <v>41122</v>
      </c>
      <c r="U41" s="115">
        <v>40.087679999999999</v>
      </c>
      <c r="V41" s="109">
        <f t="shared" ref="V41:V67" si="6">(U41-U42)/U42</f>
        <v>2.1879912480349535E-3</v>
      </c>
      <c r="W41">
        <v>1406.57996</v>
      </c>
      <c r="X41" s="111">
        <f t="shared" ref="X41:X67" si="7">(W41-W42)/W42</f>
        <v>1.9763369622834762E-2</v>
      </c>
    </row>
    <row r="42" spans="1:24">
      <c r="A42" s="91"/>
      <c r="B42" s="107">
        <v>42090</v>
      </c>
      <c r="C42" s="108">
        <v>64.304370000000006</v>
      </c>
      <c r="D42" s="109">
        <f t="shared" si="0"/>
        <v>-2.4320237910093332E-2</v>
      </c>
      <c r="E42" s="110">
        <v>2061.0200199999999</v>
      </c>
      <c r="F42" s="111">
        <f t="shared" si="1"/>
        <v>2.3685627200624054E-3</v>
      </c>
      <c r="G42" s="112"/>
      <c r="H42" s="112"/>
      <c r="I42" s="112"/>
      <c r="J42" s="112"/>
      <c r="K42" s="91"/>
      <c r="L42" s="91"/>
      <c r="M42" s="107">
        <v>41897</v>
      </c>
      <c r="N42" s="113">
        <v>99.959689999999995</v>
      </c>
      <c r="O42" s="109">
        <f t="shared" si="2"/>
        <v>2.1723653967414394E-2</v>
      </c>
      <c r="P42">
        <v>2010.40002</v>
      </c>
      <c r="Q42" s="111">
        <f t="shared" si="3"/>
        <v>1.252051305900633E-2</v>
      </c>
      <c r="R42" s="91"/>
      <c r="S42" s="91"/>
      <c r="T42" s="116">
        <v>41092</v>
      </c>
      <c r="U42" s="115">
        <v>40.000160000000001</v>
      </c>
      <c r="V42" s="109">
        <f t="shared" si="6"/>
        <v>0.12746727609787387</v>
      </c>
      <c r="W42">
        <v>1379.3199500000001</v>
      </c>
      <c r="X42" s="111">
        <f t="shared" si="7"/>
        <v>1.2597580036172444E-2</v>
      </c>
    </row>
    <row r="43" spans="1:24">
      <c r="A43" s="91"/>
      <c r="B43" s="107">
        <v>42089</v>
      </c>
      <c r="C43" s="108">
        <v>65.907250000000005</v>
      </c>
      <c r="D43" s="109">
        <f t="shared" si="0"/>
        <v>-0.18452825570974671</v>
      </c>
      <c r="E43" s="110">
        <v>2056.1498999999999</v>
      </c>
      <c r="F43" s="111">
        <f t="shared" si="1"/>
        <v>-2.3775017011352733E-3</v>
      </c>
      <c r="G43" s="112"/>
      <c r="H43" s="112"/>
      <c r="I43" s="112"/>
      <c r="J43" s="112"/>
      <c r="K43" s="91"/>
      <c r="L43" s="91"/>
      <c r="M43" s="107">
        <v>41890</v>
      </c>
      <c r="N43" s="113">
        <v>97.834370000000007</v>
      </c>
      <c r="O43" s="109">
        <f t="shared" si="2"/>
        <v>1.8221022415012165E-3</v>
      </c>
      <c r="P43">
        <v>1985.5400400000001</v>
      </c>
      <c r="Q43" s="111">
        <f t="shared" si="3"/>
        <v>-1.1042391800456984E-2</v>
      </c>
      <c r="R43" s="91"/>
      <c r="S43" s="91"/>
      <c r="T43" s="116">
        <v>41061</v>
      </c>
      <c r="U43" s="115">
        <v>35.477890000000002</v>
      </c>
      <c r="V43" s="109">
        <f t="shared" si="6"/>
        <v>0.11559622699771374</v>
      </c>
      <c r="W43">
        <v>1362.16003</v>
      </c>
      <c r="X43" s="111">
        <f t="shared" si="7"/>
        <v>3.9554975908510842E-2</v>
      </c>
    </row>
    <row r="44" spans="1:24">
      <c r="A44" s="91"/>
      <c r="B44" s="107">
        <v>42088</v>
      </c>
      <c r="C44" s="108">
        <v>80.821010000000001</v>
      </c>
      <c r="D44" s="109">
        <f t="shared" si="0"/>
        <v>-4.2123860536304354E-2</v>
      </c>
      <c r="E44" s="110">
        <v>2061.0500499999998</v>
      </c>
      <c r="F44" s="111">
        <f t="shared" si="1"/>
        <v>-1.4558905092039288E-2</v>
      </c>
      <c r="G44" s="112"/>
      <c r="H44" s="112"/>
      <c r="I44" s="112"/>
      <c r="J44" s="112"/>
      <c r="K44" s="91"/>
      <c r="L44" s="91"/>
      <c r="M44" s="107">
        <v>41884</v>
      </c>
      <c r="N44" s="113">
        <v>97.65643</v>
      </c>
      <c r="O44" s="109">
        <f t="shared" si="2"/>
        <v>8.4728863609021595E-3</v>
      </c>
      <c r="P44">
        <v>2007.7099599999999</v>
      </c>
      <c r="Q44" s="111">
        <f t="shared" si="3"/>
        <v>2.16632973439755E-3</v>
      </c>
      <c r="R44" s="91"/>
      <c r="S44" s="91"/>
      <c r="T44" s="116">
        <v>41030</v>
      </c>
      <c r="U44" s="115">
        <v>31.801729999999999</v>
      </c>
      <c r="V44" s="109">
        <f t="shared" si="6"/>
        <v>-0.11621599839927087</v>
      </c>
      <c r="W44">
        <v>1310.32996</v>
      </c>
      <c r="X44" s="111">
        <f t="shared" si="7"/>
        <v>-6.2650720089618347E-2</v>
      </c>
    </row>
    <row r="45" spans="1:24">
      <c r="A45" s="91"/>
      <c r="B45" s="107">
        <v>42087</v>
      </c>
      <c r="C45" s="108">
        <v>84.375219999999999</v>
      </c>
      <c r="D45" s="109">
        <f t="shared" si="0"/>
        <v>-9.2354864092122936E-3</v>
      </c>
      <c r="E45" s="110">
        <v>2091.5</v>
      </c>
      <c r="F45" s="111">
        <f t="shared" si="1"/>
        <v>-6.1394210714370264E-3</v>
      </c>
      <c r="G45" s="112"/>
      <c r="H45" s="112"/>
      <c r="I45" s="112"/>
      <c r="J45" s="112"/>
      <c r="K45" s="91"/>
      <c r="L45" s="91"/>
      <c r="M45" s="107">
        <v>41876</v>
      </c>
      <c r="N45" s="113">
        <v>96.835949999999997</v>
      </c>
      <c r="O45" s="109">
        <f t="shared" si="2"/>
        <v>-4.0825595738866406E-4</v>
      </c>
      <c r="P45">
        <v>2003.37</v>
      </c>
      <c r="Q45" s="111">
        <f t="shared" si="3"/>
        <v>7.5286561302689231E-3</v>
      </c>
      <c r="R45" s="91"/>
      <c r="S45" s="91"/>
      <c r="T45" s="116">
        <v>41001</v>
      </c>
      <c r="U45" s="115">
        <v>35.983600000000003</v>
      </c>
      <c r="V45" s="109">
        <f t="shared" si="6"/>
        <v>-0.25388199659283367</v>
      </c>
      <c r="W45">
        <v>1397.91003</v>
      </c>
      <c r="X45" s="111">
        <f t="shared" si="7"/>
        <v>-7.4974548445644858E-3</v>
      </c>
    </row>
    <row r="46" spans="1:24">
      <c r="A46" s="91"/>
      <c r="B46" s="107">
        <v>42086</v>
      </c>
      <c r="C46" s="108">
        <v>85.161730000000006</v>
      </c>
      <c r="D46" s="109">
        <f t="shared" si="0"/>
        <v>-1.7572021720953648E-2</v>
      </c>
      <c r="E46" s="110">
        <v>2104.4199199999998</v>
      </c>
      <c r="F46" s="111">
        <f t="shared" si="1"/>
        <v>-1.745733041803988E-3</v>
      </c>
      <c r="G46" s="112"/>
      <c r="H46" s="112"/>
      <c r="I46" s="112"/>
      <c r="J46" s="112"/>
      <c r="K46" s="91"/>
      <c r="L46" s="91"/>
      <c r="M46" s="107">
        <v>41869</v>
      </c>
      <c r="N46" s="113">
        <v>96.875500000000002</v>
      </c>
      <c r="O46" s="109">
        <f t="shared" si="2"/>
        <v>4.2220609664979661E-2</v>
      </c>
      <c r="P46">
        <v>1988.40002</v>
      </c>
      <c r="Q46" s="111">
        <f t="shared" si="3"/>
        <v>1.7053164085404117E-2</v>
      </c>
      <c r="R46" s="91"/>
      <c r="S46" s="91"/>
      <c r="T46" s="116">
        <v>40969</v>
      </c>
      <c r="U46" s="115">
        <v>48.227760000000004</v>
      </c>
      <c r="V46" s="109">
        <f t="shared" si="6"/>
        <v>2.2231559837558755E-3</v>
      </c>
      <c r="W46">
        <v>1408.4699700000001</v>
      </c>
      <c r="X46" s="111">
        <f t="shared" si="7"/>
        <v>3.1332316819009082E-2</v>
      </c>
    </row>
    <row r="47" spans="1:24">
      <c r="A47" s="91"/>
      <c r="B47" s="107">
        <v>42083</v>
      </c>
      <c r="C47" s="108">
        <v>86.684960000000004</v>
      </c>
      <c r="D47" s="109">
        <f t="shared" si="0"/>
        <v>2.7738458610937149E-2</v>
      </c>
      <c r="E47" s="110">
        <v>2108.1001000000001</v>
      </c>
      <c r="F47" s="111">
        <f t="shared" si="1"/>
        <v>9.0127555652189852E-3</v>
      </c>
      <c r="G47" s="112"/>
      <c r="H47" s="112"/>
      <c r="I47" s="112"/>
      <c r="J47" s="112"/>
      <c r="K47" s="91"/>
      <c r="L47" s="91"/>
      <c r="M47" s="107">
        <v>41862</v>
      </c>
      <c r="N47" s="113">
        <v>92.951049999999995</v>
      </c>
      <c r="O47" s="109">
        <f t="shared" si="2"/>
        <v>2.8437098642987213E-2</v>
      </c>
      <c r="P47">
        <v>1955.06006</v>
      </c>
      <c r="Q47" s="111">
        <f t="shared" si="3"/>
        <v>1.2150658454703006E-2</v>
      </c>
      <c r="R47" s="91"/>
      <c r="S47" s="91"/>
      <c r="T47" s="116">
        <v>40940</v>
      </c>
      <c r="U47" s="115">
        <v>48.120780000000003</v>
      </c>
      <c r="V47" s="109">
        <f t="shared" si="6"/>
        <v>7.8465618414479632E-2</v>
      </c>
      <c r="W47">
        <v>1365.6800499999999</v>
      </c>
      <c r="X47" s="111">
        <f t="shared" si="7"/>
        <v>4.0589464254551552E-2</v>
      </c>
    </row>
    <row r="48" spans="1:24">
      <c r="A48" s="91"/>
      <c r="B48" s="107">
        <v>42082</v>
      </c>
      <c r="C48" s="108">
        <v>84.345349999999996</v>
      </c>
      <c r="D48" s="109">
        <f t="shared" si="0"/>
        <v>2.1954142201823696E-2</v>
      </c>
      <c r="E48" s="110">
        <v>2089.2700199999999</v>
      </c>
      <c r="F48" s="111">
        <f t="shared" si="1"/>
        <v>-4.8725791855203943E-3</v>
      </c>
      <c r="G48" s="112"/>
      <c r="H48" s="112"/>
      <c r="I48" s="112"/>
      <c r="J48" s="112"/>
      <c r="K48" s="91"/>
      <c r="L48" s="91"/>
      <c r="M48" s="107">
        <v>41855</v>
      </c>
      <c r="N48" s="113">
        <v>90.380880000000005</v>
      </c>
      <c r="O48" s="109">
        <f t="shared" si="2"/>
        <v>-1.4338196923888189E-2</v>
      </c>
      <c r="P48">
        <v>1931.58997</v>
      </c>
      <c r="Q48" s="111">
        <f t="shared" si="3"/>
        <v>3.345167874241797E-3</v>
      </c>
      <c r="R48" s="91"/>
      <c r="S48" s="91"/>
      <c r="T48" s="116">
        <v>40911</v>
      </c>
      <c r="U48" s="115">
        <v>44.619669999999999</v>
      </c>
      <c r="V48" s="109">
        <f t="shared" si="6"/>
        <v>-6.7669281335277914E-2</v>
      </c>
      <c r="W48">
        <v>1312.41003</v>
      </c>
      <c r="X48" s="111">
        <f t="shared" si="7"/>
        <v>4.3583055718560082E-2</v>
      </c>
    </row>
    <row r="49" spans="1:24">
      <c r="A49" s="91"/>
      <c r="B49" s="107">
        <v>42081</v>
      </c>
      <c r="C49" s="108">
        <v>82.5334</v>
      </c>
      <c r="D49" s="109">
        <f t="shared" si="0"/>
        <v>-4.8235971876109157E-4</v>
      </c>
      <c r="E49" s="110">
        <v>2099.5</v>
      </c>
      <c r="F49" s="111">
        <f t="shared" si="1"/>
        <v>1.2158421059474841E-2</v>
      </c>
      <c r="G49" s="112"/>
      <c r="H49" s="112"/>
      <c r="I49" s="112"/>
      <c r="J49" s="112"/>
      <c r="K49" s="91"/>
      <c r="L49" s="91"/>
      <c r="M49" s="107">
        <v>41848</v>
      </c>
      <c r="N49" s="113">
        <v>91.695629999999994</v>
      </c>
      <c r="O49" s="109">
        <f t="shared" si="2"/>
        <v>-1.9400510721928053E-3</v>
      </c>
      <c r="P49">
        <v>1925.15002</v>
      </c>
      <c r="Q49" s="111">
        <f t="shared" si="3"/>
        <v>-2.6886152434154154E-2</v>
      </c>
      <c r="R49" s="91"/>
      <c r="S49" s="91"/>
      <c r="T49" s="116">
        <v>40878</v>
      </c>
      <c r="U49" s="115">
        <v>47.858199999999997</v>
      </c>
      <c r="V49" s="109">
        <f t="shared" si="6"/>
        <v>-2.0279238334746626E-3</v>
      </c>
      <c r="W49">
        <v>1257.59998</v>
      </c>
      <c r="X49" s="111">
        <f t="shared" si="7"/>
        <v>8.5327679647388601E-3</v>
      </c>
    </row>
    <row r="50" spans="1:24">
      <c r="A50" s="91"/>
      <c r="B50" s="107">
        <v>42080</v>
      </c>
      <c r="C50" s="108">
        <v>82.573229999999995</v>
      </c>
      <c r="D50" s="109">
        <f t="shared" si="0"/>
        <v>-9.7898299068469724E-3</v>
      </c>
      <c r="E50" s="110">
        <v>2074.2800299999999</v>
      </c>
      <c r="F50" s="111">
        <f t="shared" si="1"/>
        <v>-3.3201726892838567E-3</v>
      </c>
      <c r="G50" s="112"/>
      <c r="H50" s="112"/>
      <c r="I50" s="112"/>
      <c r="J50" s="112"/>
      <c r="K50" s="91"/>
      <c r="L50" s="91"/>
      <c r="M50" s="107">
        <v>41841</v>
      </c>
      <c r="N50" s="113">
        <v>91.873869999999997</v>
      </c>
      <c r="O50" s="109">
        <f t="shared" si="2"/>
        <v>-1.3542152519908751E-2</v>
      </c>
      <c r="P50">
        <v>1978.33997</v>
      </c>
      <c r="Q50" s="111">
        <f t="shared" si="3"/>
        <v>6.0660594787085712E-5</v>
      </c>
      <c r="R50" s="91"/>
      <c r="S50" s="91"/>
      <c r="T50" s="116">
        <v>40848</v>
      </c>
      <c r="U50" s="115">
        <v>47.955449999999999</v>
      </c>
      <c r="V50" s="109">
        <f t="shared" si="6"/>
        <v>-2.6840325994777797E-2</v>
      </c>
      <c r="W50">
        <v>1246.9599599999999</v>
      </c>
      <c r="X50" s="111">
        <f t="shared" si="7"/>
        <v>-5.0587167853381526E-3</v>
      </c>
    </row>
    <row r="51" spans="1:24">
      <c r="A51" s="91"/>
      <c r="B51" s="107">
        <v>42079</v>
      </c>
      <c r="C51" s="108">
        <v>83.389600000000002</v>
      </c>
      <c r="D51" s="109">
        <f t="shared" si="0"/>
        <v>-7.1576368558024179E-4</v>
      </c>
      <c r="E51" s="110">
        <v>2081.1899400000002</v>
      </c>
      <c r="F51" s="111">
        <f t="shared" si="1"/>
        <v>1.353367164379443E-2</v>
      </c>
      <c r="G51" s="112"/>
      <c r="H51" s="112"/>
      <c r="I51" s="112"/>
      <c r="J51" s="112"/>
      <c r="K51" s="91"/>
      <c r="L51" s="91"/>
      <c r="M51" s="107">
        <v>41834</v>
      </c>
      <c r="N51" s="113">
        <v>93.135120000000001</v>
      </c>
      <c r="O51" s="109">
        <f t="shared" si="2"/>
        <v>-9.9552256598320038E-2</v>
      </c>
      <c r="P51">
        <v>1978.2199700000001</v>
      </c>
      <c r="Q51" s="111">
        <f t="shared" si="3"/>
        <v>5.4127783360383404E-3</v>
      </c>
      <c r="R51" s="91"/>
      <c r="S51" s="91"/>
      <c r="T51" s="116">
        <v>40819</v>
      </c>
      <c r="U51" s="115">
        <v>49.278089999999999</v>
      </c>
      <c r="V51" s="109">
        <f t="shared" si="6"/>
        <v>0.25545083718224953</v>
      </c>
      <c r="W51">
        <v>1253.3000500000001</v>
      </c>
      <c r="X51" s="111">
        <f t="shared" si="7"/>
        <v>0.10772304333587736</v>
      </c>
    </row>
    <row r="52" spans="1:24">
      <c r="A52" s="91"/>
      <c r="B52" s="107">
        <v>42076</v>
      </c>
      <c r="C52" s="108">
        <v>83.449330000000003</v>
      </c>
      <c r="D52" s="109">
        <f t="shared" si="0"/>
        <v>8.3581555401304774E-4</v>
      </c>
      <c r="E52" s="110">
        <v>2053.3998999999999</v>
      </c>
      <c r="F52" s="111">
        <f t="shared" si="1"/>
        <v>-6.0747115388735734E-3</v>
      </c>
      <c r="G52" s="112"/>
      <c r="H52" s="112"/>
      <c r="I52" s="112"/>
      <c r="J52" s="112"/>
      <c r="K52" s="91"/>
      <c r="L52" s="91"/>
      <c r="M52" s="107">
        <v>41827</v>
      </c>
      <c r="N52" s="113">
        <v>103.43201000000001</v>
      </c>
      <c r="O52" s="109">
        <f t="shared" si="2"/>
        <v>-1.6766640566129091E-2</v>
      </c>
      <c r="P52">
        <v>1967.5699500000001</v>
      </c>
      <c r="Q52" s="111">
        <f t="shared" si="3"/>
        <v>-9.0005190486899932E-3</v>
      </c>
      <c r="R52" s="91"/>
      <c r="S52" s="91"/>
      <c r="T52" s="116">
        <v>40787</v>
      </c>
      <c r="U52" s="115">
        <v>39.251309999999997</v>
      </c>
      <c r="V52" s="109">
        <f t="shared" si="6"/>
        <v>0.10122794741889193</v>
      </c>
      <c r="W52">
        <v>1131.42004</v>
      </c>
      <c r="X52" s="111">
        <f t="shared" si="7"/>
        <v>-7.1761987777715974E-2</v>
      </c>
    </row>
    <row r="53" spans="1:24">
      <c r="A53" s="91"/>
      <c r="B53" s="107">
        <v>42075</v>
      </c>
      <c r="C53" s="108">
        <v>83.379639999999995</v>
      </c>
      <c r="D53" s="109">
        <f t="shared" si="0"/>
        <v>1.2329148989074818E-2</v>
      </c>
      <c r="E53" s="110">
        <v>2065.9499500000002</v>
      </c>
      <c r="F53" s="111">
        <f t="shared" si="1"/>
        <v>1.2601439108151261E-2</v>
      </c>
      <c r="G53" s="112"/>
      <c r="H53" s="112"/>
      <c r="I53" s="112"/>
      <c r="J53" s="112"/>
      <c r="K53" s="91"/>
      <c r="L53" s="91"/>
      <c r="M53" s="107">
        <v>41820</v>
      </c>
      <c r="N53" s="113">
        <v>105.19579</v>
      </c>
      <c r="O53" s="109">
        <f t="shared" si="2"/>
        <v>3.9127994477781772E-2</v>
      </c>
      <c r="P53">
        <v>1985.43994</v>
      </c>
      <c r="Q53" s="111">
        <f t="shared" si="3"/>
        <v>1.2483671517698948E-2</v>
      </c>
      <c r="R53" s="91"/>
      <c r="S53" s="91"/>
      <c r="T53" s="116">
        <v>40756</v>
      </c>
      <c r="U53" s="115">
        <v>35.643219999999999</v>
      </c>
      <c r="V53" s="109">
        <f t="shared" si="6"/>
        <v>-0.13825523086701735</v>
      </c>
      <c r="W53">
        <v>1218.8900100000001</v>
      </c>
      <c r="X53" s="111">
        <f t="shared" si="7"/>
        <v>-5.6791112062607535E-2</v>
      </c>
    </row>
    <row r="54" spans="1:24">
      <c r="A54" s="91"/>
      <c r="B54" s="107">
        <v>42074</v>
      </c>
      <c r="C54" s="108">
        <v>82.364159999999998</v>
      </c>
      <c r="D54" s="109">
        <f t="shared" si="0"/>
        <v>3.1932280797193742E-2</v>
      </c>
      <c r="E54" s="110">
        <v>2040.23999</v>
      </c>
      <c r="F54" s="111">
        <f t="shared" si="1"/>
        <v>-1.9176776487504121E-3</v>
      </c>
      <c r="G54" s="112"/>
      <c r="H54" s="112"/>
      <c r="I54" s="112"/>
      <c r="J54" s="112"/>
      <c r="K54" s="91"/>
      <c r="L54" s="91"/>
      <c r="M54" s="107">
        <v>41813</v>
      </c>
      <c r="N54" s="113">
        <v>101.23468</v>
      </c>
      <c r="O54" s="109">
        <f t="shared" si="2"/>
        <v>7.4523947757006255E-3</v>
      </c>
      <c r="P54">
        <v>1960.9599599999999</v>
      </c>
      <c r="Q54" s="111">
        <f t="shared" si="3"/>
        <v>-9.7308532913538903E-4</v>
      </c>
      <c r="R54" s="91"/>
      <c r="S54" s="91"/>
      <c r="T54" s="116">
        <v>40725</v>
      </c>
      <c r="U54" s="115">
        <v>41.361690000000003</v>
      </c>
      <c r="V54" s="109">
        <f t="shared" si="6"/>
        <v>2.4819133998794339E-2</v>
      </c>
      <c r="W54">
        <v>1292.2800299999999</v>
      </c>
      <c r="X54" s="111">
        <f t="shared" si="7"/>
        <v>-2.1474421330003608E-2</v>
      </c>
    </row>
    <row r="55" spans="1:24">
      <c r="A55" s="91"/>
      <c r="B55" s="107">
        <v>42073</v>
      </c>
      <c r="C55" s="108">
        <v>79.815470000000005</v>
      </c>
      <c r="D55" s="109">
        <f t="shared" si="0"/>
        <v>-2.3388971426571651E-2</v>
      </c>
      <c r="E55" s="110">
        <v>2044.16003</v>
      </c>
      <c r="F55" s="111">
        <f t="shared" si="1"/>
        <v>-1.6961331320262271E-2</v>
      </c>
      <c r="G55" s="112"/>
      <c r="H55" s="112"/>
      <c r="I55" s="112"/>
      <c r="J55" s="112"/>
      <c r="K55" s="91"/>
      <c r="L55" s="91"/>
      <c r="M55" s="107">
        <v>41806</v>
      </c>
      <c r="N55" s="113">
        <v>100.48582</v>
      </c>
      <c r="O55" s="109">
        <f t="shared" si="2"/>
        <v>3.5645453792151539E-2</v>
      </c>
      <c r="P55">
        <v>1962.87</v>
      </c>
      <c r="Q55" s="111">
        <f t="shared" si="3"/>
        <v>1.3795331783602559E-2</v>
      </c>
      <c r="R55" s="91"/>
      <c r="S55" s="91"/>
      <c r="T55" s="116">
        <v>40695</v>
      </c>
      <c r="U55" s="115">
        <v>40.359990000000003</v>
      </c>
      <c r="V55" s="109">
        <f t="shared" si="6"/>
        <v>-0.12668350405131523</v>
      </c>
      <c r="W55">
        <v>1320.6400100000001</v>
      </c>
      <c r="X55" s="111">
        <f t="shared" si="7"/>
        <v>-1.8257464252804848E-2</v>
      </c>
    </row>
    <row r="56" spans="1:24">
      <c r="A56" s="91"/>
      <c r="B56" s="107">
        <v>42072</v>
      </c>
      <c r="C56" s="108">
        <v>81.726979999999998</v>
      </c>
      <c r="D56" s="109">
        <f t="shared" si="0"/>
        <v>1.7728659005463179E-2</v>
      </c>
      <c r="E56" s="110">
        <v>2079.4299299999998</v>
      </c>
      <c r="F56" s="111">
        <f t="shared" si="1"/>
        <v>3.9444202855052563E-3</v>
      </c>
      <c r="G56" s="112"/>
      <c r="H56" s="112"/>
      <c r="I56" s="112"/>
      <c r="J56" s="112"/>
      <c r="K56" s="91"/>
      <c r="L56" s="91"/>
      <c r="M56" s="107">
        <v>41799</v>
      </c>
      <c r="N56" s="113">
        <v>97.027240000000006</v>
      </c>
      <c r="O56" s="109">
        <f t="shared" si="2"/>
        <v>-1.5398597326755978E-2</v>
      </c>
      <c r="P56">
        <v>1936.16003</v>
      </c>
      <c r="Q56" s="111">
        <f t="shared" si="3"/>
        <v>-6.8121667805780012E-3</v>
      </c>
      <c r="R56" s="91"/>
      <c r="S56" s="91"/>
      <c r="T56" s="116">
        <v>40665</v>
      </c>
      <c r="U56" s="115">
        <v>46.214619999999996</v>
      </c>
      <c r="V56" s="109">
        <f t="shared" si="6"/>
        <v>-3.6691686694500701E-2</v>
      </c>
      <c r="W56">
        <v>1345.1999499999999</v>
      </c>
      <c r="X56" s="111">
        <f t="shared" si="7"/>
        <v>-1.3500957117511278E-2</v>
      </c>
    </row>
    <row r="57" spans="1:24">
      <c r="A57" s="91"/>
      <c r="B57" s="107">
        <v>42069</v>
      </c>
      <c r="C57" s="108">
        <v>80.303309999999996</v>
      </c>
      <c r="D57" s="109">
        <f t="shared" si="0"/>
        <v>-2.2539933014489207E-2</v>
      </c>
      <c r="E57" s="110">
        <v>2071.26001</v>
      </c>
      <c r="F57" s="111">
        <f t="shared" si="1"/>
        <v>-1.4173946918212896E-2</v>
      </c>
      <c r="G57" s="112"/>
      <c r="H57" s="112"/>
      <c r="I57" s="112"/>
      <c r="J57" s="112"/>
      <c r="K57" s="91"/>
      <c r="L57" s="91"/>
      <c r="M57" s="107">
        <v>41792</v>
      </c>
      <c r="N57" s="113">
        <v>98.544690000000003</v>
      </c>
      <c r="O57" s="109">
        <f t="shared" si="2"/>
        <v>3.4978921211331893E-2</v>
      </c>
      <c r="P57">
        <v>1949.43994</v>
      </c>
      <c r="Q57" s="111">
        <f t="shared" si="3"/>
        <v>1.3448946839702875E-2</v>
      </c>
      <c r="R57" s="91"/>
      <c r="S57" s="91"/>
      <c r="T57" s="116">
        <v>40634</v>
      </c>
      <c r="U57" s="115">
        <v>47.974899999999998</v>
      </c>
      <c r="V57" s="109">
        <f t="shared" si="6"/>
        <v>7.0297319064159883E-2</v>
      </c>
      <c r="W57">
        <v>1363.6099899999999</v>
      </c>
      <c r="X57" s="111">
        <f t="shared" si="7"/>
        <v>2.8495381112069527E-2</v>
      </c>
    </row>
    <row r="58" spans="1:24">
      <c r="A58" s="91"/>
      <c r="B58" s="107">
        <v>42068</v>
      </c>
      <c r="C58" s="108">
        <v>82.155079999999998</v>
      </c>
      <c r="D58" s="109">
        <f t="shared" si="0"/>
        <v>-1.9352633160816101E-3</v>
      </c>
      <c r="E58" s="110">
        <v>2101.0400399999999</v>
      </c>
      <c r="F58" s="111">
        <f t="shared" si="1"/>
        <v>1.1960800961232686E-3</v>
      </c>
      <c r="G58" s="112"/>
      <c r="H58" s="112"/>
      <c r="I58" s="112"/>
      <c r="J58" s="112"/>
      <c r="K58" s="91"/>
      <c r="L58" s="91"/>
      <c r="M58" s="107">
        <v>41786</v>
      </c>
      <c r="N58" s="113">
        <v>95.214200000000005</v>
      </c>
      <c r="O58" s="109">
        <f t="shared" si="2"/>
        <v>2.5034455183930809E-2</v>
      </c>
      <c r="P58">
        <v>1923.5699500000001</v>
      </c>
      <c r="Q58" s="111">
        <f t="shared" si="3"/>
        <v>1.212289184401899E-2</v>
      </c>
      <c r="R58" s="91"/>
      <c r="S58" s="91"/>
      <c r="T58" s="116">
        <v>40603</v>
      </c>
      <c r="U58" s="115">
        <v>44.823900000000002</v>
      </c>
      <c r="V58" s="109">
        <f t="shared" si="6"/>
        <v>-7.076613454931717E-2</v>
      </c>
      <c r="W58">
        <v>1325.82996</v>
      </c>
      <c r="X58" s="111">
        <f t="shared" si="7"/>
        <v>-1.0473094373346979E-3</v>
      </c>
    </row>
    <row r="59" spans="1:24">
      <c r="A59" s="91"/>
      <c r="B59" s="107">
        <v>42067</v>
      </c>
      <c r="C59" s="108">
        <v>82.31438</v>
      </c>
      <c r="D59" s="109">
        <f t="shared" si="0"/>
        <v>4.5391530429676107E-2</v>
      </c>
      <c r="E59" s="110">
        <v>2098.5300299999999</v>
      </c>
      <c r="F59" s="111">
        <f t="shared" si="1"/>
        <v>-4.3885034815516304E-3</v>
      </c>
      <c r="G59" s="112"/>
      <c r="H59" s="112"/>
      <c r="I59" s="112"/>
      <c r="J59" s="112"/>
      <c r="K59" s="91"/>
      <c r="L59" s="91"/>
      <c r="M59" s="107">
        <v>41778</v>
      </c>
      <c r="N59" s="113">
        <v>92.888779999999997</v>
      </c>
      <c r="O59" s="109">
        <f t="shared" si="2"/>
        <v>3.6047891047687991E-2</v>
      </c>
      <c r="P59">
        <v>1900.5300299999999</v>
      </c>
      <c r="Q59" s="111">
        <f t="shared" si="3"/>
        <v>1.2072273822714532E-2</v>
      </c>
      <c r="R59" s="91"/>
      <c r="S59" s="91"/>
      <c r="T59" s="116">
        <v>40575</v>
      </c>
      <c r="U59" s="115">
        <v>48.237479999999998</v>
      </c>
      <c r="V59" s="109">
        <f t="shared" si="6"/>
        <v>9.3233383978852113E-2</v>
      </c>
      <c r="W59">
        <v>1327.2199700000001</v>
      </c>
      <c r="X59" s="111">
        <f t="shared" si="7"/>
        <v>3.1956559263521457E-2</v>
      </c>
    </row>
    <row r="60" spans="1:24">
      <c r="A60" s="91"/>
      <c r="B60" s="107">
        <v>42066</v>
      </c>
      <c r="C60" s="108">
        <v>78.74024</v>
      </c>
      <c r="D60" s="109">
        <f t="shared" si="0"/>
        <v>-1.4454950440026945E-2</v>
      </c>
      <c r="E60" s="110">
        <v>2107.7800299999999</v>
      </c>
      <c r="F60" s="111">
        <f t="shared" si="1"/>
        <v>-4.5385406085980823E-3</v>
      </c>
      <c r="G60" s="112"/>
      <c r="H60" s="112"/>
      <c r="I60" s="112"/>
      <c r="J60" s="112"/>
      <c r="K60" s="91"/>
      <c r="L60" s="91"/>
      <c r="M60" s="107">
        <v>41771</v>
      </c>
      <c r="N60" s="113">
        <v>89.656840000000003</v>
      </c>
      <c r="O60" s="109">
        <f t="shared" si="2"/>
        <v>2.4200824461601593E-2</v>
      </c>
      <c r="P60">
        <v>1877.8599899999999</v>
      </c>
      <c r="Q60" s="111">
        <f t="shared" si="3"/>
        <v>-3.3004876634359632E-4</v>
      </c>
      <c r="R60" s="91"/>
      <c r="S60" s="91"/>
      <c r="T60" s="116">
        <v>40546</v>
      </c>
      <c r="U60" s="115">
        <v>44.12368</v>
      </c>
      <c r="V60" s="109">
        <f t="shared" si="6"/>
        <v>-9.0052162966892016E-2</v>
      </c>
      <c r="W60">
        <v>1286.1199999999999</v>
      </c>
      <c r="X60" s="111">
        <f t="shared" si="7"/>
        <v>2.2645582021519665E-2</v>
      </c>
    </row>
    <row r="61" spans="1:24">
      <c r="A61" s="91"/>
      <c r="B61" s="107">
        <v>42065</v>
      </c>
      <c r="C61" s="108">
        <v>79.895120000000006</v>
      </c>
      <c r="D61" s="109">
        <f t="shared" si="0"/>
        <v>4.0034412152125665E-3</v>
      </c>
      <c r="E61" s="110">
        <v>2117.3898899999999</v>
      </c>
      <c r="F61" s="111">
        <f t="shared" si="1"/>
        <v>6.1249180327868488E-3</v>
      </c>
      <c r="G61" s="112"/>
      <c r="H61" s="112"/>
      <c r="I61" s="112"/>
      <c r="J61" s="112"/>
      <c r="K61" s="91"/>
      <c r="L61" s="91"/>
      <c r="M61" s="107">
        <v>41764</v>
      </c>
      <c r="N61" s="113">
        <v>87.538340000000005</v>
      </c>
      <c r="O61" s="109">
        <f t="shared" si="2"/>
        <v>3.7365785145787395E-2</v>
      </c>
      <c r="P61">
        <v>1878.4799800000001</v>
      </c>
      <c r="Q61" s="111">
        <f t="shared" si="3"/>
        <v>-1.4140521098161142E-3</v>
      </c>
      <c r="R61" s="91"/>
      <c r="S61" s="91"/>
      <c r="T61" s="116">
        <v>40513</v>
      </c>
      <c r="U61" s="115">
        <v>48.490340000000003</v>
      </c>
      <c r="V61" s="109">
        <f t="shared" si="6"/>
        <v>0.11793729220379653</v>
      </c>
      <c r="W61">
        <v>1257.6400100000001</v>
      </c>
      <c r="X61" s="111">
        <f t="shared" si="7"/>
        <v>6.5300035352164873E-2</v>
      </c>
    </row>
    <row r="62" spans="1:24">
      <c r="A62" s="91"/>
      <c r="B62" s="107">
        <v>42062</v>
      </c>
      <c r="C62" s="108">
        <v>79.576539999999994</v>
      </c>
      <c r="D62" s="109">
        <f t="shared" si="0"/>
        <v>2.4087170878008272E-2</v>
      </c>
      <c r="E62" s="110">
        <v>2104.5</v>
      </c>
      <c r="F62" s="111">
        <f t="shared" si="1"/>
        <v>-2.9563044380468834E-3</v>
      </c>
      <c r="G62" s="112"/>
      <c r="H62" s="112"/>
      <c r="I62" s="112"/>
      <c r="J62" s="112"/>
      <c r="K62" s="91"/>
      <c r="L62" s="91"/>
      <c r="M62" s="107">
        <v>41757</v>
      </c>
      <c r="N62" s="113">
        <v>84.385220000000004</v>
      </c>
      <c r="O62" s="109">
        <f t="shared" si="2"/>
        <v>1.798898931696416E-2</v>
      </c>
      <c r="P62">
        <v>1881.1400100000001</v>
      </c>
      <c r="Q62" s="111">
        <f t="shared" si="3"/>
        <v>9.5202263655659054E-3</v>
      </c>
      <c r="R62" s="91"/>
      <c r="S62" s="91"/>
      <c r="T62" s="116">
        <v>40483</v>
      </c>
      <c r="U62" s="115">
        <v>43.374830000000003</v>
      </c>
      <c r="V62" s="109">
        <f t="shared" si="6"/>
        <v>0.18522446258228301</v>
      </c>
      <c r="W62">
        <v>1180.5500500000001</v>
      </c>
      <c r="X62" s="111">
        <f t="shared" si="7"/>
        <v>-2.2902489538203104E-3</v>
      </c>
    </row>
    <row r="63" spans="1:24">
      <c r="A63" s="91"/>
      <c r="B63" s="107">
        <v>42061</v>
      </c>
      <c r="C63" s="108">
        <v>77.704849999999993</v>
      </c>
      <c r="D63" s="109">
        <f t="shared" si="0"/>
        <v>-8.7630338887486978E-3</v>
      </c>
      <c r="E63" s="110">
        <v>2110.73999</v>
      </c>
      <c r="F63" s="111">
        <f t="shared" si="1"/>
        <v>-1.4760295561847953E-3</v>
      </c>
      <c r="G63" s="112"/>
      <c r="H63" s="112"/>
      <c r="I63" s="112"/>
      <c r="J63" s="112"/>
      <c r="K63" s="91"/>
      <c r="L63" s="91"/>
      <c r="M63" s="107">
        <v>41750</v>
      </c>
      <c r="N63" s="113">
        <v>82.894040000000004</v>
      </c>
      <c r="O63" s="109">
        <f t="shared" si="2"/>
        <v>1.6387452683701113E-2</v>
      </c>
      <c r="P63">
        <v>1863.40002</v>
      </c>
      <c r="Q63" s="111">
        <f t="shared" si="3"/>
        <v>-7.7752098857835153E-4</v>
      </c>
      <c r="R63" s="91"/>
      <c r="S63" s="91"/>
      <c r="T63" s="116">
        <v>40452</v>
      </c>
      <c r="U63" s="115">
        <v>36.596299999999999</v>
      </c>
      <c r="V63" s="109">
        <f t="shared" si="6"/>
        <v>2.6739447221659544E-2</v>
      </c>
      <c r="W63">
        <v>1183.26001</v>
      </c>
      <c r="X63" s="111">
        <f t="shared" si="7"/>
        <v>3.6855995305643E-2</v>
      </c>
    </row>
    <row r="64" spans="1:24">
      <c r="A64" s="91"/>
      <c r="B64" s="107">
        <v>42060</v>
      </c>
      <c r="C64" s="108">
        <v>78.391800000000003</v>
      </c>
      <c r="D64" s="109">
        <f t="shared" si="0"/>
        <v>-1.1629321721452809E-2</v>
      </c>
      <c r="E64" s="110">
        <v>2113.8601100000001</v>
      </c>
      <c r="F64" s="111">
        <f t="shared" si="1"/>
        <v>-7.6572220740183587E-4</v>
      </c>
      <c r="G64" s="112"/>
      <c r="H64" s="112"/>
      <c r="I64" s="112"/>
      <c r="J64" s="112"/>
      <c r="K64" s="91"/>
      <c r="L64" s="91"/>
      <c r="M64" s="107">
        <v>41743</v>
      </c>
      <c r="N64" s="113">
        <v>81.557519999999997</v>
      </c>
      <c r="O64" s="109">
        <f t="shared" si="2"/>
        <v>0.12681596833545325</v>
      </c>
      <c r="P64">
        <v>1864.84998</v>
      </c>
      <c r="Q64" s="111">
        <f t="shared" si="3"/>
        <v>2.7075129358264761E-2</v>
      </c>
      <c r="R64" s="91"/>
      <c r="S64" s="91"/>
      <c r="T64" s="116">
        <v>40422</v>
      </c>
      <c r="U64" s="115">
        <v>35.643219999999999</v>
      </c>
      <c r="V64" s="109">
        <f t="shared" si="6"/>
        <v>0.10624793605943147</v>
      </c>
      <c r="W64">
        <v>1141.1999499999999</v>
      </c>
      <c r="X64" s="111">
        <f t="shared" si="7"/>
        <v>8.755109784533352E-2</v>
      </c>
    </row>
    <row r="65" spans="1:24">
      <c r="A65" s="91"/>
      <c r="B65" s="107">
        <v>42059</v>
      </c>
      <c r="C65" s="108">
        <v>79.314170000000004</v>
      </c>
      <c r="D65" s="109">
        <f t="shared" si="0"/>
        <v>-1.7446925907798005E-2</v>
      </c>
      <c r="E65" s="110">
        <v>2115.4799800000001</v>
      </c>
      <c r="F65" s="111">
        <f t="shared" si="1"/>
        <v>2.7587716732979085E-3</v>
      </c>
      <c r="G65" s="112"/>
      <c r="H65" s="112"/>
      <c r="I65" s="112"/>
      <c r="J65" s="112"/>
      <c r="K65" s="91"/>
      <c r="L65" s="91"/>
      <c r="M65" s="107">
        <v>41736</v>
      </c>
      <c r="N65" s="113">
        <v>72.378739999999993</v>
      </c>
      <c r="O65" s="109">
        <f t="shared" si="2"/>
        <v>-9.0179054823134333E-2</v>
      </c>
      <c r="P65">
        <v>1815.68994</v>
      </c>
      <c r="Q65" s="111">
        <f t="shared" si="3"/>
        <v>-2.6486673991389282E-2</v>
      </c>
      <c r="R65" s="91"/>
      <c r="S65" s="91"/>
      <c r="T65" s="116">
        <v>40392</v>
      </c>
      <c r="U65" s="115">
        <v>32.219920000000002</v>
      </c>
      <c r="V65" s="109">
        <f t="shared" si="6"/>
        <v>-0.24187638648494242</v>
      </c>
      <c r="W65">
        <v>1049.32996</v>
      </c>
      <c r="X65" s="111">
        <f t="shared" si="7"/>
        <v>-4.7449183867995293E-2</v>
      </c>
    </row>
    <row r="66" spans="1:24">
      <c r="A66" s="91"/>
      <c r="B66" s="107">
        <v>42058</v>
      </c>
      <c r="C66" s="108">
        <v>80.722530000000006</v>
      </c>
      <c r="D66" s="109">
        <f t="shared" si="0"/>
        <v>-1.5006525133202275E-2</v>
      </c>
      <c r="E66" s="110">
        <v>2109.6599099999999</v>
      </c>
      <c r="F66" s="111">
        <f t="shared" si="1"/>
        <v>-3.0334075005114747E-4</v>
      </c>
      <c r="G66" s="112"/>
      <c r="H66" s="112"/>
      <c r="I66" s="112"/>
      <c r="J66" s="112"/>
      <c r="K66" s="91"/>
      <c r="L66" s="91"/>
      <c r="M66" s="107">
        <v>41729</v>
      </c>
      <c r="N66" s="113">
        <v>79.552729999999997</v>
      </c>
      <c r="O66" s="109">
        <f t="shared" si="2"/>
        <v>4.2178225820703958E-3</v>
      </c>
      <c r="P66">
        <v>1865.08997</v>
      </c>
      <c r="Q66" s="111">
        <f t="shared" si="3"/>
        <v>4.0212583843843757E-3</v>
      </c>
      <c r="R66" s="91"/>
      <c r="S66" s="91"/>
      <c r="T66" s="116">
        <v>40360</v>
      </c>
      <c r="U66" s="115">
        <v>42.499560000000002</v>
      </c>
      <c r="V66" s="109">
        <f t="shared" si="6"/>
        <v>3.8745104710256842E-2</v>
      </c>
      <c r="W66">
        <v>1101.59998</v>
      </c>
      <c r="X66" s="111">
        <f t="shared" si="7"/>
        <v>6.8777854829306248E-2</v>
      </c>
    </row>
    <row r="67" spans="1:24">
      <c r="A67" s="91"/>
      <c r="B67" s="107">
        <v>42055</v>
      </c>
      <c r="C67" s="108">
        <v>81.952349999999996</v>
      </c>
      <c r="D67" s="109">
        <f t="shared" si="0"/>
        <v>2.6695080734908485E-3</v>
      </c>
      <c r="E67" s="110">
        <v>2110.3000499999998</v>
      </c>
      <c r="F67" s="111">
        <f t="shared" si="1"/>
        <v>6.1265347475870187E-3</v>
      </c>
      <c r="G67" s="112"/>
      <c r="H67" s="112"/>
      <c r="I67" s="112"/>
      <c r="J67" s="112"/>
      <c r="K67" s="91"/>
      <c r="L67" s="91"/>
      <c r="M67" s="107">
        <v>41722</v>
      </c>
      <c r="N67" s="113">
        <v>79.218599999999995</v>
      </c>
      <c r="O67" s="109">
        <f t="shared" si="2"/>
        <v>6.367080213523277E-3</v>
      </c>
      <c r="P67">
        <v>1857.62</v>
      </c>
      <c r="Q67" s="111">
        <f t="shared" si="3"/>
        <v>-4.7682424536759273E-3</v>
      </c>
      <c r="R67" s="91"/>
      <c r="S67" s="91"/>
      <c r="T67" s="116">
        <v>40330</v>
      </c>
      <c r="U67" s="115">
        <v>40.91433</v>
      </c>
      <c r="V67" s="109">
        <f t="shared" si="6"/>
        <v>-9.7597583026131404E-2</v>
      </c>
      <c r="W67">
        <v>1030.7099599999999</v>
      </c>
      <c r="X67" s="111">
        <f t="shared" si="7"/>
        <v>-5.3882439470472013E-2</v>
      </c>
    </row>
    <row r="68" spans="1:24">
      <c r="A68" s="91"/>
      <c r="B68" s="107">
        <v>42054</v>
      </c>
      <c r="C68" s="108">
        <v>81.734160000000003</v>
      </c>
      <c r="D68" s="109">
        <f t="shared" si="0"/>
        <v>5.7358355722213457E-3</v>
      </c>
      <c r="E68" s="110">
        <v>2097.4499500000002</v>
      </c>
      <c r="F68" s="111">
        <f t="shared" si="1"/>
        <v>-1.0620571107709802E-3</v>
      </c>
      <c r="G68" s="112"/>
      <c r="H68" s="112"/>
      <c r="I68" s="112"/>
      <c r="J68" s="112"/>
      <c r="K68" s="91"/>
      <c r="L68" s="91"/>
      <c r="M68" s="107">
        <v>41715</v>
      </c>
      <c r="N68" s="113">
        <v>78.717399999999998</v>
      </c>
      <c r="O68" s="109">
        <f t="shared" si="2"/>
        <v>9.3067678009840185E-2</v>
      </c>
      <c r="P68">
        <v>1866.5200199999999</v>
      </c>
      <c r="Q68" s="111">
        <f t="shared" si="3"/>
        <v>1.3790454775056525E-2</v>
      </c>
      <c r="R68" s="91"/>
      <c r="S68" s="91"/>
      <c r="T68" s="116">
        <v>40312</v>
      </c>
      <c r="U68" s="115">
        <v>45.33934</v>
      </c>
      <c r="V68" s="131"/>
      <c r="W68">
        <v>1089.41003</v>
      </c>
      <c r="X68" s="14"/>
    </row>
    <row r="69" spans="1:24">
      <c r="A69" s="91"/>
      <c r="B69" s="107">
        <v>42053</v>
      </c>
      <c r="C69" s="108">
        <v>81.268020000000007</v>
      </c>
      <c r="D69" s="109">
        <f t="shared" si="0"/>
        <v>-3.1629220070975468E-3</v>
      </c>
      <c r="E69" s="110">
        <v>2099.6799299999998</v>
      </c>
      <c r="F69" s="111">
        <f t="shared" si="1"/>
        <v>-3.1431100284352517E-4</v>
      </c>
      <c r="G69" s="112"/>
      <c r="H69" s="112"/>
      <c r="I69" s="112"/>
      <c r="J69" s="112"/>
      <c r="K69" s="91"/>
      <c r="L69" s="91"/>
      <c r="M69" s="107">
        <v>41708</v>
      </c>
      <c r="N69" s="113">
        <v>72.015119999999996</v>
      </c>
      <c r="O69" s="109">
        <f t="shared" si="2"/>
        <v>-1.518619602814994E-2</v>
      </c>
      <c r="P69">
        <v>1841.13</v>
      </c>
      <c r="Q69" s="111">
        <f t="shared" si="3"/>
        <v>-1.9653489389928013E-2</v>
      </c>
      <c r="R69" s="91"/>
      <c r="S69" s="91"/>
      <c r="T69" s="91"/>
      <c r="U69" s="91"/>
      <c r="V69" s="91"/>
      <c r="W69" s="91"/>
      <c r="X69" s="91"/>
    </row>
    <row r="70" spans="1:24">
      <c r="A70" s="91"/>
      <c r="B70" s="107">
        <v>42052</v>
      </c>
      <c r="C70" s="108">
        <v>81.525880000000001</v>
      </c>
      <c r="D70" s="109">
        <f t="shared" si="0"/>
        <v>-7.3661706006523586E-3</v>
      </c>
      <c r="E70" s="110">
        <v>2100.3400900000001</v>
      </c>
      <c r="F70" s="111">
        <f t="shared" si="1"/>
        <v>1.5975755802249258E-3</v>
      </c>
      <c r="G70" s="112"/>
      <c r="H70" s="112"/>
      <c r="I70" s="112"/>
      <c r="J70" s="112"/>
      <c r="K70" s="91"/>
      <c r="L70" s="91"/>
      <c r="M70" s="107">
        <v>41701</v>
      </c>
      <c r="N70" s="113">
        <v>73.125619999999998</v>
      </c>
      <c r="O70" s="109">
        <f t="shared" si="2"/>
        <v>1.4804666058227285E-3</v>
      </c>
      <c r="P70">
        <v>1878.0400400000001</v>
      </c>
      <c r="Q70" s="111">
        <f t="shared" si="3"/>
        <v>9.9976285997911089E-3</v>
      </c>
      <c r="R70" s="91"/>
      <c r="S70" s="91"/>
      <c r="T70" s="91"/>
      <c r="U70" s="91"/>
      <c r="V70" s="91"/>
      <c r="W70" s="91"/>
      <c r="X70" s="91"/>
    </row>
    <row r="71" spans="1:24">
      <c r="A71" s="91"/>
      <c r="B71" s="107">
        <v>42048</v>
      </c>
      <c r="C71" s="108">
        <v>82.130870000000002</v>
      </c>
      <c r="D71" s="109">
        <f t="shared" si="0"/>
        <v>6.1966256200455061E-3</v>
      </c>
      <c r="E71" s="110">
        <v>2096.98999</v>
      </c>
      <c r="F71" s="111">
        <f t="shared" si="1"/>
        <v>4.0747386048680077E-3</v>
      </c>
      <c r="G71" s="112"/>
      <c r="H71" s="112"/>
      <c r="I71" s="112"/>
      <c r="J71" s="112"/>
      <c r="K71" s="91"/>
      <c r="L71" s="91"/>
      <c r="M71" s="107">
        <v>41694</v>
      </c>
      <c r="N71" s="113">
        <v>73.017520000000005</v>
      </c>
      <c r="O71" s="109">
        <f t="shared" si="2"/>
        <v>-6.6844976165466412E-3</v>
      </c>
      <c r="P71">
        <v>1859.4499499999999</v>
      </c>
      <c r="Q71" s="111">
        <f t="shared" si="3"/>
        <v>1.2634417971409092E-2</v>
      </c>
      <c r="R71" s="91"/>
      <c r="S71" s="91"/>
      <c r="T71" s="91"/>
      <c r="U71" s="91"/>
      <c r="V71" s="91"/>
      <c r="W71" s="91"/>
      <c r="X71" s="91"/>
    </row>
    <row r="72" spans="1:24">
      <c r="A72" s="91"/>
      <c r="B72" s="107">
        <v>42047</v>
      </c>
      <c r="C72" s="108">
        <v>81.625069999999994</v>
      </c>
      <c r="D72" s="109">
        <f t="shared" si="0"/>
        <v>2.3886739721628445E-2</v>
      </c>
      <c r="E72" s="110">
        <v>2088.4799800000001</v>
      </c>
      <c r="F72" s="111">
        <f t="shared" si="1"/>
        <v>9.6445058619720261E-3</v>
      </c>
      <c r="G72" s="112"/>
      <c r="H72" s="112"/>
      <c r="I72" s="112"/>
      <c r="J72" s="112"/>
      <c r="K72" s="91"/>
      <c r="L72" s="91"/>
      <c r="M72" s="107">
        <v>41688</v>
      </c>
      <c r="N72" s="113">
        <v>73.508889999999994</v>
      </c>
      <c r="O72" s="109">
        <f t="shared" si="2"/>
        <v>2.8154561146677762E-3</v>
      </c>
      <c r="P72">
        <v>1836.25</v>
      </c>
      <c r="Q72" s="111">
        <f t="shared" si="3"/>
        <v>-1.294442057401494E-3</v>
      </c>
      <c r="R72" s="91"/>
      <c r="S72" s="91"/>
      <c r="T72" s="91"/>
      <c r="U72" s="91"/>
      <c r="V72" s="91"/>
      <c r="W72" s="91"/>
      <c r="X72" s="91"/>
    </row>
    <row r="73" spans="1:24">
      <c r="A73" s="91"/>
      <c r="B73" s="107">
        <v>42046</v>
      </c>
      <c r="C73" s="108">
        <v>79.720799999999997</v>
      </c>
      <c r="D73" s="109">
        <f t="shared" ref="D73:D136" si="8">(C73-C74)/C74</f>
        <v>1.6824630888199896E-2</v>
      </c>
      <c r="E73" s="110">
        <v>2068.5300299999999</v>
      </c>
      <c r="F73" s="111">
        <f t="shared" ref="F73:F136" si="9">(E73-E74)/E74</f>
        <v>-2.903426845685444E-5</v>
      </c>
      <c r="G73" s="91"/>
      <c r="H73" s="91"/>
      <c r="I73" s="91"/>
      <c r="J73" s="91"/>
      <c r="K73" s="91"/>
      <c r="L73" s="91"/>
      <c r="M73" s="107">
        <v>41680</v>
      </c>
      <c r="N73" s="113">
        <v>73.302509999999998</v>
      </c>
      <c r="O73" s="109">
        <f t="shared" ref="O73:O136" si="10">(N73-N74)/N74</f>
        <v>4.1614262095562418E-2</v>
      </c>
      <c r="P73">
        <v>1838.63</v>
      </c>
      <c r="Q73" s="111">
        <f t="shared" ref="Q73:Q136" si="11">(P73-P74)/P74</f>
        <v>2.3154989670065101E-2</v>
      </c>
      <c r="R73" s="91"/>
      <c r="S73" s="91"/>
      <c r="T73" s="91"/>
      <c r="U73" s="91"/>
      <c r="V73" s="91"/>
      <c r="W73" s="91"/>
      <c r="X73" s="91"/>
    </row>
    <row r="74" spans="1:24">
      <c r="A74" s="91"/>
      <c r="B74" s="107">
        <v>42045</v>
      </c>
      <c r="C74" s="91">
        <v>78.401719999999997</v>
      </c>
      <c r="D74" s="109">
        <f t="shared" si="8"/>
        <v>2.782472878935523E-2</v>
      </c>
      <c r="E74" s="91">
        <v>2068.5900900000001</v>
      </c>
      <c r="F74" s="111">
        <f t="shared" si="9"/>
        <v>1.0675562165568529E-2</v>
      </c>
      <c r="G74" s="91"/>
      <c r="H74" s="91"/>
      <c r="I74" s="91"/>
      <c r="J74" s="91"/>
      <c r="K74" s="91"/>
      <c r="L74" s="91"/>
      <c r="M74" s="107">
        <v>41673</v>
      </c>
      <c r="N74" s="113">
        <v>70.373949999999994</v>
      </c>
      <c r="O74" s="109">
        <f t="shared" si="10"/>
        <v>2.9618939477400769E-2</v>
      </c>
      <c r="P74">
        <v>1797.0200199999999</v>
      </c>
      <c r="Q74" s="111">
        <f t="shared" si="11"/>
        <v>8.0949911324812059E-3</v>
      </c>
      <c r="R74" s="91"/>
      <c r="S74" s="91"/>
      <c r="T74" s="91"/>
      <c r="U74" s="91"/>
      <c r="V74" s="91"/>
      <c r="W74" s="91"/>
      <c r="X74" s="91"/>
    </row>
    <row r="75" spans="1:24">
      <c r="B75" s="107">
        <v>42044</v>
      </c>
      <c r="C75">
        <v>76.279269999999997</v>
      </c>
      <c r="D75" s="109">
        <f t="shared" si="8"/>
        <v>-7.2285076515589365E-3</v>
      </c>
      <c r="E75">
        <v>2046.73999</v>
      </c>
      <c r="F75" s="111">
        <f t="shared" si="9"/>
        <v>-4.247194134390622E-3</v>
      </c>
      <c r="M75" s="107">
        <v>41666</v>
      </c>
      <c r="N75" s="115">
        <v>68.349509999999995</v>
      </c>
      <c r="O75" s="109">
        <f t="shared" si="10"/>
        <v>4.2800120249984405E-3</v>
      </c>
      <c r="P75">
        <v>1782.58997</v>
      </c>
      <c r="Q75" s="111">
        <f t="shared" si="11"/>
        <v>-4.3010181746864296E-3</v>
      </c>
    </row>
    <row r="76" spans="1:24">
      <c r="B76" s="107">
        <v>42041</v>
      </c>
      <c r="C76">
        <v>76.834670000000003</v>
      </c>
      <c r="D76" s="109">
        <f t="shared" si="8"/>
        <v>-1.3246707747423961E-2</v>
      </c>
      <c r="E76">
        <v>2055.4699700000001</v>
      </c>
      <c r="F76" s="111">
        <f t="shared" si="9"/>
        <v>-3.4181728815412074E-3</v>
      </c>
      <c r="M76" s="107">
        <v>41660</v>
      </c>
      <c r="N76" s="115">
        <v>68.058220000000006</v>
      </c>
      <c r="O76" s="109">
        <f t="shared" si="10"/>
        <v>-5.7131223862103016E-2</v>
      </c>
      <c r="P76">
        <v>1790.2900400000001</v>
      </c>
      <c r="Q76" s="111">
        <f t="shared" si="11"/>
        <v>-2.632833595280179E-2</v>
      </c>
    </row>
    <row r="77" spans="1:24">
      <c r="B77" s="107">
        <v>42040</v>
      </c>
      <c r="C77">
        <v>77.866140000000001</v>
      </c>
      <c r="D77" s="109">
        <f t="shared" si="8"/>
        <v>7.8304555394270049E-3</v>
      </c>
      <c r="E77">
        <v>2062.5200199999999</v>
      </c>
      <c r="F77" s="111">
        <f t="shared" si="9"/>
        <v>1.0291406800400634E-2</v>
      </c>
      <c r="M77" s="107">
        <v>41652</v>
      </c>
      <c r="N77" s="115">
        <v>72.182069999999996</v>
      </c>
      <c r="O77" s="109">
        <f t="shared" si="10"/>
        <v>1.5013843193717418E-2</v>
      </c>
      <c r="P77">
        <v>1838.6999499999999</v>
      </c>
      <c r="Q77" s="111">
        <f t="shared" si="11"/>
        <v>-1.9920265744665551E-3</v>
      </c>
    </row>
    <row r="78" spans="1:24">
      <c r="B78" s="107">
        <v>42039</v>
      </c>
      <c r="C78">
        <v>77.261150000000001</v>
      </c>
      <c r="D78" s="109">
        <f t="shared" si="8"/>
        <v>-9.6618698064421891E-3</v>
      </c>
      <c r="E78">
        <v>2041.51001</v>
      </c>
      <c r="F78" s="111">
        <f t="shared" si="9"/>
        <v>-4.1560464360611985E-3</v>
      </c>
      <c r="M78" s="107">
        <v>41645</v>
      </c>
      <c r="N78" s="115">
        <v>71.114369999999994</v>
      </c>
      <c r="O78" s="109">
        <f t="shared" si="10"/>
        <v>5.4313137408099663E-2</v>
      </c>
      <c r="P78">
        <v>1842.37</v>
      </c>
      <c r="Q78" s="111">
        <f t="shared" si="11"/>
        <v>6.0064323430000493E-3</v>
      </c>
    </row>
    <row r="79" spans="1:24">
      <c r="B79" s="107">
        <v>42038</v>
      </c>
      <c r="C79">
        <v>78.014920000000004</v>
      </c>
      <c r="D79" s="109">
        <f t="shared" si="8"/>
        <v>2.515310295890643E-2</v>
      </c>
      <c r="E79">
        <v>2050.0300299999999</v>
      </c>
      <c r="F79" s="111">
        <f t="shared" si="9"/>
        <v>1.4439493425434746E-2</v>
      </c>
      <c r="M79" s="107">
        <v>41638</v>
      </c>
      <c r="N79" s="115">
        <v>67.450900000000004</v>
      </c>
      <c r="O79" s="109">
        <f t="shared" si="10"/>
        <v>-1.9647057301700674E-2</v>
      </c>
      <c r="P79">
        <v>1831.37</v>
      </c>
      <c r="Q79" s="111">
        <f t="shared" si="11"/>
        <v>-5.4469533458570011E-3</v>
      </c>
    </row>
    <row r="80" spans="1:24">
      <c r="B80" s="107">
        <v>42037</v>
      </c>
      <c r="C80">
        <v>76.100750000000005</v>
      </c>
      <c r="D80" s="109">
        <f t="shared" si="8"/>
        <v>1.0802328727476246E-2</v>
      </c>
      <c r="E80">
        <v>2020.84998</v>
      </c>
      <c r="F80" s="111">
        <f t="shared" si="9"/>
        <v>1.2962466042248124E-2</v>
      </c>
      <c r="M80" s="107">
        <v>41631</v>
      </c>
      <c r="N80" s="115">
        <v>68.802670000000006</v>
      </c>
      <c r="O80" s="109">
        <f t="shared" si="10"/>
        <v>1.0502057569651927E-2</v>
      </c>
      <c r="P80">
        <v>1841.40002</v>
      </c>
      <c r="Q80" s="111">
        <f t="shared" si="11"/>
        <v>1.2693074175422195E-2</v>
      </c>
    </row>
    <row r="81" spans="2:17">
      <c r="B81" s="107">
        <v>42034</v>
      </c>
      <c r="C81">
        <v>75.287469999999999</v>
      </c>
      <c r="D81" s="109">
        <f t="shared" si="8"/>
        <v>-2.0136742957313457E-2</v>
      </c>
      <c r="E81">
        <v>1994.98999</v>
      </c>
      <c r="F81" s="111">
        <f t="shared" si="9"/>
        <v>-1.299196536796535E-2</v>
      </c>
      <c r="M81" s="107">
        <v>41624</v>
      </c>
      <c r="N81" s="115">
        <v>68.087609999999998</v>
      </c>
      <c r="O81" s="109">
        <f t="shared" si="10"/>
        <v>4.8891069555210824E-2</v>
      </c>
      <c r="P81">
        <v>1818.3199500000001</v>
      </c>
      <c r="Q81" s="111">
        <f t="shared" si="11"/>
        <v>2.4220986194629313E-2</v>
      </c>
    </row>
    <row r="82" spans="2:17">
      <c r="B82" s="107">
        <v>42033</v>
      </c>
      <c r="C82">
        <v>76.834670000000003</v>
      </c>
      <c r="D82" s="109">
        <f t="shared" si="8"/>
        <v>-7.4312181177812473E-3</v>
      </c>
      <c r="E82">
        <v>2021.25</v>
      </c>
      <c r="F82" s="111">
        <f t="shared" si="9"/>
        <v>9.5346873945935245E-3</v>
      </c>
      <c r="M82" s="107">
        <v>41617</v>
      </c>
      <c r="N82" s="115">
        <v>64.913899999999998</v>
      </c>
      <c r="O82" s="109">
        <f t="shared" si="10"/>
        <v>-2.5011144635134933E-2</v>
      </c>
      <c r="P82">
        <v>1775.3199500000001</v>
      </c>
      <c r="Q82" s="111">
        <f t="shared" si="11"/>
        <v>-1.6492263817741968E-2</v>
      </c>
    </row>
    <row r="83" spans="2:17">
      <c r="B83" s="107">
        <v>42032</v>
      </c>
      <c r="C83">
        <v>77.40992</v>
      </c>
      <c r="D83" s="109">
        <f t="shared" si="8"/>
        <v>-1.2025327199145739E-2</v>
      </c>
      <c r="E83">
        <v>2002.16003</v>
      </c>
      <c r="F83" s="111">
        <f t="shared" si="9"/>
        <v>-1.3495611995378014E-2</v>
      </c>
      <c r="M83" s="107">
        <v>41610</v>
      </c>
      <c r="N83" s="115">
        <v>66.579120000000003</v>
      </c>
      <c r="O83" s="109">
        <f t="shared" si="10"/>
        <v>-2.6412828677331739E-3</v>
      </c>
      <c r="P83">
        <v>1805.08997</v>
      </c>
      <c r="Q83" s="111">
        <f t="shared" si="11"/>
        <v>-3.9876286878146386E-4</v>
      </c>
    </row>
    <row r="84" spans="2:17">
      <c r="B84" s="107">
        <v>42031</v>
      </c>
      <c r="C84">
        <v>78.352130000000002</v>
      </c>
      <c r="D84" s="109">
        <f t="shared" si="8"/>
        <v>-1.6801508224385406E-2</v>
      </c>
      <c r="E84">
        <v>2029.5500500000001</v>
      </c>
      <c r="F84" s="111">
        <f t="shared" si="9"/>
        <v>-1.338786285242378E-2</v>
      </c>
      <c r="M84" s="107">
        <v>41603</v>
      </c>
      <c r="N84" s="115">
        <v>66.755439999999993</v>
      </c>
      <c r="O84" s="109">
        <f t="shared" si="10"/>
        <v>1.1127708579026042E-2</v>
      </c>
      <c r="P84">
        <v>1805.81006</v>
      </c>
      <c r="Q84" s="111">
        <f t="shared" si="11"/>
        <v>5.818225105730571E-4</v>
      </c>
    </row>
    <row r="85" spans="2:17">
      <c r="B85" s="107">
        <v>42030</v>
      </c>
      <c r="C85">
        <v>79.691059999999993</v>
      </c>
      <c r="D85" s="109">
        <f t="shared" si="8"/>
        <v>8.4086930278494103E-3</v>
      </c>
      <c r="E85">
        <v>2057.0900900000001</v>
      </c>
      <c r="F85" s="111">
        <f t="shared" si="9"/>
        <v>2.5684610834321017E-3</v>
      </c>
      <c r="M85" s="107">
        <v>41596</v>
      </c>
      <c r="N85" s="115">
        <v>66.020780000000002</v>
      </c>
      <c r="O85" s="109">
        <f t="shared" si="10"/>
        <v>-3.783008618183225E-2</v>
      </c>
      <c r="P85">
        <v>1804.76001</v>
      </c>
      <c r="Q85" s="111">
        <f t="shared" si="11"/>
        <v>3.659233122956752E-3</v>
      </c>
    </row>
    <row r="86" spans="2:17">
      <c r="B86" s="107">
        <v>42027</v>
      </c>
      <c r="C86">
        <v>79.02655</v>
      </c>
      <c r="D86" s="109">
        <f t="shared" si="8"/>
        <v>9.8860183400138711E-3</v>
      </c>
      <c r="E86">
        <v>2051.8200700000002</v>
      </c>
      <c r="F86" s="111">
        <f t="shared" si="9"/>
        <v>-5.4915205143357126E-3</v>
      </c>
      <c r="M86" s="107">
        <v>41589</v>
      </c>
      <c r="N86" s="115">
        <v>68.616550000000004</v>
      </c>
      <c r="O86" s="109">
        <f t="shared" si="10"/>
        <v>2.9389945526001778E-2</v>
      </c>
      <c r="P86">
        <v>1798.1800499999999</v>
      </c>
      <c r="Q86" s="111">
        <f t="shared" si="11"/>
        <v>1.5570938916932245E-2</v>
      </c>
    </row>
    <row r="87" spans="2:17">
      <c r="B87" s="107">
        <v>42026</v>
      </c>
      <c r="C87">
        <v>78.252939999999995</v>
      </c>
      <c r="D87" s="109">
        <f t="shared" si="8"/>
        <v>-1.9144821680334295E-2</v>
      </c>
      <c r="E87">
        <v>2063.1498999999999</v>
      </c>
      <c r="F87" s="111">
        <f t="shared" si="9"/>
        <v>1.5269718323721039E-2</v>
      </c>
      <c r="M87" s="107">
        <v>41582</v>
      </c>
      <c r="N87" s="115">
        <v>66.657489999999996</v>
      </c>
      <c r="O87" s="109">
        <f t="shared" si="10"/>
        <v>-1.3338928471779771E-2</v>
      </c>
      <c r="P87">
        <v>1770.6099899999999</v>
      </c>
      <c r="Q87" s="111">
        <f t="shared" si="11"/>
        <v>5.0918348522294571E-3</v>
      </c>
    </row>
    <row r="88" spans="2:17">
      <c r="B88" s="107">
        <v>42025</v>
      </c>
      <c r="C88">
        <v>79.780320000000003</v>
      </c>
      <c r="D88" s="109">
        <f t="shared" si="8"/>
        <v>2.0812175791391881E-2</v>
      </c>
      <c r="E88">
        <v>2032.12</v>
      </c>
      <c r="F88" s="111">
        <f t="shared" si="9"/>
        <v>4.7316258008051936E-3</v>
      </c>
      <c r="M88" s="107">
        <v>41575</v>
      </c>
      <c r="N88" s="115">
        <v>67.55865</v>
      </c>
      <c r="O88" s="109">
        <f t="shared" si="10"/>
        <v>2.5043819635825878E-3</v>
      </c>
      <c r="P88">
        <v>1761.6400100000001</v>
      </c>
      <c r="Q88" s="111">
        <f t="shared" si="11"/>
        <v>1.0626331729416232E-3</v>
      </c>
    </row>
    <row r="89" spans="2:17">
      <c r="B89" s="107">
        <v>42024</v>
      </c>
      <c r="C89">
        <v>78.153769999999994</v>
      </c>
      <c r="D89" s="109">
        <f t="shared" si="8"/>
        <v>-1.646979473114891E-3</v>
      </c>
      <c r="E89">
        <v>2022.5500500000001</v>
      </c>
      <c r="F89" s="111">
        <f t="shared" si="9"/>
        <v>1.5499549068553782E-3</v>
      </c>
      <c r="M89" s="107">
        <v>41568</v>
      </c>
      <c r="N89" s="115">
        <v>67.389880000000005</v>
      </c>
      <c r="O89" s="109">
        <f t="shared" si="10"/>
        <v>4.2192483199154519E-3</v>
      </c>
      <c r="P89">
        <v>1759.7700199999999</v>
      </c>
      <c r="Q89" s="111">
        <f t="shared" si="11"/>
        <v>8.7532358842074692E-3</v>
      </c>
    </row>
    <row r="90" spans="2:17">
      <c r="B90" s="107">
        <v>42020</v>
      </c>
      <c r="C90">
        <v>78.282700000000006</v>
      </c>
      <c r="D90" s="109">
        <f t="shared" si="8"/>
        <v>5.2216303701035994E-3</v>
      </c>
      <c r="E90">
        <v>2019.42004</v>
      </c>
      <c r="F90" s="111">
        <f t="shared" si="9"/>
        <v>1.3424199422399105E-2</v>
      </c>
      <c r="M90" s="107">
        <v>41561</v>
      </c>
      <c r="N90" s="115">
        <v>67.106740000000002</v>
      </c>
      <c r="O90" s="109">
        <f t="shared" si="10"/>
        <v>0.10551737794320626</v>
      </c>
      <c r="P90">
        <v>1744.5</v>
      </c>
      <c r="Q90" s="111">
        <f t="shared" si="11"/>
        <v>2.4248503530075877E-2</v>
      </c>
    </row>
    <row r="91" spans="2:17">
      <c r="B91" s="107">
        <v>42019</v>
      </c>
      <c r="C91">
        <v>77.876059999999995</v>
      </c>
      <c r="D91" s="109">
        <f t="shared" si="8"/>
        <v>-1.8254605883282152E-2</v>
      </c>
      <c r="E91">
        <v>1992.67004</v>
      </c>
      <c r="F91" s="111">
        <f t="shared" si="9"/>
        <v>-9.2478781143468542E-3</v>
      </c>
      <c r="M91" s="107">
        <v>41554</v>
      </c>
      <c r="N91" s="115">
        <v>60.701659999999997</v>
      </c>
      <c r="O91" s="109">
        <f t="shared" si="10"/>
        <v>-8.2948071030944301E-3</v>
      </c>
      <c r="P91">
        <v>1703.1999499999999</v>
      </c>
      <c r="Q91" s="111">
        <f t="shared" si="11"/>
        <v>7.512540668441257E-3</v>
      </c>
    </row>
    <row r="92" spans="2:17">
      <c r="B92" s="107">
        <v>42018</v>
      </c>
      <c r="C92">
        <v>79.324089999999998</v>
      </c>
      <c r="D92" s="109">
        <f t="shared" si="8"/>
        <v>-1.259253044598339E-2</v>
      </c>
      <c r="E92">
        <v>2011.2700199999999</v>
      </c>
      <c r="F92" s="111">
        <f t="shared" si="9"/>
        <v>-5.8130674412183421E-3</v>
      </c>
      <c r="M92" s="107">
        <v>41547</v>
      </c>
      <c r="N92" s="115">
        <v>61.209380000000003</v>
      </c>
      <c r="O92" s="109">
        <f t="shared" si="10"/>
        <v>4.5879209552676707E-2</v>
      </c>
      <c r="P92">
        <v>1690.5</v>
      </c>
      <c r="Q92" s="111">
        <f t="shared" si="11"/>
        <v>-7.3887985813506725E-4</v>
      </c>
    </row>
    <row r="93" spans="2:17">
      <c r="B93" s="107">
        <v>42017</v>
      </c>
      <c r="C93">
        <v>80.335719999999995</v>
      </c>
      <c r="D93" s="109">
        <f t="shared" si="8"/>
        <v>-3.0752621957458096E-2</v>
      </c>
      <c r="E93">
        <v>2023.0300299999999</v>
      </c>
      <c r="F93" s="111">
        <f t="shared" si="9"/>
        <v>-2.5785550048881894E-3</v>
      </c>
      <c r="M93" s="107">
        <v>41540</v>
      </c>
      <c r="N93" s="115">
        <v>58.524329999999999</v>
      </c>
      <c r="O93" s="109">
        <f t="shared" si="10"/>
        <v>6.5491368430611128E-3</v>
      </c>
      <c r="P93">
        <v>1691.75</v>
      </c>
      <c r="Q93" s="111">
        <f t="shared" si="11"/>
        <v>-1.0620459370017267E-2</v>
      </c>
    </row>
    <row r="94" spans="2:17">
      <c r="B94" s="107">
        <v>42016</v>
      </c>
      <c r="C94">
        <v>82.884640000000005</v>
      </c>
      <c r="D94" s="109">
        <f t="shared" si="8"/>
        <v>-0.13880880901058115</v>
      </c>
      <c r="E94">
        <v>2028.26001</v>
      </c>
      <c r="F94" s="111">
        <f t="shared" si="9"/>
        <v>-8.0936857284436749E-3</v>
      </c>
      <c r="M94" s="107">
        <v>41533</v>
      </c>
      <c r="N94" s="115">
        <v>58.143540000000002</v>
      </c>
      <c r="O94" s="109">
        <f t="shared" si="10"/>
        <v>-2.1685657159557954E-2</v>
      </c>
      <c r="P94">
        <v>1709.91003</v>
      </c>
      <c r="Q94" s="111">
        <f t="shared" si="11"/>
        <v>1.2985882694719043E-2</v>
      </c>
    </row>
    <row r="95" spans="2:17">
      <c r="B95" s="107">
        <v>42013</v>
      </c>
      <c r="C95">
        <v>96.24418</v>
      </c>
      <c r="D95" s="109">
        <f t="shared" si="8"/>
        <v>-3.4914593794932846E-3</v>
      </c>
      <c r="E95">
        <v>2044.81006</v>
      </c>
      <c r="F95" s="111">
        <f t="shared" si="9"/>
        <v>-8.4038091130664763E-3</v>
      </c>
      <c r="M95" s="107">
        <v>41526</v>
      </c>
      <c r="N95" s="115">
        <v>59.432369999999999</v>
      </c>
      <c r="O95" s="109">
        <f t="shared" si="10"/>
        <v>4.336653902628624E-2</v>
      </c>
      <c r="P95">
        <v>1687.98999</v>
      </c>
      <c r="Q95" s="111">
        <f t="shared" si="11"/>
        <v>1.9828748229396457E-2</v>
      </c>
    </row>
    <row r="96" spans="2:17">
      <c r="B96" s="107">
        <v>42012</v>
      </c>
      <c r="C96">
        <v>96.581389999999999</v>
      </c>
      <c r="D96" s="109">
        <f t="shared" si="8"/>
        <v>2.7540410280405547E-2</v>
      </c>
      <c r="E96">
        <v>2062.1398899999999</v>
      </c>
      <c r="F96" s="111">
        <f t="shared" si="9"/>
        <v>1.7888281574724444E-2</v>
      </c>
      <c r="M96" s="107">
        <v>41520</v>
      </c>
      <c r="N96" s="115">
        <v>56.962119999999999</v>
      </c>
      <c r="O96" s="109">
        <f t="shared" si="10"/>
        <v>5.7266992298720294E-2</v>
      </c>
      <c r="P96">
        <v>1655.17004</v>
      </c>
      <c r="Q96" s="111">
        <f t="shared" si="11"/>
        <v>1.359490401406455E-2</v>
      </c>
    </row>
    <row r="97" spans="2:17">
      <c r="B97" s="107">
        <v>42011</v>
      </c>
      <c r="C97">
        <v>93.992789999999999</v>
      </c>
      <c r="D97" s="109">
        <f t="shared" si="8"/>
        <v>-7.2282496070328588E-3</v>
      </c>
      <c r="E97">
        <v>2025.90002</v>
      </c>
      <c r="F97" s="111">
        <f t="shared" si="9"/>
        <v>1.1629838119403426E-2</v>
      </c>
      <c r="M97" s="107">
        <v>41512</v>
      </c>
      <c r="N97" s="115">
        <v>53.876759999999997</v>
      </c>
      <c r="O97" s="109">
        <f t="shared" si="10"/>
        <v>-2.8862962304711009E-2</v>
      </c>
      <c r="P97">
        <v>1632.9699700000001</v>
      </c>
      <c r="Q97" s="111">
        <f t="shared" si="11"/>
        <v>-1.835288848812738E-2</v>
      </c>
    </row>
    <row r="98" spans="2:17">
      <c r="B98" s="107">
        <v>42010</v>
      </c>
      <c r="C98">
        <v>94.677139999999994</v>
      </c>
      <c r="D98" s="109">
        <f t="shared" si="8"/>
        <v>1.3637488603696322E-3</v>
      </c>
      <c r="E98">
        <v>2002.6099899999999</v>
      </c>
      <c r="F98" s="111">
        <f t="shared" si="9"/>
        <v>-8.8934713575997762E-3</v>
      </c>
      <c r="M98" s="107">
        <v>41505</v>
      </c>
      <c r="N98" s="115">
        <v>55.478020000000001</v>
      </c>
      <c r="O98" s="109">
        <f t="shared" si="10"/>
        <v>1.8097008214801893E-2</v>
      </c>
      <c r="P98">
        <v>1663.5</v>
      </c>
      <c r="Q98" s="111">
        <f t="shared" si="11"/>
        <v>4.6321423004086551E-3</v>
      </c>
    </row>
    <row r="99" spans="2:17">
      <c r="B99" s="107">
        <v>42009</v>
      </c>
      <c r="C99">
        <v>94.548199999999994</v>
      </c>
      <c r="D99" s="109">
        <f t="shared" si="8"/>
        <v>-2.6052334176201359E-2</v>
      </c>
      <c r="E99">
        <v>2020.57996</v>
      </c>
      <c r="F99" s="111">
        <f t="shared" si="9"/>
        <v>-1.8278102669276687E-2</v>
      </c>
      <c r="M99" s="107">
        <v>41498</v>
      </c>
      <c r="N99" s="115">
        <v>54.491880000000002</v>
      </c>
      <c r="O99" s="109">
        <f t="shared" si="10"/>
        <v>-3.7924488593910351E-2</v>
      </c>
      <c r="P99">
        <v>1655.82996</v>
      </c>
      <c r="Q99" s="111">
        <f t="shared" si="11"/>
        <v>-2.1041538564246846E-2</v>
      </c>
    </row>
    <row r="100" spans="2:17">
      <c r="B100" s="107">
        <v>42006</v>
      </c>
      <c r="C100">
        <v>97.077290000000005</v>
      </c>
      <c r="D100" s="109">
        <f t="shared" si="8"/>
        <v>-1.0207202401238758E-3</v>
      </c>
      <c r="E100">
        <v>2058.1999500000002</v>
      </c>
      <c r="F100" s="111">
        <f t="shared" si="9"/>
        <v>-3.3996310359707968E-4</v>
      </c>
      <c r="M100" s="107">
        <v>41491</v>
      </c>
      <c r="N100" s="115">
        <v>56.639919999999996</v>
      </c>
      <c r="O100" s="109">
        <f t="shared" si="10"/>
        <v>-1.0330081100925813E-3</v>
      </c>
      <c r="P100">
        <v>1691.42004</v>
      </c>
      <c r="Q100" s="111">
        <f t="shared" si="11"/>
        <v>-1.0674574375766683E-2</v>
      </c>
    </row>
    <row r="101" spans="2:17">
      <c r="B101" s="107">
        <v>42004</v>
      </c>
      <c r="C101">
        <v>97.176479999999998</v>
      </c>
      <c r="D101" s="109">
        <f t="shared" si="8"/>
        <v>-1.8236428910236309E-2</v>
      </c>
      <c r="E101">
        <v>2058.8998999999999</v>
      </c>
      <c r="F101" s="111">
        <f t="shared" si="9"/>
        <v>-1.0310860657540392E-2</v>
      </c>
      <c r="M101" s="107">
        <v>41484</v>
      </c>
      <c r="N101" s="115">
        <v>56.69849</v>
      </c>
      <c r="O101" s="109">
        <f t="shared" si="10"/>
        <v>2.28070396975153E-2</v>
      </c>
      <c r="P101">
        <v>1709.67004</v>
      </c>
      <c r="Q101" s="111">
        <f t="shared" si="11"/>
        <v>1.0652333394587097E-2</v>
      </c>
    </row>
    <row r="102" spans="2:17">
      <c r="B102" s="107">
        <v>42003</v>
      </c>
      <c r="C102">
        <v>98.981549999999999</v>
      </c>
      <c r="D102" s="109">
        <f t="shared" si="8"/>
        <v>-6.6686035221667477E-3</v>
      </c>
      <c r="E102">
        <v>2080.3501000000001</v>
      </c>
      <c r="F102" s="111">
        <f t="shared" si="9"/>
        <v>-4.8886043795700676E-3</v>
      </c>
      <c r="M102" s="107">
        <v>41477</v>
      </c>
      <c r="N102" s="115">
        <v>55.434199999999997</v>
      </c>
      <c r="O102" s="109">
        <f t="shared" si="10"/>
        <v>-9.105412843811056E-2</v>
      </c>
      <c r="P102">
        <v>1691.65002</v>
      </c>
      <c r="Q102" s="111">
        <f t="shared" si="11"/>
        <v>-2.6000390511147196E-4</v>
      </c>
    </row>
    <row r="103" spans="2:17">
      <c r="B103" s="107">
        <v>42002</v>
      </c>
      <c r="C103">
        <v>99.646050000000002</v>
      </c>
      <c r="D103" s="109">
        <f t="shared" si="8"/>
        <v>-8.2913710663981548E-3</v>
      </c>
      <c r="E103">
        <v>2090.5700700000002</v>
      </c>
      <c r="F103" s="111">
        <f t="shared" si="9"/>
        <v>8.6177510341721734E-4</v>
      </c>
      <c r="M103" s="107">
        <v>41470</v>
      </c>
      <c r="N103" s="115">
        <v>60.987349999999999</v>
      </c>
      <c r="O103" s="109">
        <f t="shared" si="10"/>
        <v>2.9720869190388816E-2</v>
      </c>
      <c r="P103">
        <v>1692.08997</v>
      </c>
      <c r="Q103" s="111">
        <f t="shared" si="11"/>
        <v>7.0825504406960178E-3</v>
      </c>
    </row>
    <row r="104" spans="2:17">
      <c r="B104" s="107">
        <v>41999</v>
      </c>
      <c r="C104">
        <v>100.47915999999999</v>
      </c>
      <c r="D104" s="109">
        <f t="shared" si="8"/>
        <v>6.5573028206078673E-3</v>
      </c>
      <c r="E104">
        <v>2088.7700199999999</v>
      </c>
      <c r="F104" s="111">
        <f t="shared" si="9"/>
        <v>3.3095761509544797E-3</v>
      </c>
      <c r="M104" s="107">
        <v>41463</v>
      </c>
      <c r="N104" s="115">
        <v>59.227069999999998</v>
      </c>
      <c r="O104" s="109">
        <f t="shared" si="10"/>
        <v>-1.520054870824936E-2</v>
      </c>
      <c r="P104">
        <v>1680.18994</v>
      </c>
      <c r="Q104" s="111">
        <f t="shared" si="11"/>
        <v>2.9597540094016446E-2</v>
      </c>
    </row>
    <row r="105" spans="2:17">
      <c r="B105" s="107">
        <v>41997</v>
      </c>
      <c r="C105">
        <v>99.824579999999997</v>
      </c>
      <c r="D105" s="109">
        <f t="shared" si="8"/>
        <v>2.6898215581276862E-3</v>
      </c>
      <c r="E105">
        <v>2081.87988</v>
      </c>
      <c r="F105" s="111">
        <f t="shared" si="9"/>
        <v>-1.3929698878747737E-4</v>
      </c>
      <c r="M105" s="107">
        <v>41456</v>
      </c>
      <c r="N105" s="115">
        <v>60.141249999999999</v>
      </c>
      <c r="O105" s="109">
        <f t="shared" si="10"/>
        <v>1.2111426877478949E-2</v>
      </c>
      <c r="P105">
        <v>1631.8900100000001</v>
      </c>
      <c r="Q105" s="111">
        <f t="shared" si="11"/>
        <v>1.5943658342063918E-2</v>
      </c>
    </row>
    <row r="106" spans="2:17">
      <c r="B106" s="107">
        <v>41996</v>
      </c>
      <c r="C106">
        <v>99.556790000000007</v>
      </c>
      <c r="D106" s="109">
        <f t="shared" si="8"/>
        <v>-7.9067083353968372E-3</v>
      </c>
      <c r="E106">
        <v>2082.1699199999998</v>
      </c>
      <c r="F106" s="111">
        <f t="shared" si="9"/>
        <v>1.746360392460834E-3</v>
      </c>
      <c r="M106" s="107">
        <v>41449</v>
      </c>
      <c r="N106" s="115">
        <v>59.421570000000003</v>
      </c>
      <c r="O106" s="109">
        <f t="shared" si="10"/>
        <v>3.805628310551263E-2</v>
      </c>
      <c r="P106">
        <v>1606.2800299999999</v>
      </c>
      <c r="Q106" s="111">
        <f t="shared" si="11"/>
        <v>8.6973867392165574E-3</v>
      </c>
    </row>
    <row r="107" spans="2:17">
      <c r="B107" s="107">
        <v>41995</v>
      </c>
      <c r="C107">
        <v>100.35023</v>
      </c>
      <c r="D107" s="109">
        <f t="shared" si="8"/>
        <v>1.190128302940064E-2</v>
      </c>
      <c r="E107">
        <v>2078.5400399999999</v>
      </c>
      <c r="F107" s="111">
        <f t="shared" si="9"/>
        <v>3.8104654968471371E-3</v>
      </c>
      <c r="M107" s="107">
        <v>41442</v>
      </c>
      <c r="N107" s="115">
        <v>57.243110000000001</v>
      </c>
      <c r="O107" s="109">
        <f t="shared" si="10"/>
        <v>8.5025687793652185E-4</v>
      </c>
      <c r="P107">
        <v>1592.4300499999999</v>
      </c>
      <c r="Q107" s="111">
        <f t="shared" si="11"/>
        <v>-2.1085201859991621E-2</v>
      </c>
    </row>
    <row r="108" spans="2:17">
      <c r="B108" s="107">
        <v>41992</v>
      </c>
      <c r="C108">
        <v>99.169979999999995</v>
      </c>
      <c r="D108" s="109">
        <f t="shared" si="8"/>
        <v>5.0255340586367568E-3</v>
      </c>
      <c r="E108">
        <v>2070.6498999999999</v>
      </c>
      <c r="F108" s="111">
        <f t="shared" si="9"/>
        <v>4.5700480254026871E-3</v>
      </c>
      <c r="M108" s="107">
        <v>41435</v>
      </c>
      <c r="N108" s="115">
        <v>57.194479999999999</v>
      </c>
      <c r="O108" s="109">
        <f t="shared" si="10"/>
        <v>8.5747709943990742E-3</v>
      </c>
      <c r="P108">
        <v>1626.7299800000001</v>
      </c>
      <c r="Q108" s="111">
        <f t="shared" si="11"/>
        <v>-1.0131570300234906E-2</v>
      </c>
    </row>
    <row r="109" spans="2:17">
      <c r="B109" s="107">
        <v>41991</v>
      </c>
      <c r="C109">
        <v>98.674090000000007</v>
      </c>
      <c r="D109" s="109">
        <f t="shared" si="8"/>
        <v>7.5957130300100253E-3</v>
      </c>
      <c r="E109">
        <v>2061.2299800000001</v>
      </c>
      <c r="F109" s="111">
        <f t="shared" si="9"/>
        <v>2.4015206871636267E-2</v>
      </c>
      <c r="M109" s="107">
        <v>41428</v>
      </c>
      <c r="N109" s="115">
        <v>56.708219999999997</v>
      </c>
      <c r="O109" s="109">
        <f t="shared" si="10"/>
        <v>-1.202988498698229E-2</v>
      </c>
      <c r="P109">
        <v>1643.38</v>
      </c>
      <c r="Q109" s="111">
        <f t="shared" si="11"/>
        <v>7.7510885104375678E-3</v>
      </c>
    </row>
    <row r="110" spans="2:17">
      <c r="B110" s="107">
        <v>41990</v>
      </c>
      <c r="C110">
        <v>97.930239999999998</v>
      </c>
      <c r="D110" s="109">
        <f t="shared" si="8"/>
        <v>2.0990567980258772E-2</v>
      </c>
      <c r="E110">
        <v>2012.8900100000001</v>
      </c>
      <c r="F110" s="111">
        <f t="shared" si="9"/>
        <v>2.0352413497736234E-2</v>
      </c>
      <c r="M110" s="107">
        <v>41422</v>
      </c>
      <c r="N110" s="115">
        <v>57.398719999999997</v>
      </c>
      <c r="O110" s="109">
        <f t="shared" si="10"/>
        <v>1.7410876187552295E-2</v>
      </c>
      <c r="P110">
        <v>1630.73999</v>
      </c>
      <c r="Q110" s="111">
        <f t="shared" si="11"/>
        <v>-1.1433068761312622E-2</v>
      </c>
    </row>
    <row r="111" spans="2:17">
      <c r="B111" s="107">
        <v>41989</v>
      </c>
      <c r="C111">
        <v>95.916889999999995</v>
      </c>
      <c r="D111" s="109">
        <f t="shared" si="8"/>
        <v>-8.8142131887373899E-3</v>
      </c>
      <c r="E111">
        <v>1972.73999</v>
      </c>
      <c r="F111" s="111">
        <f t="shared" si="9"/>
        <v>-8.4890205716641153E-3</v>
      </c>
      <c r="M111" s="107">
        <v>41414</v>
      </c>
      <c r="N111" s="115">
        <v>56.416460000000001</v>
      </c>
      <c r="O111" s="109">
        <f t="shared" si="10"/>
        <v>-3.1552562255233632E-2</v>
      </c>
      <c r="P111">
        <v>1649.59998</v>
      </c>
      <c r="Q111" s="111">
        <f t="shared" si="11"/>
        <v>-1.0716828681478529E-2</v>
      </c>
    </row>
    <row r="112" spans="2:17">
      <c r="B112" s="107">
        <v>41988</v>
      </c>
      <c r="C112">
        <v>96.769840000000002</v>
      </c>
      <c r="D112" s="109">
        <f t="shared" si="8"/>
        <v>-1.2349378438399053E-2</v>
      </c>
      <c r="E112">
        <v>1989.63</v>
      </c>
      <c r="F112" s="111">
        <f t="shared" si="9"/>
        <v>-6.3425910083270785E-3</v>
      </c>
      <c r="M112" s="107">
        <v>41407</v>
      </c>
      <c r="N112" s="115">
        <v>58.254539999999999</v>
      </c>
      <c r="O112" s="109">
        <f t="shared" si="10"/>
        <v>4.6653762835781175E-2</v>
      </c>
      <c r="P112">
        <v>1667.4699700000001</v>
      </c>
      <c r="Q112" s="111">
        <f t="shared" si="11"/>
        <v>2.0670882679527634E-2</v>
      </c>
    </row>
    <row r="113" spans="2:17">
      <c r="B113" s="107">
        <v>41985</v>
      </c>
      <c r="C113">
        <v>97.979830000000007</v>
      </c>
      <c r="D113" s="109">
        <f t="shared" si="8"/>
        <v>-2.8900036592235927E-2</v>
      </c>
      <c r="E113">
        <v>2002.32996</v>
      </c>
      <c r="F113" s="111">
        <f t="shared" si="9"/>
        <v>-1.6213587304537098E-2</v>
      </c>
      <c r="M113" s="107">
        <v>41400</v>
      </c>
      <c r="N113" s="115">
        <v>55.657890000000002</v>
      </c>
      <c r="O113" s="109">
        <f t="shared" si="10"/>
        <v>6.2175297629328059E-2</v>
      </c>
      <c r="P113">
        <v>1633.6999499999999</v>
      </c>
      <c r="Q113" s="111">
        <f t="shared" si="11"/>
        <v>1.1942313352354059E-2</v>
      </c>
    </row>
    <row r="114" spans="2:17">
      <c r="B114" s="107">
        <v>41984</v>
      </c>
      <c r="C114">
        <v>100.89572</v>
      </c>
      <c r="D114" s="109">
        <f t="shared" si="8"/>
        <v>-2.8424642675824252E-3</v>
      </c>
      <c r="E114">
        <v>2035.32996</v>
      </c>
      <c r="F114" s="111">
        <f t="shared" si="9"/>
        <v>4.5356934637502929E-3</v>
      </c>
      <c r="M114" s="107">
        <v>41393</v>
      </c>
      <c r="N114" s="115">
        <v>52.399909999999998</v>
      </c>
      <c r="O114" s="109">
        <f t="shared" si="10"/>
        <v>-3.7104611731236472E-4</v>
      </c>
      <c r="P114">
        <v>1614.42004</v>
      </c>
      <c r="Q114" s="111">
        <f t="shared" si="11"/>
        <v>2.0338286355662101E-2</v>
      </c>
    </row>
    <row r="115" spans="2:17">
      <c r="B115" s="107">
        <v>41983</v>
      </c>
      <c r="C115">
        <v>101.18333</v>
      </c>
      <c r="D115" s="109">
        <f t="shared" si="8"/>
        <v>-2.6433978125601623E-2</v>
      </c>
      <c r="E115">
        <v>2026.1400100000001</v>
      </c>
      <c r="F115" s="111">
        <f t="shared" si="9"/>
        <v>-1.6350971859401358E-2</v>
      </c>
      <c r="M115" s="107">
        <v>41386</v>
      </c>
      <c r="N115" s="115">
        <v>52.419359999999998</v>
      </c>
      <c r="O115" s="109">
        <f t="shared" si="10"/>
        <v>3.0395667331851887E-2</v>
      </c>
      <c r="P115">
        <v>1582.23999</v>
      </c>
      <c r="Q115" s="111">
        <f t="shared" si="11"/>
        <v>1.7354116701494959E-2</v>
      </c>
    </row>
    <row r="116" spans="2:17">
      <c r="B116" s="107">
        <v>41982</v>
      </c>
      <c r="C116">
        <v>103.93062999999999</v>
      </c>
      <c r="D116" s="109">
        <f t="shared" si="8"/>
        <v>-1.1415029101870441E-2</v>
      </c>
      <c r="E116">
        <v>2059.8200700000002</v>
      </c>
      <c r="F116" s="111">
        <f t="shared" si="9"/>
        <v>-2.3782342741149342E-4</v>
      </c>
      <c r="M116" s="107">
        <v>41379</v>
      </c>
      <c r="N116" s="115">
        <v>50.873040000000003</v>
      </c>
      <c r="O116" s="109">
        <f t="shared" si="10"/>
        <v>-9.3571279668309928E-2</v>
      </c>
      <c r="P116">
        <v>1555.25</v>
      </c>
      <c r="Q116" s="111">
        <f t="shared" si="11"/>
        <v>-2.114735841831962E-2</v>
      </c>
    </row>
    <row r="117" spans="2:17">
      <c r="B117" s="107">
        <v>41981</v>
      </c>
      <c r="C117">
        <v>105.1307</v>
      </c>
      <c r="D117" s="109">
        <f t="shared" si="8"/>
        <v>1.4645327696988666E-2</v>
      </c>
      <c r="E117">
        <v>2060.3100599999998</v>
      </c>
      <c r="F117" s="111">
        <f t="shared" si="9"/>
        <v>-7.2565658794394939E-3</v>
      </c>
      <c r="M117" s="107">
        <v>41372</v>
      </c>
      <c r="N117" s="115">
        <v>56.124699999999997</v>
      </c>
      <c r="O117" s="109">
        <f t="shared" si="10"/>
        <v>5.3871574007153734E-2</v>
      </c>
      <c r="P117">
        <v>1588.84998</v>
      </c>
      <c r="Q117" s="111">
        <f t="shared" si="11"/>
        <v>2.2899895262285749E-2</v>
      </c>
    </row>
    <row r="118" spans="2:17">
      <c r="B118" s="107">
        <v>41978</v>
      </c>
      <c r="C118">
        <v>103.61324999999999</v>
      </c>
      <c r="D118" s="109">
        <f t="shared" si="8"/>
        <v>1.7829283133130119E-2</v>
      </c>
      <c r="E118">
        <v>2075.37012</v>
      </c>
      <c r="F118" s="111">
        <f t="shared" si="9"/>
        <v>1.6652187986108183E-3</v>
      </c>
      <c r="M118" s="107">
        <v>41365</v>
      </c>
      <c r="N118" s="115">
        <v>53.25573</v>
      </c>
      <c r="O118" s="109">
        <f t="shared" si="10"/>
        <v>-3.6390856243115294E-3</v>
      </c>
      <c r="P118">
        <v>1553.2800299999999</v>
      </c>
      <c r="Q118" s="111">
        <f t="shared" si="11"/>
        <v>-1.013893193834781E-2</v>
      </c>
    </row>
    <row r="119" spans="2:17">
      <c r="B119" s="107">
        <v>41977</v>
      </c>
      <c r="C119">
        <v>101.79826</v>
      </c>
      <c r="D119" s="109">
        <f t="shared" si="8"/>
        <v>-6.9658924022324995E-3</v>
      </c>
      <c r="E119">
        <v>2071.9199199999998</v>
      </c>
      <c r="F119" s="111">
        <f t="shared" si="9"/>
        <v>-1.1618980138398995E-3</v>
      </c>
      <c r="M119" s="107">
        <v>41358</v>
      </c>
      <c r="N119" s="115">
        <v>53.450240000000001</v>
      </c>
      <c r="O119" s="109">
        <f t="shared" si="10"/>
        <v>-4.1673870661953077E-3</v>
      </c>
      <c r="P119">
        <v>1569.18994</v>
      </c>
      <c r="Q119" s="111">
        <f t="shared" si="11"/>
        <v>7.9003204600175334E-3</v>
      </c>
    </row>
    <row r="120" spans="2:17">
      <c r="B120" s="107">
        <v>41976</v>
      </c>
      <c r="C120">
        <v>102.51235</v>
      </c>
      <c r="D120" s="109">
        <f t="shared" si="8"/>
        <v>2.0234942250711541E-2</v>
      </c>
      <c r="E120">
        <v>2074.3300800000002</v>
      </c>
      <c r="F120" s="111">
        <f t="shared" si="9"/>
        <v>3.7647430798979933E-3</v>
      </c>
      <c r="M120" s="107">
        <v>41351</v>
      </c>
      <c r="N120" s="115">
        <v>53.673920000000003</v>
      </c>
      <c r="O120" s="109">
        <f t="shared" si="10"/>
        <v>1.4515976156483609E-3</v>
      </c>
      <c r="P120">
        <v>1556.8900100000001</v>
      </c>
      <c r="Q120" s="111">
        <f t="shared" si="11"/>
        <v>-2.4411739104623345E-3</v>
      </c>
    </row>
    <row r="121" spans="2:17">
      <c r="B121" s="107">
        <v>41975</v>
      </c>
      <c r="C121">
        <v>100.47915999999999</v>
      </c>
      <c r="D121" s="109">
        <f t="shared" si="8"/>
        <v>-1.5069040336141993E-2</v>
      </c>
      <c r="E121">
        <v>2066.5500499999998</v>
      </c>
      <c r="F121" s="111">
        <f t="shared" si="9"/>
        <v>6.3844623573454115E-3</v>
      </c>
      <c r="M121" s="107">
        <v>41344</v>
      </c>
      <c r="N121" s="115">
        <v>53.596119999999999</v>
      </c>
      <c r="O121" s="109">
        <f t="shared" si="10"/>
        <v>6.2873730780374407E-2</v>
      </c>
      <c r="P121">
        <v>1560.6999499999999</v>
      </c>
      <c r="Q121" s="111">
        <f t="shared" si="11"/>
        <v>6.1371985798811734E-3</v>
      </c>
    </row>
    <row r="122" spans="2:17">
      <c r="B122" s="107">
        <v>41974</v>
      </c>
      <c r="C122">
        <v>102.01645000000001</v>
      </c>
      <c r="D122" s="109">
        <f t="shared" si="8"/>
        <v>-5.7993482798667541E-3</v>
      </c>
      <c r="E122">
        <v>2053.4399400000002</v>
      </c>
      <c r="F122" s="111">
        <f t="shared" si="9"/>
        <v>-6.8293638831461992E-3</v>
      </c>
      <c r="M122" s="107">
        <v>41337</v>
      </c>
      <c r="N122" s="115">
        <v>50.425669999999997</v>
      </c>
      <c r="O122" s="109">
        <f t="shared" si="10"/>
        <v>3.1019946827271189E-2</v>
      </c>
      <c r="P122">
        <v>1551.1800499999999</v>
      </c>
      <c r="Q122" s="111">
        <f t="shared" si="11"/>
        <v>2.1723159719508615E-2</v>
      </c>
    </row>
    <row r="123" spans="2:17">
      <c r="B123" s="107">
        <v>41971</v>
      </c>
      <c r="C123">
        <v>102.61153</v>
      </c>
      <c r="D123" s="109">
        <f t="shared" si="8"/>
        <v>-7.6731321521586815E-3</v>
      </c>
      <c r="E123">
        <v>2067.5600599999998</v>
      </c>
      <c r="F123" s="111">
        <f t="shared" si="9"/>
        <v>-2.5424274043728589E-3</v>
      </c>
      <c r="M123" s="107">
        <v>41330</v>
      </c>
      <c r="N123" s="115">
        <v>48.908529999999999</v>
      </c>
      <c r="O123" s="109">
        <f t="shared" si="10"/>
        <v>1.6575817821477608E-2</v>
      </c>
      <c r="P123">
        <v>1518.1999499999999</v>
      </c>
      <c r="Q123" s="111">
        <f t="shared" si="11"/>
        <v>1.7154724428011571E-3</v>
      </c>
    </row>
    <row r="124" spans="2:17">
      <c r="B124" s="107">
        <v>41969</v>
      </c>
      <c r="C124">
        <v>103.40497000000001</v>
      </c>
      <c r="D124" s="109">
        <f t="shared" si="8"/>
        <v>1.105507228011883E-2</v>
      </c>
      <c r="E124">
        <v>2072.8300800000002</v>
      </c>
      <c r="F124" s="111">
        <f t="shared" si="9"/>
        <v>2.8059824559008868E-3</v>
      </c>
      <c r="M124" s="107">
        <v>41324</v>
      </c>
      <c r="N124" s="115">
        <v>48.111049999999999</v>
      </c>
      <c r="O124" s="109">
        <f t="shared" si="10"/>
        <v>-4.331856816290957E-2</v>
      </c>
      <c r="P124">
        <v>1515.59998</v>
      </c>
      <c r="Q124" s="111">
        <f t="shared" si="11"/>
        <v>-2.7569992497122366E-3</v>
      </c>
    </row>
    <row r="125" spans="2:17">
      <c r="B125" s="107">
        <v>41968</v>
      </c>
      <c r="C125">
        <v>102.27432</v>
      </c>
      <c r="D125" s="109">
        <f t="shared" si="8"/>
        <v>2.0405413945185379E-3</v>
      </c>
      <c r="E125">
        <v>2067.0300299999999</v>
      </c>
      <c r="F125" s="111">
        <f t="shared" si="9"/>
        <v>-1.1500283189423586E-3</v>
      </c>
      <c r="M125" s="107">
        <v>41316</v>
      </c>
      <c r="N125" s="115">
        <v>50.289520000000003</v>
      </c>
      <c r="O125" s="109">
        <f t="shared" si="10"/>
        <v>2.9874425387455817E-2</v>
      </c>
      <c r="P125">
        <v>1519.7900400000001</v>
      </c>
      <c r="Q125" s="111">
        <f t="shared" si="11"/>
        <v>1.2253463194830043E-3</v>
      </c>
    </row>
    <row r="126" spans="2:17">
      <c r="B126" s="107">
        <v>41967</v>
      </c>
      <c r="C126">
        <v>102.06605</v>
      </c>
      <c r="D126" s="109">
        <f t="shared" si="8"/>
        <v>2.062886050532434E-2</v>
      </c>
      <c r="E126">
        <v>2069.4099099999999</v>
      </c>
      <c r="F126" s="111">
        <f t="shared" si="9"/>
        <v>2.8640222922218825E-3</v>
      </c>
      <c r="M126" s="107">
        <v>41309</v>
      </c>
      <c r="N126" s="115">
        <v>48.830730000000003</v>
      </c>
      <c r="O126" s="109">
        <f t="shared" si="10"/>
        <v>-7.9599538609148785E-4</v>
      </c>
      <c r="P126">
        <v>1517.9300499999999</v>
      </c>
      <c r="Q126" s="111">
        <f t="shared" si="11"/>
        <v>3.145720490210053E-3</v>
      </c>
    </row>
    <row r="127" spans="2:17">
      <c r="B127" s="107">
        <v>41964</v>
      </c>
      <c r="C127">
        <v>100.0031</v>
      </c>
      <c r="D127" s="109">
        <f t="shared" si="8"/>
        <v>1.3366805828016137E-2</v>
      </c>
      <c r="E127">
        <v>2063.5</v>
      </c>
      <c r="F127" s="111">
        <f t="shared" si="9"/>
        <v>5.2368773596395083E-3</v>
      </c>
      <c r="M127" s="107">
        <v>41302</v>
      </c>
      <c r="N127" s="115">
        <v>48.869630000000001</v>
      </c>
      <c r="O127" s="109">
        <f t="shared" si="10"/>
        <v>1.1880942930269518E-2</v>
      </c>
      <c r="P127">
        <v>1513.17004</v>
      </c>
      <c r="Q127" s="111">
        <f t="shared" si="11"/>
        <v>6.7933147068003474E-3</v>
      </c>
    </row>
    <row r="128" spans="2:17">
      <c r="B128" s="107">
        <v>41963</v>
      </c>
      <c r="C128">
        <v>98.684010000000001</v>
      </c>
      <c r="D128" s="109">
        <f t="shared" si="8"/>
        <v>1.4891915523451328E-2</v>
      </c>
      <c r="E128">
        <v>2052.75</v>
      </c>
      <c r="F128" s="111">
        <f t="shared" si="9"/>
        <v>1.9670965573688904E-3</v>
      </c>
      <c r="M128" s="107">
        <v>41296</v>
      </c>
      <c r="N128" s="115">
        <v>48.295830000000002</v>
      </c>
      <c r="O128" s="109">
        <f t="shared" si="10"/>
        <v>2.4762565565004925E-2</v>
      </c>
      <c r="P128">
        <v>1502.9599599999999</v>
      </c>
      <c r="Q128" s="111">
        <f t="shared" si="11"/>
        <v>1.1426789208828938E-2</v>
      </c>
    </row>
    <row r="129" spans="2:17">
      <c r="B129" s="107">
        <v>41962</v>
      </c>
      <c r="C129">
        <v>97.235979999999998</v>
      </c>
      <c r="D129" s="109">
        <f t="shared" si="8"/>
        <v>-1.793047864233686E-2</v>
      </c>
      <c r="E129">
        <v>2048.7199700000001</v>
      </c>
      <c r="F129" s="111">
        <f t="shared" si="9"/>
        <v>-1.5011599205291596E-3</v>
      </c>
      <c r="M129" s="107">
        <v>41288</v>
      </c>
      <c r="N129" s="115">
        <v>47.128799999999998</v>
      </c>
      <c r="O129" s="109">
        <f t="shared" si="10"/>
        <v>4.1478552685836639E-2</v>
      </c>
      <c r="P129">
        <v>1485.9799800000001</v>
      </c>
      <c r="Q129" s="111">
        <f t="shared" si="11"/>
        <v>9.4629459100252829E-3</v>
      </c>
    </row>
    <row r="130" spans="2:17">
      <c r="B130" s="107">
        <v>41961</v>
      </c>
      <c r="C130">
        <v>99.011300000000006</v>
      </c>
      <c r="D130" s="109">
        <f t="shared" si="8"/>
        <v>2.7797823891682991E-2</v>
      </c>
      <c r="E130">
        <v>2051.8000499999998</v>
      </c>
      <c r="F130" s="111">
        <f t="shared" si="9"/>
        <v>5.1339820590102815E-3</v>
      </c>
      <c r="M130" s="107">
        <v>41281</v>
      </c>
      <c r="N130" s="115">
        <v>45.251820000000002</v>
      </c>
      <c r="O130" s="109">
        <f t="shared" si="10"/>
        <v>2.353724315620407E-2</v>
      </c>
      <c r="P130">
        <v>1472.0500500000001</v>
      </c>
      <c r="Q130" s="111">
        <f t="shared" si="11"/>
        <v>3.8051103085322315E-3</v>
      </c>
    </row>
    <row r="131" spans="2:17">
      <c r="B131" s="107">
        <v>41960</v>
      </c>
      <c r="C131">
        <v>96.333439999999996</v>
      </c>
      <c r="D131" s="109">
        <f t="shared" si="8"/>
        <v>9.7723140653964303E-3</v>
      </c>
      <c r="E131">
        <v>2041.3199500000001</v>
      </c>
      <c r="F131" s="111">
        <f t="shared" si="9"/>
        <v>7.3535902029000155E-4</v>
      </c>
      <c r="M131" s="107">
        <v>41274</v>
      </c>
      <c r="N131" s="115">
        <v>44.211210000000001</v>
      </c>
      <c r="O131" s="109">
        <f t="shared" si="10"/>
        <v>6.5135813747754123E-2</v>
      </c>
      <c r="P131">
        <v>1466.4699700000001</v>
      </c>
      <c r="Q131" s="111">
        <f t="shared" si="11"/>
        <v>4.5663539511293393E-2</v>
      </c>
    </row>
    <row r="132" spans="2:17">
      <c r="B132" s="107">
        <v>41957</v>
      </c>
      <c r="C132">
        <v>95.401150000000001</v>
      </c>
      <c r="D132" s="109">
        <f t="shared" si="8"/>
        <v>1.2739450545577572E-2</v>
      </c>
      <c r="E132">
        <v>2039.8199500000001</v>
      </c>
      <c r="F132" s="111">
        <f t="shared" si="9"/>
        <v>2.4027009341834725E-4</v>
      </c>
      <c r="M132" s="107">
        <v>41267</v>
      </c>
      <c r="N132" s="115">
        <v>41.507579999999997</v>
      </c>
      <c r="O132" s="109">
        <f t="shared" si="10"/>
        <v>-3.7003404905328066E-2</v>
      </c>
      <c r="P132">
        <v>1402.4300499999999</v>
      </c>
      <c r="Q132" s="111">
        <f t="shared" si="11"/>
        <v>-1.9382560998740608E-2</v>
      </c>
    </row>
    <row r="133" spans="2:17">
      <c r="B133" s="107">
        <v>41956</v>
      </c>
      <c r="C133">
        <v>94.201080000000005</v>
      </c>
      <c r="D133" s="109">
        <f t="shared" si="8"/>
        <v>2.3160637310982297E-2</v>
      </c>
      <c r="E133">
        <v>2039.32996</v>
      </c>
      <c r="F133" s="111">
        <f t="shared" si="9"/>
        <v>5.2984668220288397E-4</v>
      </c>
      <c r="M133" s="107">
        <v>41260</v>
      </c>
      <c r="N133" s="115">
        <v>43.102519999999998</v>
      </c>
      <c r="O133" s="109">
        <f t="shared" si="10"/>
        <v>3.8668750308750902E-2</v>
      </c>
      <c r="P133">
        <v>1430.15002</v>
      </c>
      <c r="Q133" s="111">
        <f t="shared" si="11"/>
        <v>1.1722053558257867E-2</v>
      </c>
    </row>
    <row r="134" spans="2:17">
      <c r="B134" s="107">
        <v>41955</v>
      </c>
      <c r="C134">
        <v>92.068709999999996</v>
      </c>
      <c r="D134" s="109">
        <f t="shared" si="8"/>
        <v>1.6184736413013211E-3</v>
      </c>
      <c r="E134">
        <v>2038.25</v>
      </c>
      <c r="F134" s="111">
        <f t="shared" si="9"/>
        <v>-7.0111486357869583E-4</v>
      </c>
      <c r="M134" s="107">
        <v>41253</v>
      </c>
      <c r="N134" s="115">
        <v>41.49785</v>
      </c>
      <c r="O134" s="109">
        <f t="shared" si="10"/>
        <v>9.9407657305206534E-3</v>
      </c>
      <c r="P134">
        <v>1413.57996</v>
      </c>
      <c r="Q134" s="111">
        <f t="shared" si="11"/>
        <v>-3.1662683494562693E-3</v>
      </c>
    </row>
    <row r="135" spans="2:17">
      <c r="B135" s="107">
        <v>41954</v>
      </c>
      <c r="C135">
        <v>91.919939999999997</v>
      </c>
      <c r="D135" s="109">
        <f t="shared" si="8"/>
        <v>-6.219242319519501E-3</v>
      </c>
      <c r="E135">
        <v>2039.6800499999999</v>
      </c>
      <c r="F135" s="111">
        <f t="shared" si="9"/>
        <v>6.9669227332776445E-4</v>
      </c>
      <c r="M135" s="107">
        <v>41246</v>
      </c>
      <c r="N135" s="115">
        <v>41.089390000000002</v>
      </c>
      <c r="O135" s="109">
        <f t="shared" si="10"/>
        <v>8.0562679351347782E-2</v>
      </c>
      <c r="P135">
        <v>1418.0699500000001</v>
      </c>
      <c r="Q135" s="111">
        <f t="shared" si="11"/>
        <v>1.3345054535968963E-3</v>
      </c>
    </row>
    <row r="136" spans="2:17">
      <c r="B136" s="107">
        <v>41953</v>
      </c>
      <c r="C136">
        <v>92.495189999999994</v>
      </c>
      <c r="D136" s="109">
        <f t="shared" si="8"/>
        <v>4.6321926309166057E-3</v>
      </c>
      <c r="E136">
        <v>2038.26001</v>
      </c>
      <c r="F136" s="111">
        <f t="shared" si="9"/>
        <v>3.1201867569552559E-3</v>
      </c>
      <c r="M136" s="107">
        <v>41239</v>
      </c>
      <c r="N136" s="115">
        <v>38.025919999999999</v>
      </c>
      <c r="O136" s="109">
        <f t="shared" si="10"/>
        <v>-2.5666687933651178E-2</v>
      </c>
      <c r="P136">
        <v>1416.1800499999999</v>
      </c>
      <c r="Q136" s="111">
        <f t="shared" si="11"/>
        <v>4.9888442679792864E-3</v>
      </c>
    </row>
    <row r="137" spans="2:17">
      <c r="B137" s="107">
        <v>41950</v>
      </c>
      <c r="C137">
        <v>92.068709999999996</v>
      </c>
      <c r="D137" s="109">
        <f t="shared" ref="D137:D200" si="12">(C137-C138)/C138</f>
        <v>-6.953365307143424E-3</v>
      </c>
      <c r="E137">
        <v>2031.92004</v>
      </c>
      <c r="F137" s="111">
        <f t="shared" ref="F137:F200" si="13">(E137-E138)/E138</f>
        <v>3.4958473716821564E-4</v>
      </c>
      <c r="M137" s="107">
        <v>41232</v>
      </c>
      <c r="N137" s="115">
        <v>39.027630000000002</v>
      </c>
      <c r="O137" s="109">
        <f t="shared" ref="O137:O200" si="14">(N137-N138)/N138</f>
        <v>1.6979348827901218E-2</v>
      </c>
      <c r="P137">
        <v>1409.15002</v>
      </c>
      <c r="Q137" s="111">
        <f t="shared" ref="Q137:Q200" si="15">(P137-P138)/P138</f>
        <v>3.6231152748771894E-2</v>
      </c>
    </row>
    <row r="138" spans="2:17">
      <c r="B138" s="107">
        <v>41949</v>
      </c>
      <c r="C138">
        <v>92.713380000000001</v>
      </c>
      <c r="D138" s="109">
        <f t="shared" si="12"/>
        <v>-5.0026014300137605E-3</v>
      </c>
      <c r="E138">
        <v>2031.2099599999999</v>
      </c>
      <c r="F138" s="111">
        <f t="shared" si="13"/>
        <v>3.7755107007790105E-3</v>
      </c>
      <c r="M138" s="107">
        <v>41225</v>
      </c>
      <c r="N138" s="115">
        <v>38.37603</v>
      </c>
      <c r="O138" s="109">
        <f t="shared" si="14"/>
        <v>-4.2697656736433706E-2</v>
      </c>
      <c r="P138">
        <v>1359.88</v>
      </c>
      <c r="Q138" s="111">
        <f t="shared" si="15"/>
        <v>-1.4472573315542499E-2</v>
      </c>
    </row>
    <row r="139" spans="2:17">
      <c r="B139" s="107">
        <v>41948</v>
      </c>
      <c r="C139">
        <v>93.179519999999997</v>
      </c>
      <c r="D139" s="109">
        <f t="shared" si="12"/>
        <v>6.9666718034695442E-3</v>
      </c>
      <c r="E139">
        <v>2023.5699500000001</v>
      </c>
      <c r="F139" s="111">
        <f t="shared" si="13"/>
        <v>5.7004970498534093E-3</v>
      </c>
      <c r="M139" s="107">
        <v>41218</v>
      </c>
      <c r="N139" s="115">
        <v>40.087679999999999</v>
      </c>
      <c r="O139" s="109">
        <f t="shared" si="14"/>
        <v>-5.1541718372740457E-2</v>
      </c>
      <c r="P139">
        <v>1379.84998</v>
      </c>
      <c r="Q139" s="111">
        <f t="shared" si="15"/>
        <v>-2.4289330515108551E-2</v>
      </c>
    </row>
    <row r="140" spans="2:17">
      <c r="B140" s="107">
        <v>41947</v>
      </c>
      <c r="C140">
        <v>92.534859999999995</v>
      </c>
      <c r="D140" s="109">
        <f t="shared" si="12"/>
        <v>-1.1861840488727357E-2</v>
      </c>
      <c r="E140">
        <v>2012.09998</v>
      </c>
      <c r="F140" s="111">
        <f t="shared" si="13"/>
        <v>-2.8298401882286489E-3</v>
      </c>
      <c r="M140" s="107">
        <v>41213</v>
      </c>
      <c r="N140" s="115">
        <v>42.266150000000003</v>
      </c>
      <c r="O140" s="109">
        <f t="shared" si="14"/>
        <v>2.9126419256132258E-2</v>
      </c>
      <c r="P140">
        <v>1414.1999499999999</v>
      </c>
      <c r="Q140" s="111">
        <f t="shared" si="15"/>
        <v>1.6006417383447385E-3</v>
      </c>
    </row>
    <row r="141" spans="2:17">
      <c r="B141" s="107">
        <v>41946</v>
      </c>
      <c r="C141">
        <v>93.645669999999996</v>
      </c>
      <c r="D141" s="109">
        <f t="shared" si="12"/>
        <v>2.9742533761845293E-3</v>
      </c>
      <c r="E141">
        <v>2017.81006</v>
      </c>
      <c r="F141" s="111">
        <f t="shared" si="13"/>
        <v>-1.1892172842791205E-4</v>
      </c>
      <c r="M141" s="107">
        <v>41204</v>
      </c>
      <c r="N141" s="115">
        <v>41.069929999999999</v>
      </c>
      <c r="O141" s="109">
        <f t="shared" si="14"/>
        <v>-4.0663375282288902E-2</v>
      </c>
      <c r="P141">
        <v>1411.93994</v>
      </c>
      <c r="Q141" s="111">
        <f t="shared" si="15"/>
        <v>-1.4827064722488912E-2</v>
      </c>
    </row>
    <row r="142" spans="2:17">
      <c r="B142" s="107">
        <v>41943</v>
      </c>
      <c r="C142">
        <v>93.36797</v>
      </c>
      <c r="D142" s="109">
        <f t="shared" si="12"/>
        <v>4.2409587116667147E-2</v>
      </c>
      <c r="E142">
        <v>2018.0500500000001</v>
      </c>
      <c r="F142" s="111">
        <f t="shared" si="13"/>
        <v>1.1731396367970364E-2</v>
      </c>
      <c r="M142" s="107">
        <v>41197</v>
      </c>
      <c r="N142" s="115">
        <v>42.810760000000002</v>
      </c>
      <c r="O142" s="109">
        <f t="shared" si="14"/>
        <v>4.1154164931845851E-2</v>
      </c>
      <c r="P142">
        <v>1433.18994</v>
      </c>
      <c r="Q142" s="111">
        <f t="shared" si="15"/>
        <v>3.2199372084349611E-3</v>
      </c>
    </row>
    <row r="143" spans="2:17">
      <c r="B143" s="107">
        <v>41942</v>
      </c>
      <c r="C143">
        <v>89.569370000000006</v>
      </c>
      <c r="D143" s="109">
        <f t="shared" si="12"/>
        <v>-3.0909184806005826E-3</v>
      </c>
      <c r="E143">
        <v>1994.65002</v>
      </c>
      <c r="F143" s="111">
        <f t="shared" si="13"/>
        <v>6.2301214188033669E-3</v>
      </c>
      <c r="M143" s="107">
        <v>41190</v>
      </c>
      <c r="N143" s="115">
        <v>41.118560000000002</v>
      </c>
      <c r="O143" s="109">
        <f t="shared" si="14"/>
        <v>-4.1052416529924661E-2</v>
      </c>
      <c r="P143">
        <v>1428.58997</v>
      </c>
      <c r="Q143" s="111">
        <f t="shared" si="15"/>
        <v>-2.2136638232610757E-2</v>
      </c>
    </row>
    <row r="144" spans="2:17">
      <c r="B144" s="107">
        <v>41941</v>
      </c>
      <c r="C144">
        <v>89.847080000000005</v>
      </c>
      <c r="D144" s="109">
        <f t="shared" si="12"/>
        <v>2.2008896848862869E-4</v>
      </c>
      <c r="E144">
        <v>1982.3000500000001</v>
      </c>
      <c r="F144" s="111">
        <f t="shared" si="13"/>
        <v>-1.3853554977115061E-3</v>
      </c>
      <c r="M144" s="107">
        <v>41183</v>
      </c>
      <c r="N144" s="115">
        <v>42.878839999999997</v>
      </c>
      <c r="O144" s="109">
        <f t="shared" si="14"/>
        <v>1.5196876101671055E-2</v>
      </c>
      <c r="P144">
        <v>1460.9300499999999</v>
      </c>
      <c r="Q144" s="111">
        <f t="shared" si="15"/>
        <v>1.4062907839743767E-2</v>
      </c>
    </row>
    <row r="145" spans="2:17">
      <c r="B145" s="107">
        <v>41940</v>
      </c>
      <c r="C145">
        <v>89.827309999999997</v>
      </c>
      <c r="D145" s="109">
        <f t="shared" si="12"/>
        <v>1.8151245835973353E-2</v>
      </c>
      <c r="E145">
        <v>1985.0500500000001</v>
      </c>
      <c r="F145" s="111">
        <f t="shared" si="13"/>
        <v>1.1939076176445072E-2</v>
      </c>
      <c r="M145" s="107">
        <v>41176</v>
      </c>
      <c r="N145" s="115">
        <v>42.236969999999999</v>
      </c>
      <c r="O145" s="109">
        <f t="shared" si="14"/>
        <v>-4.0008864190375568E-2</v>
      </c>
      <c r="P145">
        <v>1440.67004</v>
      </c>
      <c r="Q145" s="111">
        <f t="shared" si="15"/>
        <v>-1.3341081213011296E-2</v>
      </c>
    </row>
    <row r="146" spans="2:17">
      <c r="B146" s="107">
        <v>41939</v>
      </c>
      <c r="C146">
        <v>88.225899999999996</v>
      </c>
      <c r="D146" s="109">
        <f t="shared" si="12"/>
        <v>5.5205334942909764E-3</v>
      </c>
      <c r="E146">
        <v>1961.63</v>
      </c>
      <c r="F146" s="111">
        <f t="shared" si="13"/>
        <v>-1.5015728858396372E-3</v>
      </c>
      <c r="M146" s="107">
        <v>41169</v>
      </c>
      <c r="N146" s="115">
        <v>43.997250000000001</v>
      </c>
      <c r="O146" s="109">
        <f t="shared" si="14"/>
        <v>-9.8490172924924936E-3</v>
      </c>
      <c r="P146">
        <v>1460.15002</v>
      </c>
      <c r="Q146" s="111">
        <f t="shared" si="15"/>
        <v>-3.8341621968771685E-3</v>
      </c>
    </row>
    <row r="147" spans="2:17">
      <c r="B147" s="107">
        <v>41936</v>
      </c>
      <c r="C147">
        <v>87.741519999999994</v>
      </c>
      <c r="D147" s="109">
        <f t="shared" si="12"/>
        <v>3.3913904243309105E-3</v>
      </c>
      <c r="E147">
        <v>1964.57996</v>
      </c>
      <c r="F147" s="111">
        <f t="shared" si="13"/>
        <v>7.0534494995296544E-3</v>
      </c>
      <c r="M147" s="107">
        <v>41162</v>
      </c>
      <c r="N147" s="115">
        <v>44.434890000000003</v>
      </c>
      <c r="O147" s="109">
        <f t="shared" si="14"/>
        <v>3.2309137334974786E-2</v>
      </c>
      <c r="P147">
        <v>1465.7700199999999</v>
      </c>
      <c r="Q147" s="111">
        <f t="shared" si="15"/>
        <v>1.9368239697111364E-2</v>
      </c>
    </row>
    <row r="148" spans="2:17">
      <c r="B148" s="107">
        <v>41935</v>
      </c>
      <c r="C148">
        <v>87.444959999999995</v>
      </c>
      <c r="D148" s="109">
        <f t="shared" si="12"/>
        <v>2.1596116005332334E-2</v>
      </c>
      <c r="E148">
        <v>1950.8199500000001</v>
      </c>
      <c r="F148" s="111">
        <f t="shared" si="13"/>
        <v>1.2303376622524871E-2</v>
      </c>
      <c r="M148" s="107">
        <v>41156</v>
      </c>
      <c r="N148" s="115">
        <v>43.044170000000001</v>
      </c>
      <c r="O148" s="109">
        <f t="shared" si="14"/>
        <v>7.3750588709548731E-2</v>
      </c>
      <c r="P148">
        <v>1437.92004</v>
      </c>
      <c r="Q148" s="111">
        <f t="shared" si="15"/>
        <v>2.2281051124885886E-2</v>
      </c>
    </row>
    <row r="149" spans="2:17">
      <c r="B149" s="107">
        <v>41934</v>
      </c>
      <c r="C149">
        <v>85.596410000000006</v>
      </c>
      <c r="D149" s="109">
        <f t="shared" si="12"/>
        <v>-2.3017129533616034E-2</v>
      </c>
      <c r="E149">
        <v>1927.1099899999999</v>
      </c>
      <c r="F149" s="111">
        <f t="shared" si="13"/>
        <v>-7.2993281654476052E-3</v>
      </c>
      <c r="M149" s="107">
        <v>41148</v>
      </c>
      <c r="N149" s="115">
        <v>40.087679999999999</v>
      </c>
      <c r="O149" s="109">
        <f t="shared" si="14"/>
        <v>-4.2286375573998454E-2</v>
      </c>
      <c r="P149">
        <v>1406.57996</v>
      </c>
      <c r="Q149" s="111">
        <f t="shared" si="15"/>
        <v>-3.2243946340876324E-3</v>
      </c>
    </row>
    <row r="150" spans="2:17">
      <c r="B150" s="107">
        <v>41933</v>
      </c>
      <c r="C150">
        <v>87.613010000000003</v>
      </c>
      <c r="D150" s="109">
        <f t="shared" si="12"/>
        <v>5.036747212054124E-2</v>
      </c>
      <c r="E150">
        <v>1941.2800299999999</v>
      </c>
      <c r="F150" s="111">
        <f t="shared" si="13"/>
        <v>1.9574487426145377E-2</v>
      </c>
      <c r="M150" s="107">
        <v>41141</v>
      </c>
      <c r="N150" s="115">
        <v>41.857689999999998</v>
      </c>
      <c r="O150" s="109">
        <f t="shared" si="14"/>
        <v>1.1515871356885924E-2</v>
      </c>
      <c r="P150">
        <v>1411.13</v>
      </c>
      <c r="Q150" s="111">
        <f t="shared" si="15"/>
        <v>-4.9571485948591409E-3</v>
      </c>
    </row>
    <row r="151" spans="2:17">
      <c r="B151" s="107">
        <v>41932</v>
      </c>
      <c r="C151">
        <v>83.411770000000004</v>
      </c>
      <c r="D151" s="109">
        <f t="shared" si="12"/>
        <v>1.9082000212340001E-2</v>
      </c>
      <c r="E151">
        <v>1904.01001</v>
      </c>
      <c r="F151" s="111">
        <f t="shared" si="13"/>
        <v>9.1426572052478467E-3</v>
      </c>
      <c r="M151" s="107">
        <v>41134</v>
      </c>
      <c r="N151" s="115">
        <v>41.381149999999998</v>
      </c>
      <c r="O151" s="109">
        <f t="shared" si="14"/>
        <v>2.7777791576032759E-2</v>
      </c>
      <c r="P151">
        <v>1418.16003</v>
      </c>
      <c r="Q151" s="111">
        <f t="shared" si="15"/>
        <v>8.7419391551139987E-3</v>
      </c>
    </row>
    <row r="152" spans="2:17">
      <c r="B152" s="107">
        <v>41929</v>
      </c>
      <c r="C152">
        <v>81.849909999999994</v>
      </c>
      <c r="D152" s="109">
        <f t="shared" si="12"/>
        <v>-2.9422004456244637E-2</v>
      </c>
      <c r="E152">
        <v>1886.76001</v>
      </c>
      <c r="F152" s="111">
        <f t="shared" si="13"/>
        <v>1.2884107384289403E-2</v>
      </c>
      <c r="M152" s="107">
        <v>41127</v>
      </c>
      <c r="N152" s="115">
        <v>40.262740000000001</v>
      </c>
      <c r="O152" s="109">
        <f t="shared" si="14"/>
        <v>7.2526517663372967E-4</v>
      </c>
      <c r="P152">
        <v>1405.87</v>
      </c>
      <c r="Q152" s="111">
        <f t="shared" si="15"/>
        <v>1.069742421367091E-2</v>
      </c>
    </row>
    <row r="153" spans="2:17">
      <c r="B153" s="107">
        <v>41928</v>
      </c>
      <c r="C153">
        <v>84.331100000000006</v>
      </c>
      <c r="D153" s="109">
        <f t="shared" si="12"/>
        <v>1.1381097050542801E-2</v>
      </c>
      <c r="E153">
        <v>1862.76001</v>
      </c>
      <c r="F153" s="111">
        <f t="shared" si="13"/>
        <v>1.4497796039157843E-4</v>
      </c>
      <c r="M153" s="107">
        <v>41120</v>
      </c>
      <c r="N153" s="115">
        <v>40.233559999999997</v>
      </c>
      <c r="O153" s="109">
        <f t="shared" si="14"/>
        <v>-2.5212136307041451E-2</v>
      </c>
      <c r="P153">
        <v>1390.98999</v>
      </c>
      <c r="Q153" s="111">
        <f t="shared" si="15"/>
        <v>3.6220265291894678E-3</v>
      </c>
    </row>
    <row r="154" spans="2:17">
      <c r="B154" s="107">
        <v>41927</v>
      </c>
      <c r="C154">
        <v>83.38212</v>
      </c>
      <c r="D154" s="109">
        <f t="shared" si="12"/>
        <v>8.1271992525201783E-3</v>
      </c>
      <c r="E154">
        <v>1862.48999</v>
      </c>
      <c r="F154" s="111">
        <f t="shared" si="13"/>
        <v>-8.100314429895953E-3</v>
      </c>
      <c r="M154" s="107">
        <v>41113</v>
      </c>
      <c r="N154" s="115">
        <v>41.274169999999998</v>
      </c>
      <c r="O154" s="109">
        <f t="shared" si="14"/>
        <v>9.6640770987841393E-2</v>
      </c>
      <c r="P154">
        <v>1385.9699700000001</v>
      </c>
      <c r="Q154" s="111">
        <f t="shared" si="15"/>
        <v>1.7106203665488078E-2</v>
      </c>
    </row>
    <row r="155" spans="2:17">
      <c r="B155" s="107">
        <v>41926</v>
      </c>
      <c r="C155">
        <v>82.709919999999997</v>
      </c>
      <c r="D155" s="109">
        <f t="shared" si="12"/>
        <v>1.0385196443821722E-2</v>
      </c>
      <c r="E155">
        <v>1877.6999499999999</v>
      </c>
      <c r="F155" s="111">
        <f t="shared" si="13"/>
        <v>1.5788642776003888E-3</v>
      </c>
      <c r="M155" s="107">
        <v>41106</v>
      </c>
      <c r="N155" s="115">
        <v>37.63691</v>
      </c>
      <c r="O155" s="109">
        <f t="shared" si="14"/>
        <v>0.15798928987337682</v>
      </c>
      <c r="P155">
        <v>1362.66003</v>
      </c>
      <c r="Q155" s="111">
        <f t="shared" si="15"/>
        <v>4.333790201791303E-3</v>
      </c>
    </row>
    <row r="156" spans="2:17">
      <c r="B156" s="107">
        <v>41925</v>
      </c>
      <c r="C156">
        <v>81.859790000000004</v>
      </c>
      <c r="D156" s="109">
        <f t="shared" si="12"/>
        <v>-3.7876114890062977E-2</v>
      </c>
      <c r="E156">
        <v>1874.73999</v>
      </c>
      <c r="F156" s="111">
        <f t="shared" si="13"/>
        <v>-1.6467927161316422E-2</v>
      </c>
      <c r="M156" s="107">
        <v>41099</v>
      </c>
      <c r="N156" s="115">
        <v>32.501950000000001</v>
      </c>
      <c r="O156" s="109">
        <f t="shared" si="14"/>
        <v>-8.9621268756527969E-2</v>
      </c>
      <c r="P156">
        <v>1356.7800299999999</v>
      </c>
      <c r="Q156" s="111">
        <f t="shared" si="15"/>
        <v>1.5501667718513753E-3</v>
      </c>
    </row>
    <row r="157" spans="2:17">
      <c r="B157" s="107">
        <v>41922</v>
      </c>
      <c r="C157">
        <v>85.082380000000001</v>
      </c>
      <c r="D157" s="109">
        <f t="shared" si="12"/>
        <v>-4.3560508337641524E-2</v>
      </c>
      <c r="E157">
        <v>1906.13</v>
      </c>
      <c r="F157" s="111">
        <f t="shared" si="13"/>
        <v>-1.1451014390569688E-2</v>
      </c>
      <c r="M157" s="107">
        <v>41092</v>
      </c>
      <c r="N157" s="115">
        <v>35.701569999999997</v>
      </c>
      <c r="O157" s="109">
        <f t="shared" si="14"/>
        <v>6.3047717888520018E-3</v>
      </c>
      <c r="P157">
        <v>1354.6800499999999</v>
      </c>
      <c r="Q157" s="111">
        <f t="shared" si="15"/>
        <v>-5.4912637540833354E-3</v>
      </c>
    </row>
    <row r="158" spans="2:17">
      <c r="B158" s="107">
        <v>41921</v>
      </c>
      <c r="C158">
        <v>88.957409999999996</v>
      </c>
      <c r="D158" s="109">
        <f t="shared" si="12"/>
        <v>-3.6199999523286522E-2</v>
      </c>
      <c r="E158">
        <v>1928.2099599999999</v>
      </c>
      <c r="F158" s="111">
        <f t="shared" si="13"/>
        <v>-2.0661413178687499E-2</v>
      </c>
      <c r="M158" s="107">
        <v>41085</v>
      </c>
      <c r="N158" s="115">
        <v>35.477890000000002</v>
      </c>
      <c r="O158" s="109">
        <f t="shared" si="14"/>
        <v>3.3002283011403627E-3</v>
      </c>
      <c r="P158">
        <v>1362.16003</v>
      </c>
      <c r="Q158" s="111">
        <f t="shared" si="15"/>
        <v>2.0329290642398065E-2</v>
      </c>
    </row>
    <row r="159" spans="2:17">
      <c r="B159" s="107">
        <v>41920</v>
      </c>
      <c r="C159">
        <v>92.29862</v>
      </c>
      <c r="D159" s="109">
        <f t="shared" si="12"/>
        <v>1.9768558794679699E-2</v>
      </c>
      <c r="E159">
        <v>1968.8900100000001</v>
      </c>
      <c r="F159" s="111">
        <f t="shared" si="13"/>
        <v>1.7461645573475803E-2</v>
      </c>
      <c r="M159" s="107">
        <v>41078</v>
      </c>
      <c r="N159" s="115">
        <v>35.361190000000001</v>
      </c>
      <c r="O159" s="109">
        <f t="shared" si="14"/>
        <v>-1.3297159167168232E-2</v>
      </c>
      <c r="P159">
        <v>1335.0200199999999</v>
      </c>
      <c r="Q159" s="111">
        <f t="shared" si="15"/>
        <v>-5.8234414931810996E-3</v>
      </c>
    </row>
    <row r="160" spans="2:17">
      <c r="B160" s="107">
        <v>41919</v>
      </c>
      <c r="C160">
        <v>90.509379999999993</v>
      </c>
      <c r="D160" s="109">
        <f t="shared" si="12"/>
        <v>-1.6330161462723113E-2</v>
      </c>
      <c r="E160">
        <v>1935.09998</v>
      </c>
      <c r="F160" s="111">
        <f t="shared" si="13"/>
        <v>-1.5126052644162179E-2</v>
      </c>
      <c r="M160" s="107">
        <v>41071</v>
      </c>
      <c r="N160" s="115">
        <v>35.837730000000001</v>
      </c>
      <c r="O160" s="109">
        <f t="shared" si="14"/>
        <v>4.0079253022559026E-2</v>
      </c>
      <c r="P160">
        <v>1342.83997</v>
      </c>
      <c r="Q160" s="111">
        <f t="shared" si="15"/>
        <v>1.295953684294154E-2</v>
      </c>
    </row>
    <row r="161" spans="2:17">
      <c r="B161" s="107">
        <v>41918</v>
      </c>
      <c r="C161">
        <v>92.011949999999999</v>
      </c>
      <c r="D161" s="109">
        <f t="shared" si="12"/>
        <v>-2.6665170182417344E-2</v>
      </c>
      <c r="E161">
        <v>1964.8199500000001</v>
      </c>
      <c r="F161" s="111">
        <f t="shared" si="13"/>
        <v>-1.5651557338771599E-3</v>
      </c>
      <c r="M161" s="107">
        <v>41064</v>
      </c>
      <c r="N161" s="115">
        <v>34.45673</v>
      </c>
      <c r="O161" s="109">
        <f t="shared" si="14"/>
        <v>0.1344858819489328</v>
      </c>
      <c r="P161">
        <v>1325.66003</v>
      </c>
      <c r="Q161" s="111">
        <f t="shared" si="15"/>
        <v>3.7260170659441871E-2</v>
      </c>
    </row>
    <row r="162" spans="2:17">
      <c r="B162" s="107">
        <v>41915</v>
      </c>
      <c r="C162">
        <v>94.532679999999999</v>
      </c>
      <c r="D162" s="109">
        <f t="shared" si="12"/>
        <v>1.3888799511614005E-2</v>
      </c>
      <c r="E162">
        <v>1967.90002</v>
      </c>
      <c r="F162" s="111">
        <f t="shared" si="13"/>
        <v>1.1165509463911011E-2</v>
      </c>
      <c r="M162" s="107">
        <v>41058</v>
      </c>
      <c r="N162" s="115">
        <v>30.372109999999999</v>
      </c>
      <c r="O162" s="109">
        <f t="shared" si="14"/>
        <v>-7.4117859016572335E-2</v>
      </c>
      <c r="P162">
        <v>1278.0400400000001</v>
      </c>
      <c r="Q162" s="111">
        <f t="shared" si="15"/>
        <v>-3.0186149481194278E-2</v>
      </c>
    </row>
    <row r="163" spans="2:17">
      <c r="B163" s="107">
        <v>41914</v>
      </c>
      <c r="C163">
        <v>93.237719999999996</v>
      </c>
      <c r="D163" s="109">
        <f t="shared" si="12"/>
        <v>-8.3061179882927272E-3</v>
      </c>
      <c r="E163">
        <v>1946.17004</v>
      </c>
      <c r="F163" s="111">
        <f t="shared" si="13"/>
        <v>5.1434619176541498E-6</v>
      </c>
      <c r="M163" s="107">
        <v>41050</v>
      </c>
      <c r="N163" s="115">
        <v>32.803429999999999</v>
      </c>
      <c r="O163" s="109">
        <f t="shared" si="14"/>
        <v>7.0114183598039184E-2</v>
      </c>
      <c r="P163">
        <v>1317.8199500000001</v>
      </c>
      <c r="Q163" s="111">
        <f t="shared" si="15"/>
        <v>1.7448758144147484E-2</v>
      </c>
    </row>
    <row r="164" spans="2:17">
      <c r="B164" s="107">
        <v>41913</v>
      </c>
      <c r="C164">
        <v>94.018649999999994</v>
      </c>
      <c r="D164" s="109">
        <f t="shared" si="12"/>
        <v>-2.8994463990947971E-2</v>
      </c>
      <c r="E164">
        <v>1946.16003</v>
      </c>
      <c r="F164" s="111">
        <f t="shared" si="13"/>
        <v>-1.3248563583477856E-2</v>
      </c>
      <c r="M164" s="107">
        <v>41043</v>
      </c>
      <c r="N164" s="115">
        <v>30.654140000000002</v>
      </c>
      <c r="O164" s="109">
        <f t="shared" si="14"/>
        <v>-0.11708697059735045</v>
      </c>
      <c r="P164">
        <v>1295.2199700000001</v>
      </c>
      <c r="Q164" s="111">
        <f t="shared" si="15"/>
        <v>-4.2980988163197661E-2</v>
      </c>
    </row>
    <row r="165" spans="2:17">
      <c r="B165" s="107">
        <v>41912</v>
      </c>
      <c r="C165">
        <v>96.826070000000001</v>
      </c>
      <c r="D165" s="109">
        <f t="shared" si="12"/>
        <v>-1.7355547026260989E-2</v>
      </c>
      <c r="E165">
        <v>1972.2900400000001</v>
      </c>
      <c r="F165" s="111">
        <f t="shared" si="13"/>
        <v>-2.7859287393586451E-3</v>
      </c>
      <c r="M165" s="107">
        <v>41036</v>
      </c>
      <c r="N165" s="115">
        <v>34.719320000000003</v>
      </c>
      <c r="O165" s="109">
        <f t="shared" si="14"/>
        <v>-6.6775919012882559E-3</v>
      </c>
      <c r="P165">
        <v>1353.3900100000001</v>
      </c>
      <c r="Q165" s="111">
        <f t="shared" si="15"/>
        <v>-1.1474669658529894E-2</v>
      </c>
    </row>
    <row r="166" spans="2:17">
      <c r="B166" s="107">
        <v>41911</v>
      </c>
      <c r="C166">
        <v>98.53622</v>
      </c>
      <c r="D166" s="109">
        <f t="shared" si="12"/>
        <v>4.7374566401019958E-3</v>
      </c>
      <c r="E166">
        <v>1977.8000500000001</v>
      </c>
      <c r="F166" s="111">
        <f t="shared" si="13"/>
        <v>-2.5468038686415925E-3</v>
      </c>
      <c r="M166" s="107">
        <v>41029</v>
      </c>
      <c r="N166" s="115">
        <v>34.952719999999999</v>
      </c>
      <c r="O166" s="109">
        <f t="shared" si="14"/>
        <v>-4.3640526566939418E-2</v>
      </c>
      <c r="P166">
        <v>1369.09998</v>
      </c>
      <c r="Q166" s="111">
        <f t="shared" si="15"/>
        <v>-2.4412845060517913E-2</v>
      </c>
    </row>
    <row r="167" spans="2:17">
      <c r="B167" s="107">
        <v>41908</v>
      </c>
      <c r="C167">
        <v>98.071610000000007</v>
      </c>
      <c r="D167" s="109">
        <f t="shared" si="12"/>
        <v>2.2888994950618021E-2</v>
      </c>
      <c r="E167">
        <v>1982.84998</v>
      </c>
      <c r="F167" s="111">
        <f t="shared" si="13"/>
        <v>8.5758269806856576E-3</v>
      </c>
      <c r="M167" s="107">
        <v>41022</v>
      </c>
      <c r="N167" s="115">
        <v>36.54768</v>
      </c>
      <c r="O167" s="109">
        <f t="shared" si="14"/>
        <v>4.6505295137521843E-2</v>
      </c>
      <c r="P167">
        <v>1403.3599899999999</v>
      </c>
      <c r="Q167" s="111">
        <f t="shared" si="15"/>
        <v>1.801191084680254E-2</v>
      </c>
    </row>
    <row r="168" spans="2:17">
      <c r="B168" s="107">
        <v>41907</v>
      </c>
      <c r="C168">
        <v>95.877080000000007</v>
      </c>
      <c r="D168" s="109">
        <f t="shared" si="12"/>
        <v>-2.9906069625887211E-2</v>
      </c>
      <c r="E168">
        <v>1965.98999</v>
      </c>
      <c r="F168" s="111">
        <f t="shared" si="13"/>
        <v>-1.6168773052875628E-2</v>
      </c>
      <c r="M168" s="107">
        <v>41015</v>
      </c>
      <c r="N168" s="115">
        <v>34.923549999999999</v>
      </c>
      <c r="O168" s="109">
        <f t="shared" si="14"/>
        <v>-0.12648999980240477</v>
      </c>
      <c r="P168">
        <v>1378.5300299999999</v>
      </c>
      <c r="Q168" s="111">
        <f t="shared" si="15"/>
        <v>6.0353655070178478E-3</v>
      </c>
    </row>
    <row r="169" spans="2:17">
      <c r="B169" s="107">
        <v>41906</v>
      </c>
      <c r="C169">
        <v>98.83278</v>
      </c>
      <c r="D169" s="109">
        <f t="shared" si="12"/>
        <v>1.010309752489285E-2</v>
      </c>
      <c r="E169">
        <v>1998.3000500000001</v>
      </c>
      <c r="F169" s="111">
        <f t="shared" si="13"/>
        <v>7.8324918388669833E-3</v>
      </c>
      <c r="M169" s="107">
        <v>41008</v>
      </c>
      <c r="N169" s="115">
        <v>39.980710000000002</v>
      </c>
      <c r="O169" s="109">
        <f t="shared" si="14"/>
        <v>-6.7588815369072366E-2</v>
      </c>
      <c r="P169">
        <v>1370.26001</v>
      </c>
      <c r="Q169" s="111">
        <f t="shared" si="15"/>
        <v>-1.9898683048142726E-2</v>
      </c>
    </row>
    <row r="170" spans="2:17">
      <c r="B170" s="107">
        <v>41905</v>
      </c>
      <c r="C170">
        <v>97.844250000000002</v>
      </c>
      <c r="D170" s="109">
        <f t="shared" si="12"/>
        <v>2.0246491043462113E-3</v>
      </c>
      <c r="E170">
        <v>1982.7700199999999</v>
      </c>
      <c r="F170" s="111">
        <f t="shared" si="13"/>
        <v>-5.7765017971007655E-3</v>
      </c>
      <c r="M170" s="107">
        <v>41001</v>
      </c>
      <c r="N170" s="115">
        <v>42.878839999999997</v>
      </c>
      <c r="O170" s="109">
        <f t="shared" si="14"/>
        <v>-0.11090956743585036</v>
      </c>
      <c r="P170">
        <v>1398.07996</v>
      </c>
      <c r="Q170" s="111">
        <f t="shared" si="15"/>
        <v>-7.3768061948811543E-3</v>
      </c>
    </row>
    <row r="171" spans="2:17">
      <c r="B171" s="107">
        <v>41904</v>
      </c>
      <c r="C171">
        <v>97.646550000000005</v>
      </c>
      <c r="D171" s="109">
        <f t="shared" si="12"/>
        <v>-2.3140728027467774E-2</v>
      </c>
      <c r="E171">
        <v>1994.2900400000001</v>
      </c>
      <c r="F171" s="111">
        <f t="shared" si="13"/>
        <v>-8.0133206524739039E-3</v>
      </c>
      <c r="M171" s="107">
        <v>40994</v>
      </c>
      <c r="N171" s="115">
        <v>48.227760000000004</v>
      </c>
      <c r="O171" s="109">
        <f t="shared" si="14"/>
        <v>3.8461394359801055E-3</v>
      </c>
      <c r="P171">
        <v>1408.4699700000001</v>
      </c>
      <c r="Q171" s="111">
        <f t="shared" si="15"/>
        <v>8.1310563100333837E-3</v>
      </c>
    </row>
    <row r="172" spans="2:17">
      <c r="B172" s="107">
        <v>41901</v>
      </c>
      <c r="C172">
        <v>99.959689999999995</v>
      </c>
      <c r="D172" s="109">
        <f t="shared" si="12"/>
        <v>-2.0344958034254783E-2</v>
      </c>
      <c r="E172">
        <v>2010.40002</v>
      </c>
      <c r="F172" s="111">
        <f t="shared" si="13"/>
        <v>-4.772740855802172E-4</v>
      </c>
      <c r="M172" s="107">
        <v>40987</v>
      </c>
      <c r="N172" s="115">
        <v>48.04298</v>
      </c>
      <c r="O172" s="109">
        <f t="shared" si="14"/>
        <v>-1.691541351960309E-2</v>
      </c>
      <c r="P172">
        <v>1397.1099899999999</v>
      </c>
      <c r="Q172" s="111">
        <f t="shared" si="15"/>
        <v>-5.0279167044470245E-3</v>
      </c>
    </row>
    <row r="173" spans="2:17">
      <c r="B173" s="107">
        <v>41900</v>
      </c>
      <c r="C173">
        <v>102.0356</v>
      </c>
      <c r="D173" s="109">
        <f t="shared" si="12"/>
        <v>2.9934181904879023E-2</v>
      </c>
      <c r="E173">
        <v>2011.3599899999999</v>
      </c>
      <c r="F173" s="111">
        <f t="shared" si="13"/>
        <v>4.8911805455511869E-3</v>
      </c>
      <c r="M173" s="107">
        <v>40980</v>
      </c>
      <c r="N173" s="115">
        <v>48.869630000000001</v>
      </c>
      <c r="O173" s="109">
        <f t="shared" si="14"/>
        <v>0</v>
      </c>
      <c r="P173">
        <v>1404.17004</v>
      </c>
      <c r="Q173" s="111">
        <f t="shared" si="15"/>
        <v>2.4291172758904991E-2</v>
      </c>
    </row>
    <row r="174" spans="2:17">
      <c r="B174" s="107">
        <v>41899</v>
      </c>
      <c r="C174">
        <v>99.07002</v>
      </c>
      <c r="D174" s="109">
        <f t="shared" si="12"/>
        <v>1.799233892215277E-3</v>
      </c>
      <c r="E174">
        <v>2001.5699500000001</v>
      </c>
      <c r="F174" s="111">
        <f t="shared" si="13"/>
        <v>1.2956457923105332E-3</v>
      </c>
      <c r="M174" s="107">
        <v>40973</v>
      </c>
      <c r="N174" s="115">
        <v>48.869630000000001</v>
      </c>
      <c r="O174" s="109">
        <f t="shared" si="14"/>
        <v>-1.2964058855013427E-2</v>
      </c>
      <c r="P174">
        <v>1370.87</v>
      </c>
      <c r="Q174" s="111">
        <f t="shared" si="15"/>
        <v>9.0535400071536226E-4</v>
      </c>
    </row>
    <row r="175" spans="2:17">
      <c r="B175" s="107">
        <v>41898</v>
      </c>
      <c r="C175">
        <v>98.892089999999996</v>
      </c>
      <c r="D175" s="109">
        <f t="shared" si="12"/>
        <v>2.7737945561074364E-2</v>
      </c>
      <c r="E175">
        <v>1998.9799800000001</v>
      </c>
      <c r="F175" s="111">
        <f t="shared" si="13"/>
        <v>7.4843785437445926E-3</v>
      </c>
      <c r="M175" s="107">
        <v>40966</v>
      </c>
      <c r="N175" s="115">
        <v>49.511499999999998</v>
      </c>
      <c r="O175" s="109">
        <f t="shared" si="14"/>
        <v>3.6019578942258282E-2</v>
      </c>
      <c r="P175">
        <v>1369.63</v>
      </c>
      <c r="Q175" s="111">
        <f t="shared" si="15"/>
        <v>2.8482800741597048E-3</v>
      </c>
    </row>
    <row r="176" spans="2:17">
      <c r="B176" s="107">
        <v>41897</v>
      </c>
      <c r="C176">
        <v>96.223060000000004</v>
      </c>
      <c r="D176" s="109">
        <f t="shared" si="12"/>
        <v>-1.6469774374792856E-2</v>
      </c>
      <c r="E176">
        <v>1984.13</v>
      </c>
      <c r="F176" s="111">
        <f t="shared" si="13"/>
        <v>-7.1015440212426081E-4</v>
      </c>
      <c r="M176" s="107">
        <v>40960</v>
      </c>
      <c r="N176" s="115">
        <v>47.790120000000002</v>
      </c>
      <c r="O176" s="109">
        <f t="shared" si="14"/>
        <v>2.8248689680101174E-2</v>
      </c>
      <c r="P176">
        <v>1365.73999</v>
      </c>
      <c r="Q176" s="111">
        <f t="shared" si="15"/>
        <v>3.3131873866016127E-3</v>
      </c>
    </row>
    <row r="177" spans="2:17">
      <c r="B177" s="107">
        <v>41894</v>
      </c>
      <c r="C177">
        <v>97.834370000000007</v>
      </c>
      <c r="D177" s="109">
        <f t="shared" si="12"/>
        <v>-1.2108871011376036E-3</v>
      </c>
      <c r="E177">
        <v>1985.5400400000001</v>
      </c>
      <c r="F177" s="111">
        <f t="shared" si="13"/>
        <v>-5.9625574097613085E-3</v>
      </c>
      <c r="M177" s="107">
        <v>40952</v>
      </c>
      <c r="N177" s="115">
        <v>46.477200000000003</v>
      </c>
      <c r="O177" s="109">
        <f t="shared" si="14"/>
        <v>2.906964772389873E-2</v>
      </c>
      <c r="P177">
        <v>1361.2299800000001</v>
      </c>
      <c r="Q177" s="111">
        <f t="shared" si="15"/>
        <v>1.3845833478476477E-2</v>
      </c>
    </row>
    <row r="178" spans="2:17">
      <c r="B178" s="107">
        <v>41893</v>
      </c>
      <c r="C178">
        <v>97.952979999999997</v>
      </c>
      <c r="D178" s="109">
        <f t="shared" si="12"/>
        <v>-9.1001193191272978E-3</v>
      </c>
      <c r="E178">
        <v>1997.4499499999999</v>
      </c>
      <c r="F178" s="111">
        <f t="shared" si="13"/>
        <v>8.8190553288050632E-4</v>
      </c>
      <c r="M178" s="107">
        <v>40945</v>
      </c>
      <c r="N178" s="115">
        <v>45.164290000000001</v>
      </c>
      <c r="O178" s="109">
        <f t="shared" si="14"/>
        <v>-2.31383479758542E-2</v>
      </c>
      <c r="P178">
        <v>1342.6400100000001</v>
      </c>
      <c r="Q178" s="111">
        <f t="shared" si="15"/>
        <v>-1.6804297467405537E-3</v>
      </c>
    </row>
    <row r="179" spans="2:17">
      <c r="B179" s="107">
        <v>41892</v>
      </c>
      <c r="C179">
        <v>98.852549999999994</v>
      </c>
      <c r="D179" s="109">
        <f t="shared" si="12"/>
        <v>-7.9933990777271847E-4</v>
      </c>
      <c r="E179">
        <v>1995.68994</v>
      </c>
      <c r="F179" s="111">
        <f t="shared" si="13"/>
        <v>3.6460744195270993E-3</v>
      </c>
      <c r="M179" s="107">
        <v>40938</v>
      </c>
      <c r="N179" s="115">
        <v>46.234070000000003</v>
      </c>
      <c r="O179" s="109">
        <f t="shared" si="14"/>
        <v>1.7987262077708972E-2</v>
      </c>
      <c r="P179">
        <v>1344.90002</v>
      </c>
      <c r="Q179" s="111">
        <f t="shared" si="15"/>
        <v>2.1704330120997938E-2</v>
      </c>
    </row>
    <row r="180" spans="2:17">
      <c r="B180" s="107">
        <v>41891</v>
      </c>
      <c r="C180">
        <v>98.931629999999998</v>
      </c>
      <c r="D180" s="109">
        <f t="shared" si="12"/>
        <v>2.10272999362664E-3</v>
      </c>
      <c r="E180">
        <v>1988.43994</v>
      </c>
      <c r="F180" s="111">
        <f t="shared" si="13"/>
        <v>-6.5450102112371983E-3</v>
      </c>
      <c r="M180" s="107">
        <v>40931</v>
      </c>
      <c r="N180" s="115">
        <v>45.417140000000003</v>
      </c>
      <c r="O180" s="109">
        <f t="shared" si="14"/>
        <v>-0.11030694580209635</v>
      </c>
      <c r="P180">
        <v>1316.32996</v>
      </c>
      <c r="Q180" s="111">
        <f t="shared" si="15"/>
        <v>7.221943468806877E-4</v>
      </c>
    </row>
    <row r="181" spans="2:17">
      <c r="B181" s="107">
        <v>41890</v>
      </c>
      <c r="C181">
        <v>98.724040000000002</v>
      </c>
      <c r="D181" s="109">
        <f t="shared" si="12"/>
        <v>1.0932306249573141E-2</v>
      </c>
      <c r="E181">
        <v>2001.5400400000001</v>
      </c>
      <c r="F181" s="111">
        <f t="shared" si="13"/>
        <v>-3.0731132100374797E-3</v>
      </c>
      <c r="M181" s="107">
        <v>40925</v>
      </c>
      <c r="N181" s="115">
        <v>51.048099999999998</v>
      </c>
      <c r="O181" s="109">
        <f t="shared" si="14"/>
        <v>5.2114695281404229E-2</v>
      </c>
      <c r="P181">
        <v>1315.38</v>
      </c>
      <c r="Q181" s="111">
        <f t="shared" si="15"/>
        <v>2.0394255336576791E-2</v>
      </c>
    </row>
    <row r="182" spans="2:17">
      <c r="B182" s="107">
        <v>41887</v>
      </c>
      <c r="C182">
        <v>97.65643</v>
      </c>
      <c r="D182" s="109">
        <f t="shared" si="12"/>
        <v>2.6602874656205283E-2</v>
      </c>
      <c r="E182">
        <v>2007.7099599999999</v>
      </c>
      <c r="F182" s="111">
        <f t="shared" si="13"/>
        <v>5.0358871170035424E-3</v>
      </c>
      <c r="M182" s="107">
        <v>40917</v>
      </c>
      <c r="N182" s="115">
        <v>48.51952</v>
      </c>
      <c r="O182" s="109">
        <f t="shared" si="14"/>
        <v>-8.0109690554178159E-4</v>
      </c>
      <c r="P182">
        <v>1289.08997</v>
      </c>
      <c r="Q182" s="111">
        <f t="shared" si="15"/>
        <v>8.8275326303190738E-3</v>
      </c>
    </row>
    <row r="183" spans="2:17">
      <c r="B183" s="107">
        <v>41886</v>
      </c>
      <c r="C183">
        <v>95.125810000000001</v>
      </c>
      <c r="D183" s="109">
        <f t="shared" si="12"/>
        <v>5.2229938112605895E-3</v>
      </c>
      <c r="E183">
        <v>1997.65002</v>
      </c>
      <c r="F183" s="111">
        <f t="shared" si="13"/>
        <v>-1.5344226308692578E-3</v>
      </c>
      <c r="M183" s="107">
        <v>40911</v>
      </c>
      <c r="N183" s="115">
        <v>48.558419999999998</v>
      </c>
      <c r="O183" s="109">
        <f t="shared" si="14"/>
        <v>1.4631139491247095E-2</v>
      </c>
      <c r="P183">
        <v>1277.81006</v>
      </c>
      <c r="Q183" s="111">
        <f t="shared" si="15"/>
        <v>1.607035648966857E-2</v>
      </c>
    </row>
    <row r="184" spans="2:17">
      <c r="B184" s="107">
        <v>41885</v>
      </c>
      <c r="C184">
        <v>94.631550000000004</v>
      </c>
      <c r="D184" s="109">
        <f t="shared" si="12"/>
        <v>9.4116332991589394E-4</v>
      </c>
      <c r="E184">
        <v>2000.7199700000001</v>
      </c>
      <c r="F184" s="111">
        <f t="shared" si="13"/>
        <v>-7.7914176669873392E-4</v>
      </c>
      <c r="M184" s="107">
        <v>40904</v>
      </c>
      <c r="N184" s="115">
        <v>47.858199999999997</v>
      </c>
      <c r="O184" s="109">
        <f t="shared" si="14"/>
        <v>-2.5930240060441086E-2</v>
      </c>
      <c r="P184">
        <v>1257.59998</v>
      </c>
      <c r="Q184" s="111">
        <f t="shared" si="15"/>
        <v>-6.1090626511365216E-3</v>
      </c>
    </row>
    <row r="185" spans="2:17">
      <c r="B185" s="107">
        <v>41884</v>
      </c>
      <c r="C185">
        <v>94.542569999999998</v>
      </c>
      <c r="D185" s="109">
        <f t="shared" si="12"/>
        <v>-2.3683146599997203E-2</v>
      </c>
      <c r="E185">
        <v>2002.2800299999999</v>
      </c>
      <c r="F185" s="111">
        <f t="shared" si="13"/>
        <v>-5.4406824500715994E-4</v>
      </c>
      <c r="M185" s="107">
        <v>40896</v>
      </c>
      <c r="N185" s="115">
        <v>49.132210000000001</v>
      </c>
      <c r="O185" s="109">
        <f t="shared" si="14"/>
        <v>5.4477076510642687E-2</v>
      </c>
      <c r="P185">
        <v>1265.32996</v>
      </c>
      <c r="Q185" s="111">
        <f t="shared" si="15"/>
        <v>3.7444803368689571E-2</v>
      </c>
    </row>
    <row r="186" spans="2:17">
      <c r="B186" s="107">
        <v>41880</v>
      </c>
      <c r="C186">
        <v>96.835949999999997</v>
      </c>
      <c r="D186" s="109">
        <f t="shared" si="12"/>
        <v>-3.4589160711423119E-3</v>
      </c>
      <c r="E186">
        <v>2003.37</v>
      </c>
      <c r="F186" s="111">
        <f t="shared" si="13"/>
        <v>3.3204172967957919E-3</v>
      </c>
      <c r="M186" s="107">
        <v>40889</v>
      </c>
      <c r="N186" s="115">
        <v>46.593910000000001</v>
      </c>
      <c r="O186" s="109">
        <f t="shared" si="14"/>
        <v>-4.9216031251823771E-2</v>
      </c>
      <c r="P186">
        <v>1219.66003</v>
      </c>
      <c r="Q186" s="111">
        <f t="shared" si="15"/>
        <v>-2.8306401181003707E-2</v>
      </c>
    </row>
    <row r="187" spans="2:17">
      <c r="B187" s="107">
        <v>41879</v>
      </c>
      <c r="C187">
        <v>97.172060000000002</v>
      </c>
      <c r="D187" s="109">
        <f t="shared" si="12"/>
        <v>-5.4632348011914968E-3</v>
      </c>
      <c r="E187">
        <v>1996.73999</v>
      </c>
      <c r="F187" s="111">
        <f t="shared" si="13"/>
        <v>-1.6899036057835813E-3</v>
      </c>
      <c r="M187" s="107">
        <v>40882</v>
      </c>
      <c r="N187" s="115">
        <v>49.005780000000001</v>
      </c>
      <c r="O187" s="109">
        <f t="shared" si="14"/>
        <v>1.3911565112377966E-3</v>
      </c>
      <c r="P187">
        <v>1255.18994</v>
      </c>
      <c r="Q187" s="111">
        <f t="shared" si="15"/>
        <v>8.7680503881429998E-3</v>
      </c>
    </row>
    <row r="188" spans="2:17">
      <c r="B188" s="107">
        <v>41878</v>
      </c>
      <c r="C188">
        <v>97.705849999999998</v>
      </c>
      <c r="D188" s="109">
        <f t="shared" si="12"/>
        <v>3.0443705067174933E-3</v>
      </c>
      <c r="E188">
        <v>2000.12</v>
      </c>
      <c r="F188" s="111">
        <f t="shared" si="13"/>
        <v>4.998949960508873E-5</v>
      </c>
      <c r="M188" s="107">
        <v>40875</v>
      </c>
      <c r="N188" s="115">
        <v>48.9377</v>
      </c>
      <c r="O188" s="109">
        <f t="shared" si="14"/>
        <v>0.10447756478108251</v>
      </c>
      <c r="P188">
        <v>1244.2800299999999</v>
      </c>
      <c r="Q188" s="111">
        <f t="shared" si="15"/>
        <v>7.3886427580366135E-2</v>
      </c>
    </row>
    <row r="189" spans="2:17">
      <c r="B189" s="107">
        <v>41877</v>
      </c>
      <c r="C189">
        <v>97.409300000000002</v>
      </c>
      <c r="D189" s="109">
        <f t="shared" si="12"/>
        <v>-4.9480211592822084E-3</v>
      </c>
      <c r="E189">
        <v>2000.0200199999999</v>
      </c>
      <c r="F189" s="111">
        <f t="shared" si="13"/>
        <v>1.0510831054079419E-3</v>
      </c>
      <c r="M189" s="107">
        <v>40868</v>
      </c>
      <c r="N189" s="115">
        <v>44.308459999999997</v>
      </c>
      <c r="O189" s="109">
        <f t="shared" si="14"/>
        <v>-6.4860538866726075E-2</v>
      </c>
      <c r="P189">
        <v>1158.67004</v>
      </c>
      <c r="Q189" s="111">
        <f t="shared" si="15"/>
        <v>-4.6872026539348938E-2</v>
      </c>
    </row>
    <row r="190" spans="2:17">
      <c r="B190" s="107">
        <v>41876</v>
      </c>
      <c r="C190">
        <v>97.893680000000003</v>
      </c>
      <c r="D190" s="109">
        <f t="shared" si="12"/>
        <v>1.0510190915143673E-2</v>
      </c>
      <c r="E190">
        <v>1997.92004</v>
      </c>
      <c r="F190" s="111">
        <f t="shared" si="13"/>
        <v>4.7877790707324232E-3</v>
      </c>
      <c r="M190" s="107">
        <v>40861</v>
      </c>
      <c r="N190" s="115">
        <v>47.381659999999997</v>
      </c>
      <c r="O190" s="109">
        <f t="shared" si="14"/>
        <v>-5.6910416993011144E-2</v>
      </c>
      <c r="P190">
        <v>1215.65002</v>
      </c>
      <c r="Q190" s="111">
        <f t="shared" si="15"/>
        <v>-3.8137406150055814E-2</v>
      </c>
    </row>
    <row r="191" spans="2:17">
      <c r="B191" s="107">
        <v>41873</v>
      </c>
      <c r="C191">
        <v>96.875500000000002</v>
      </c>
      <c r="D191" s="109">
        <f t="shared" si="12"/>
        <v>3.5842925132428464E-3</v>
      </c>
      <c r="E191">
        <v>1988.40002</v>
      </c>
      <c r="F191" s="111">
        <f t="shared" si="13"/>
        <v>-1.9925917374784053E-3</v>
      </c>
      <c r="M191" s="107">
        <v>40854</v>
      </c>
      <c r="N191" s="115">
        <v>50.24089</v>
      </c>
      <c r="O191" s="109">
        <f t="shared" si="14"/>
        <v>6.8211727695769693E-3</v>
      </c>
      <c r="P191">
        <v>1263.84998</v>
      </c>
      <c r="Q191" s="111">
        <f t="shared" si="15"/>
        <v>8.4741030532958454E-3</v>
      </c>
    </row>
    <row r="192" spans="2:17">
      <c r="B192" s="107">
        <v>41872</v>
      </c>
      <c r="C192">
        <v>96.529510000000002</v>
      </c>
      <c r="D192" s="109">
        <f t="shared" si="12"/>
        <v>-3.0716916891469439E-4</v>
      </c>
      <c r="E192">
        <v>1992.37</v>
      </c>
      <c r="F192" s="111">
        <f t="shared" si="13"/>
        <v>2.9498920068366154E-3</v>
      </c>
      <c r="M192" s="107">
        <v>40847</v>
      </c>
      <c r="N192" s="115">
        <v>49.900509999999997</v>
      </c>
      <c r="O192" s="109">
        <f t="shared" si="14"/>
        <v>-3.8778625660110588E-2</v>
      </c>
      <c r="P192">
        <v>1253.2299800000001</v>
      </c>
      <c r="Q192" s="111">
        <f t="shared" si="15"/>
        <v>-2.4792030708947112E-2</v>
      </c>
    </row>
    <row r="193" spans="2:17">
      <c r="B193" s="107">
        <v>41871</v>
      </c>
      <c r="C193">
        <v>96.559169999999995</v>
      </c>
      <c r="D193" s="109">
        <f t="shared" si="12"/>
        <v>2.4973759766844017E-2</v>
      </c>
      <c r="E193">
        <v>1986.51001</v>
      </c>
      <c r="F193" s="111">
        <f t="shared" si="13"/>
        <v>2.47781088491937E-3</v>
      </c>
      <c r="M193" s="107">
        <v>40840</v>
      </c>
      <c r="N193" s="115">
        <v>51.913649999999997</v>
      </c>
      <c r="O193" s="109">
        <f t="shared" si="14"/>
        <v>7.2749229280461236E-2</v>
      </c>
      <c r="P193">
        <v>1285.08997</v>
      </c>
      <c r="Q193" s="111">
        <f t="shared" si="15"/>
        <v>3.7827555017161313E-2</v>
      </c>
    </row>
    <row r="194" spans="2:17">
      <c r="B194" s="107">
        <v>41870</v>
      </c>
      <c r="C194">
        <v>94.206479999999999</v>
      </c>
      <c r="D194" s="109">
        <f t="shared" si="12"/>
        <v>1.0926158211509237E-2</v>
      </c>
      <c r="E194">
        <v>1981.59998</v>
      </c>
      <c r="F194" s="111">
        <f t="shared" si="13"/>
        <v>5.0006542698360166E-3</v>
      </c>
      <c r="M194" s="107">
        <v>40833</v>
      </c>
      <c r="N194" s="115">
        <v>48.393090000000001</v>
      </c>
      <c r="O194" s="109">
        <f t="shared" si="14"/>
        <v>6.3475243310192206E-2</v>
      </c>
      <c r="P194">
        <v>1238.25</v>
      </c>
      <c r="Q194" s="111">
        <f t="shared" si="15"/>
        <v>1.1163044020416577E-2</v>
      </c>
    </row>
    <row r="195" spans="2:17">
      <c r="B195" s="107">
        <v>41869</v>
      </c>
      <c r="C195">
        <v>93.188289999999995</v>
      </c>
      <c r="D195" s="109">
        <f t="shared" si="12"/>
        <v>2.5523111358075018E-3</v>
      </c>
      <c r="E195">
        <v>1971.73999</v>
      </c>
      <c r="F195" s="111">
        <f t="shared" si="13"/>
        <v>8.5316714004172404E-3</v>
      </c>
      <c r="M195" s="107">
        <v>40826</v>
      </c>
      <c r="N195" s="115">
        <v>45.504669999999997</v>
      </c>
      <c r="O195" s="109">
        <f t="shared" si="14"/>
        <v>8.4608153414115164E-2</v>
      </c>
      <c r="P195">
        <v>1224.57996</v>
      </c>
      <c r="Q195" s="111">
        <f t="shared" si="15"/>
        <v>5.982033336750165E-2</v>
      </c>
    </row>
    <row r="196" spans="2:17">
      <c r="B196" s="107">
        <v>41866</v>
      </c>
      <c r="C196">
        <v>92.951049999999995</v>
      </c>
      <c r="D196" s="109">
        <f t="shared" si="12"/>
        <v>8.7973296421570996E-3</v>
      </c>
      <c r="E196">
        <v>1955.06006</v>
      </c>
      <c r="F196" s="111">
        <f t="shared" si="13"/>
        <v>-6.1370307046615025E-5</v>
      </c>
      <c r="M196" s="107">
        <v>40819</v>
      </c>
      <c r="N196" s="115">
        <v>41.954940000000001</v>
      </c>
      <c r="O196" s="109">
        <f t="shared" si="14"/>
        <v>6.8879994068987871E-2</v>
      </c>
      <c r="P196">
        <v>1155.4599599999999</v>
      </c>
      <c r="Q196" s="111">
        <f t="shared" si="15"/>
        <v>2.1247564255623349E-2</v>
      </c>
    </row>
    <row r="197" spans="2:17">
      <c r="B197" s="107">
        <v>41865</v>
      </c>
      <c r="C197">
        <v>92.140460000000004</v>
      </c>
      <c r="D197" s="109">
        <f t="shared" si="12"/>
        <v>2.905079546280854E-3</v>
      </c>
      <c r="E197">
        <v>1955.1800499999999</v>
      </c>
      <c r="F197" s="111">
        <f t="shared" si="13"/>
        <v>4.345812510465917E-3</v>
      </c>
      <c r="M197" s="107">
        <v>40812</v>
      </c>
      <c r="N197" s="115">
        <v>39.251309999999997</v>
      </c>
      <c r="O197" s="109">
        <f t="shared" si="14"/>
        <v>-4.3601775405718662E-2</v>
      </c>
      <c r="P197">
        <v>1131.42004</v>
      </c>
      <c r="Q197" s="111">
        <f t="shared" si="15"/>
        <v>-4.4085511466367558E-3</v>
      </c>
    </row>
    <row r="198" spans="2:17">
      <c r="B198" s="107">
        <v>41864</v>
      </c>
      <c r="C198">
        <v>91.873559999999998</v>
      </c>
      <c r="D198" s="109">
        <f t="shared" si="12"/>
        <v>1.684902352740518E-2</v>
      </c>
      <c r="E198">
        <v>1946.7199700000001</v>
      </c>
      <c r="F198" s="111">
        <f t="shared" si="13"/>
        <v>6.7071596638655995E-3</v>
      </c>
      <c r="M198" s="107">
        <v>40805</v>
      </c>
      <c r="N198" s="115">
        <v>41.040759999999999</v>
      </c>
      <c r="O198" s="109">
        <f t="shared" si="14"/>
        <v>-1.3557800861101968E-2</v>
      </c>
      <c r="P198">
        <v>1136.4300499999999</v>
      </c>
      <c r="Q198" s="111">
        <f t="shared" si="15"/>
        <v>-6.5443507327706971E-2</v>
      </c>
    </row>
    <row r="199" spans="2:17">
      <c r="B199" s="107">
        <v>41863</v>
      </c>
      <c r="C199">
        <v>90.351230000000001</v>
      </c>
      <c r="D199" s="109">
        <f t="shared" si="12"/>
        <v>-1.0608302805147352E-2</v>
      </c>
      <c r="E199">
        <v>1933.75</v>
      </c>
      <c r="F199" s="111">
        <f t="shared" si="13"/>
        <v>-1.6366395796080316E-3</v>
      </c>
      <c r="M199" s="107">
        <v>40798</v>
      </c>
      <c r="N199" s="115">
        <v>41.60483</v>
      </c>
      <c r="O199" s="109">
        <f t="shared" si="14"/>
        <v>0.1045702127749954</v>
      </c>
      <c r="P199">
        <v>1216.01001</v>
      </c>
      <c r="Q199" s="111">
        <f t="shared" si="15"/>
        <v>5.3524887648473567E-2</v>
      </c>
    </row>
    <row r="200" spans="2:17">
      <c r="B200" s="107">
        <v>41862</v>
      </c>
      <c r="C200">
        <v>91.319980000000001</v>
      </c>
      <c r="D200" s="109">
        <f t="shared" si="12"/>
        <v>1.0390471967079722E-2</v>
      </c>
      <c r="E200">
        <v>1936.92004</v>
      </c>
      <c r="F200" s="111">
        <f t="shared" si="13"/>
        <v>2.7594210379959564E-3</v>
      </c>
      <c r="M200" s="107">
        <v>40792</v>
      </c>
      <c r="N200" s="115">
        <v>37.666080000000001</v>
      </c>
      <c r="O200" s="109">
        <f t="shared" si="14"/>
        <v>0.10847173014629996</v>
      </c>
      <c r="P200">
        <v>1154.2299800000001</v>
      </c>
      <c r="Q200" s="111">
        <f t="shared" si="15"/>
        <v>-1.6814731640878371E-2</v>
      </c>
    </row>
    <row r="201" spans="2:17">
      <c r="B201" s="107">
        <v>41859</v>
      </c>
      <c r="C201">
        <v>90.380880000000005</v>
      </c>
      <c r="D201" s="109">
        <f t="shared" ref="D201:D264" si="16">(C201-C202)/C202</f>
        <v>7.0491640893641924E-3</v>
      </c>
      <c r="E201">
        <v>1931.58997</v>
      </c>
      <c r="F201" s="111">
        <f t="shared" ref="F201:F264" si="17">(E201-E202)/E202</f>
        <v>1.153140265953595E-2</v>
      </c>
      <c r="M201" s="107">
        <v>40784</v>
      </c>
      <c r="N201" s="115">
        <v>33.98019</v>
      </c>
      <c r="O201" s="109">
        <f t="shared" ref="O201:O264" si="18">(N201-N202)/N202</f>
        <v>4.022864882561321E-3</v>
      </c>
      <c r="P201">
        <v>1173.9699700000001</v>
      </c>
      <c r="Q201" s="111">
        <f t="shared" ref="Q201:Q264" si="19">(P201-P202)/P202</f>
        <v>-2.4048945273242913E-3</v>
      </c>
    </row>
    <row r="202" spans="2:17">
      <c r="B202" s="107">
        <v>41858</v>
      </c>
      <c r="C202">
        <v>89.748230000000007</v>
      </c>
      <c r="D202" s="109">
        <f t="shared" si="16"/>
        <v>-2.4078178805887349E-2</v>
      </c>
      <c r="E202">
        <v>1909.5699500000001</v>
      </c>
      <c r="F202" s="111">
        <f t="shared" si="17"/>
        <v>-5.5566179516967412E-3</v>
      </c>
      <c r="M202" s="107">
        <v>40777</v>
      </c>
      <c r="N202" s="115">
        <v>33.84404</v>
      </c>
      <c r="O202" s="109">
        <f t="shared" si="18"/>
        <v>7.0769273602676791E-2</v>
      </c>
      <c r="P202">
        <v>1176.8000500000001</v>
      </c>
      <c r="Q202" s="111">
        <f t="shared" si="19"/>
        <v>4.7413080716676673E-2</v>
      </c>
    </row>
    <row r="203" spans="2:17">
      <c r="B203" s="107">
        <v>41857</v>
      </c>
      <c r="C203">
        <v>91.962519999999998</v>
      </c>
      <c r="D203" s="109">
        <f t="shared" si="16"/>
        <v>1.9386698724338275E-3</v>
      </c>
      <c r="E203">
        <v>1920.23999</v>
      </c>
      <c r="F203" s="111">
        <f t="shared" si="17"/>
        <v>1.56389148195671E-5</v>
      </c>
      <c r="M203" s="107">
        <v>40770</v>
      </c>
      <c r="N203" s="115">
        <v>31.607220000000002</v>
      </c>
      <c r="O203" s="109">
        <f t="shared" si="18"/>
        <v>-0.14675763679938755</v>
      </c>
      <c r="P203">
        <v>1123.5300299999999</v>
      </c>
      <c r="Q203" s="111">
        <f t="shared" si="19"/>
        <v>-4.6894772852549393E-2</v>
      </c>
    </row>
    <row r="204" spans="2:17">
      <c r="B204" s="107">
        <v>41856</v>
      </c>
      <c r="C204">
        <v>91.784580000000005</v>
      </c>
      <c r="D204" s="109">
        <f t="shared" si="16"/>
        <v>-1.2969161718406046E-2</v>
      </c>
      <c r="E204">
        <v>1920.2099599999999</v>
      </c>
      <c r="F204" s="111">
        <f t="shared" si="17"/>
        <v>-9.685470320555974E-3</v>
      </c>
      <c r="M204" s="107">
        <v>40763</v>
      </c>
      <c r="N204" s="115">
        <v>37.043660000000003</v>
      </c>
      <c r="O204" s="109">
        <f t="shared" si="18"/>
        <v>-3.128200193096832E-2</v>
      </c>
      <c r="P204">
        <v>1178.81006</v>
      </c>
      <c r="Q204" s="111">
        <f t="shared" si="19"/>
        <v>-1.7150477746835938E-2</v>
      </c>
    </row>
    <row r="205" spans="2:17">
      <c r="B205" s="107">
        <v>41855</v>
      </c>
      <c r="C205">
        <v>92.990589999999997</v>
      </c>
      <c r="D205" s="109">
        <f t="shared" si="16"/>
        <v>1.4122374206927892E-2</v>
      </c>
      <c r="E205">
        <v>1938.98999</v>
      </c>
      <c r="F205" s="111">
        <f t="shared" si="17"/>
        <v>7.1890345459934566E-3</v>
      </c>
      <c r="M205" s="107">
        <v>40756</v>
      </c>
      <c r="N205" s="115">
        <v>38.239879999999999</v>
      </c>
      <c r="O205" s="109">
        <f t="shared" si="18"/>
        <v>-7.5475881183771826E-2</v>
      </c>
      <c r="P205">
        <v>1199.3800000000001</v>
      </c>
      <c r="Q205" s="111">
        <f t="shared" si="19"/>
        <v>-7.1888466774496076E-2</v>
      </c>
    </row>
    <row r="206" spans="2:17">
      <c r="B206" s="107">
        <v>41852</v>
      </c>
      <c r="C206">
        <v>91.695629999999994</v>
      </c>
      <c r="D206" s="109">
        <f t="shared" si="16"/>
        <v>1.1449224318251267E-2</v>
      </c>
      <c r="E206">
        <v>1925.15002</v>
      </c>
      <c r="F206" s="111">
        <f t="shared" si="17"/>
        <v>-2.8591213856511343E-3</v>
      </c>
      <c r="M206" s="107">
        <v>40749</v>
      </c>
      <c r="N206" s="115">
        <v>41.361690000000003</v>
      </c>
      <c r="O206" s="109">
        <f t="shared" si="18"/>
        <v>-6.671075691493715E-2</v>
      </c>
      <c r="P206">
        <v>1292.2800299999999</v>
      </c>
      <c r="Q206" s="111">
        <f t="shared" si="19"/>
        <v>-3.9211304825038991E-2</v>
      </c>
    </row>
    <row r="207" spans="2:17">
      <c r="B207" s="107">
        <v>41851</v>
      </c>
      <c r="C207">
        <v>90.657669999999996</v>
      </c>
      <c r="D207" s="109">
        <f t="shared" si="16"/>
        <v>-1.4294831927839194E-2</v>
      </c>
      <c r="E207">
        <v>1930.67004</v>
      </c>
      <c r="F207" s="111">
        <f t="shared" si="17"/>
        <v>-1.9999244189273631E-2</v>
      </c>
      <c r="M207" s="107">
        <v>40742</v>
      </c>
      <c r="N207" s="115">
        <v>44.318190000000001</v>
      </c>
      <c r="O207" s="109">
        <f t="shared" si="18"/>
        <v>9.490647580125755E-2</v>
      </c>
      <c r="P207">
        <v>1345.0200199999999</v>
      </c>
      <c r="Q207" s="111">
        <f t="shared" si="19"/>
        <v>2.1942961828202347E-2</v>
      </c>
    </row>
    <row r="208" spans="2:17">
      <c r="B208" s="107">
        <v>41850</v>
      </c>
      <c r="C208">
        <v>91.972399999999993</v>
      </c>
      <c r="D208" s="109">
        <f t="shared" si="16"/>
        <v>4.7361306444060327E-3</v>
      </c>
      <c r="E208">
        <v>1970.0699500000001</v>
      </c>
      <c r="F208" s="111">
        <f t="shared" si="17"/>
        <v>6.0915253202305086E-5</v>
      </c>
      <c r="M208" s="107">
        <v>40735</v>
      </c>
      <c r="N208" s="115">
        <v>40.476689999999998</v>
      </c>
      <c r="O208" s="109">
        <f t="shared" si="18"/>
        <v>-3.29927427911096E-2</v>
      </c>
      <c r="P208">
        <v>1316.1400100000001</v>
      </c>
      <c r="Q208" s="111">
        <f t="shared" si="19"/>
        <v>-2.0583449152275279E-2</v>
      </c>
    </row>
    <row r="209" spans="2:17">
      <c r="B209" s="107">
        <v>41849</v>
      </c>
      <c r="C209">
        <v>91.53886</v>
      </c>
      <c r="D209" s="109">
        <f t="shared" si="16"/>
        <v>2.9148877962669579E-3</v>
      </c>
      <c r="E209">
        <v>1969.9499499999999</v>
      </c>
      <c r="F209" s="111">
        <f t="shared" si="17"/>
        <v>-4.5277854294366593E-3</v>
      </c>
      <c r="M209" s="107">
        <v>40729</v>
      </c>
      <c r="N209" s="115">
        <v>41.857689999999998</v>
      </c>
      <c r="O209" s="109">
        <f t="shared" si="18"/>
        <v>5.6075444428107645E-3</v>
      </c>
      <c r="P209">
        <v>1343.8000500000001</v>
      </c>
      <c r="Q209" s="111">
        <f t="shared" si="19"/>
        <v>3.0828561337387854E-3</v>
      </c>
    </row>
    <row r="210" spans="2:17">
      <c r="B210" s="107">
        <v>41848</v>
      </c>
      <c r="C210">
        <v>91.272810000000007</v>
      </c>
      <c r="D210" s="109">
        <f t="shared" si="16"/>
        <v>-6.5422301248438727E-3</v>
      </c>
      <c r="E210">
        <v>1978.91003</v>
      </c>
      <c r="F210" s="111">
        <f t="shared" si="17"/>
        <v>2.881506761449157E-4</v>
      </c>
      <c r="M210" s="107">
        <v>40721</v>
      </c>
      <c r="N210" s="115">
        <v>41.624279999999999</v>
      </c>
      <c r="O210" s="109">
        <f t="shared" si="18"/>
        <v>9.9126994207335381E-2</v>
      </c>
      <c r="P210">
        <v>1339.67004</v>
      </c>
      <c r="Q210" s="111">
        <f t="shared" si="19"/>
        <v>5.6147339514657266E-2</v>
      </c>
    </row>
    <row r="211" spans="2:17">
      <c r="B211" s="107">
        <v>41845</v>
      </c>
      <c r="C211">
        <v>91.873869999999997</v>
      </c>
      <c r="D211" s="109">
        <f t="shared" si="16"/>
        <v>-5.33396559685305E-3</v>
      </c>
      <c r="E211">
        <v>1978.33997</v>
      </c>
      <c r="F211" s="111">
        <f t="shared" si="17"/>
        <v>-4.8491484305591822E-3</v>
      </c>
      <c r="M211" s="107">
        <v>40714</v>
      </c>
      <c r="N211" s="115">
        <v>37.870310000000003</v>
      </c>
      <c r="O211" s="109">
        <f t="shared" si="18"/>
        <v>-4.8851988566224497E-2</v>
      </c>
      <c r="P211">
        <v>1268.4499499999999</v>
      </c>
      <c r="Q211" s="111">
        <f t="shared" si="19"/>
        <v>-2.398780967361428E-3</v>
      </c>
    </row>
    <row r="212" spans="2:17">
      <c r="B212" s="107">
        <v>41844</v>
      </c>
      <c r="C212">
        <v>92.366550000000004</v>
      </c>
      <c r="D212" s="109">
        <f t="shared" si="16"/>
        <v>-6.4652624715208851E-3</v>
      </c>
      <c r="E212">
        <v>1987.9799800000001</v>
      </c>
      <c r="F212" s="111">
        <f t="shared" si="17"/>
        <v>4.8815556797325999E-4</v>
      </c>
      <c r="M212" s="107">
        <v>40707</v>
      </c>
      <c r="N212" s="115">
        <v>39.815370000000001</v>
      </c>
      <c r="O212" s="109">
        <f t="shared" si="18"/>
        <v>-3.7385319603720289E-2</v>
      </c>
      <c r="P212">
        <v>1271.5</v>
      </c>
      <c r="Q212" s="111">
        <f t="shared" si="19"/>
        <v>4.0914885221082027E-4</v>
      </c>
    </row>
    <row r="213" spans="2:17">
      <c r="B213" s="107">
        <v>41843</v>
      </c>
      <c r="C213">
        <v>92.967609999999993</v>
      </c>
      <c r="D213" s="109">
        <f t="shared" si="16"/>
        <v>-3.0642327525786444E-3</v>
      </c>
      <c r="E213">
        <v>1987.01001</v>
      </c>
      <c r="F213" s="111">
        <f t="shared" si="17"/>
        <v>1.7544377687087847E-3</v>
      </c>
      <c r="M213" s="107">
        <v>40700</v>
      </c>
      <c r="N213" s="115">
        <v>41.361690000000003</v>
      </c>
      <c r="O213" s="109">
        <f t="shared" si="18"/>
        <v>-3.9087291031514794E-2</v>
      </c>
      <c r="P213">
        <v>1270.9799800000001</v>
      </c>
      <c r="Q213" s="111">
        <f t="shared" si="19"/>
        <v>-2.2443429521518159E-2</v>
      </c>
    </row>
    <row r="214" spans="2:17">
      <c r="B214" s="107">
        <v>41842</v>
      </c>
      <c r="C214">
        <v>93.253360000000001</v>
      </c>
      <c r="D214" s="109">
        <f t="shared" si="16"/>
        <v>1.0032045835281611E-2</v>
      </c>
      <c r="E214">
        <v>1983.5300299999999</v>
      </c>
      <c r="F214" s="111">
        <f t="shared" si="17"/>
        <v>5.0161529770016604E-3</v>
      </c>
      <c r="M214" s="107">
        <v>40694</v>
      </c>
      <c r="N214" s="115">
        <v>43.044170000000001</v>
      </c>
      <c r="O214" s="109">
        <f t="shared" si="18"/>
        <v>-3.8662181453695009E-2</v>
      </c>
      <c r="P214">
        <v>1300.16003</v>
      </c>
      <c r="Q214" s="111">
        <f t="shared" si="19"/>
        <v>-2.324389637508668E-2</v>
      </c>
    </row>
    <row r="215" spans="2:17">
      <c r="B215" s="107">
        <v>41841</v>
      </c>
      <c r="C215">
        <v>92.327129999999997</v>
      </c>
      <c r="D215" s="109">
        <f t="shared" si="16"/>
        <v>-8.6754599124369385E-3</v>
      </c>
      <c r="E215">
        <v>1973.63</v>
      </c>
      <c r="F215" s="111">
        <f t="shared" si="17"/>
        <v>-2.3202525854594388E-3</v>
      </c>
      <c r="M215" s="107">
        <v>40686</v>
      </c>
      <c r="N215" s="115">
        <v>44.775280000000002</v>
      </c>
      <c r="O215" s="109">
        <f t="shared" si="18"/>
        <v>-9.0399776556787468E-3</v>
      </c>
      <c r="P215">
        <v>1331.09998</v>
      </c>
      <c r="Q215" s="111">
        <f t="shared" si="19"/>
        <v>-1.6276072869319989E-3</v>
      </c>
    </row>
    <row r="216" spans="2:17">
      <c r="B216" s="107">
        <v>41838</v>
      </c>
      <c r="C216">
        <v>93.135120000000001</v>
      </c>
      <c r="D216" s="109">
        <f t="shared" si="16"/>
        <v>1.4054327372049587E-2</v>
      </c>
      <c r="E216">
        <v>1978.2199700000001</v>
      </c>
      <c r="F216" s="111">
        <f t="shared" si="17"/>
        <v>1.0264932690540015E-2</v>
      </c>
      <c r="M216" s="107">
        <v>40679</v>
      </c>
      <c r="N216" s="115">
        <v>45.18374</v>
      </c>
      <c r="O216" s="109">
        <f t="shared" si="18"/>
        <v>-6.453907422921735E-4</v>
      </c>
      <c r="P216">
        <v>1333.2700199999999</v>
      </c>
      <c r="Q216" s="111">
        <f t="shared" si="19"/>
        <v>-3.3638068821425678E-3</v>
      </c>
    </row>
    <row r="217" spans="2:17">
      <c r="B217" s="107">
        <v>41837</v>
      </c>
      <c r="C217">
        <v>91.844309999999993</v>
      </c>
      <c r="D217" s="109">
        <f t="shared" si="16"/>
        <v>-0.13558385963082781</v>
      </c>
      <c r="E217">
        <v>1958.12</v>
      </c>
      <c r="F217" s="111">
        <f t="shared" si="17"/>
        <v>-1.1834025844003221E-2</v>
      </c>
      <c r="M217" s="107">
        <v>40672</v>
      </c>
      <c r="N217" s="115">
        <v>45.212919999999997</v>
      </c>
      <c r="O217" s="109">
        <f t="shared" si="18"/>
        <v>-1.3997883318187791E-2</v>
      </c>
      <c r="P217">
        <v>1337.7700199999999</v>
      </c>
      <c r="Q217" s="111">
        <f t="shared" si="19"/>
        <v>-1.8131100512278136E-3</v>
      </c>
    </row>
    <row r="218" spans="2:17">
      <c r="B218" s="107">
        <v>41836</v>
      </c>
      <c r="C218">
        <v>106.25011000000001</v>
      </c>
      <c r="D218" s="109">
        <f t="shared" si="16"/>
        <v>2.1504449043853603E-2</v>
      </c>
      <c r="E218">
        <v>1981.5699500000001</v>
      </c>
      <c r="F218" s="111">
        <f t="shared" si="17"/>
        <v>4.201086451982269E-3</v>
      </c>
      <c r="M218" s="107">
        <v>40665</v>
      </c>
      <c r="N218" s="115">
        <v>45.854790000000001</v>
      </c>
      <c r="O218" s="109">
        <f t="shared" si="18"/>
        <v>-4.4192067101755231E-2</v>
      </c>
      <c r="P218">
        <v>1340.1999499999999</v>
      </c>
      <c r="Q218" s="111">
        <f t="shared" si="19"/>
        <v>-1.7167694701327306E-2</v>
      </c>
    </row>
    <row r="219" spans="2:17">
      <c r="B219" s="107">
        <v>41835</v>
      </c>
      <c r="C219">
        <v>104.01336000000001</v>
      </c>
      <c r="D219" s="109">
        <f t="shared" si="16"/>
        <v>-2.8411351776737304E-4</v>
      </c>
      <c r="E219">
        <v>1973.2800299999999</v>
      </c>
      <c r="F219" s="111">
        <f t="shared" si="17"/>
        <v>-1.93209753610946E-3</v>
      </c>
      <c r="M219" s="107">
        <v>40658</v>
      </c>
      <c r="N219" s="115">
        <v>47.974899999999998</v>
      </c>
      <c r="O219" s="109">
        <f t="shared" si="18"/>
        <v>6.9401883627484579E-3</v>
      </c>
      <c r="P219">
        <v>1363.6099899999999</v>
      </c>
      <c r="Q219" s="111">
        <f t="shared" si="19"/>
        <v>1.9612967144715648E-2</v>
      </c>
    </row>
    <row r="220" spans="2:17">
      <c r="B220" s="107">
        <v>41834</v>
      </c>
      <c r="C220">
        <v>104.04292</v>
      </c>
      <c r="D220" s="109">
        <f t="shared" si="16"/>
        <v>5.9063920347288022E-3</v>
      </c>
      <c r="E220">
        <v>1977.09998</v>
      </c>
      <c r="F220" s="111">
        <f t="shared" si="17"/>
        <v>4.8435533384721067E-3</v>
      </c>
      <c r="M220" s="107">
        <v>40651</v>
      </c>
      <c r="N220" s="115">
        <v>47.644240000000003</v>
      </c>
      <c r="O220" s="109">
        <f t="shared" si="18"/>
        <v>4.7242386242868722E-2</v>
      </c>
      <c r="P220">
        <v>1337.38</v>
      </c>
      <c r="Q220" s="111">
        <f t="shared" si="19"/>
        <v>1.3412303989895256E-2</v>
      </c>
    </row>
    <row r="221" spans="2:17">
      <c r="B221" s="107">
        <v>41831</v>
      </c>
      <c r="C221">
        <v>103.43201000000001</v>
      </c>
      <c r="D221" s="109">
        <f t="shared" si="16"/>
        <v>1.1564056149271675E-2</v>
      </c>
      <c r="E221">
        <v>1967.5699500000001</v>
      </c>
      <c r="F221" s="111">
        <f t="shared" si="17"/>
        <v>1.4709265256702359E-3</v>
      </c>
      <c r="M221" s="107">
        <v>40644</v>
      </c>
      <c r="N221" s="115">
        <v>45.494950000000003</v>
      </c>
      <c r="O221" s="109">
        <f t="shared" si="18"/>
        <v>2.1391564116881659E-4</v>
      </c>
      <c r="P221">
        <v>1319.6800499999999</v>
      </c>
      <c r="Q221" s="111">
        <f t="shared" si="19"/>
        <v>-6.3922462819595259E-3</v>
      </c>
    </row>
    <row r="222" spans="2:17">
      <c r="B222" s="107">
        <v>41830</v>
      </c>
      <c r="C222">
        <v>102.24959</v>
      </c>
      <c r="D222" s="109">
        <f t="shared" si="16"/>
        <v>-4.6043439727359173E-3</v>
      </c>
      <c r="E222">
        <v>1964.6800499999999</v>
      </c>
      <c r="F222" s="111">
        <f t="shared" si="17"/>
        <v>-4.1310757466396604E-3</v>
      </c>
      <c r="M222" s="107">
        <v>40637</v>
      </c>
      <c r="N222" s="115">
        <v>45.485219999999998</v>
      </c>
      <c r="O222" s="109">
        <f t="shared" si="18"/>
        <v>2.7686278957691372E-2</v>
      </c>
      <c r="P222">
        <v>1328.17004</v>
      </c>
      <c r="Q222" s="111">
        <f t="shared" si="19"/>
        <v>-3.1821960991993089E-3</v>
      </c>
    </row>
    <row r="223" spans="2:17">
      <c r="B223" s="107">
        <v>41829</v>
      </c>
      <c r="C223">
        <v>102.72256</v>
      </c>
      <c r="D223" s="109">
        <f t="shared" si="16"/>
        <v>0</v>
      </c>
      <c r="E223">
        <v>1972.82996</v>
      </c>
      <c r="F223" s="111">
        <f t="shared" si="17"/>
        <v>4.6442703789108036E-3</v>
      </c>
      <c r="M223" s="107">
        <v>40630</v>
      </c>
      <c r="N223" s="115">
        <v>44.259830000000001</v>
      </c>
      <c r="O223" s="109">
        <f t="shared" si="18"/>
        <v>1.1108529644714869E-2</v>
      </c>
      <c r="P223">
        <v>1332.41003</v>
      </c>
      <c r="Q223" s="111">
        <f t="shared" si="19"/>
        <v>1.4165001744367378E-2</v>
      </c>
    </row>
    <row r="224" spans="2:17">
      <c r="B224" s="107">
        <v>41828</v>
      </c>
      <c r="C224">
        <v>102.72256</v>
      </c>
      <c r="D224" s="109">
        <f t="shared" si="16"/>
        <v>-2.0206777764360619E-2</v>
      </c>
      <c r="E224">
        <v>1963.7099599999999</v>
      </c>
      <c r="F224" s="111">
        <f t="shared" si="17"/>
        <v>-7.0488002725578973E-3</v>
      </c>
      <c r="M224" s="107">
        <v>40623</v>
      </c>
      <c r="N224" s="115">
        <v>43.773569999999999</v>
      </c>
      <c r="O224" s="109">
        <f t="shared" si="18"/>
        <v>3.9251885137488472E-2</v>
      </c>
      <c r="P224">
        <v>1313.8000500000001</v>
      </c>
      <c r="Q224" s="111">
        <f t="shared" si="19"/>
        <v>2.7040197529418976E-2</v>
      </c>
    </row>
    <row r="225" spans="2:17">
      <c r="B225" s="107">
        <v>41827</v>
      </c>
      <c r="C225">
        <v>104.84106</v>
      </c>
      <c r="D225" s="109">
        <f t="shared" si="16"/>
        <v>-3.3720931227381205E-3</v>
      </c>
      <c r="E225">
        <v>1977.65002</v>
      </c>
      <c r="F225" s="111">
        <f t="shared" si="17"/>
        <v>-3.9235233678234244E-3</v>
      </c>
      <c r="M225" s="107">
        <v>40616</v>
      </c>
      <c r="N225" s="115">
        <v>42.120269999999998</v>
      </c>
      <c r="O225" s="109">
        <f t="shared" si="18"/>
        <v>-3.9050308542267799E-2</v>
      </c>
      <c r="P225">
        <v>1279.2099599999999</v>
      </c>
      <c r="Q225" s="111">
        <f t="shared" si="19"/>
        <v>-1.9221386069983751E-2</v>
      </c>
    </row>
    <row r="226" spans="2:17">
      <c r="B226" s="107">
        <v>41823</v>
      </c>
      <c r="C226">
        <v>105.19579</v>
      </c>
      <c r="D226" s="109">
        <f t="shared" si="16"/>
        <v>7.1699584027904682E-3</v>
      </c>
      <c r="E226">
        <v>1985.43994</v>
      </c>
      <c r="F226" s="111">
        <f t="shared" si="17"/>
        <v>5.4795049174018737E-3</v>
      </c>
      <c r="M226" s="107">
        <v>40609</v>
      </c>
      <c r="N226" s="115">
        <v>43.831919999999997</v>
      </c>
      <c r="O226" s="109">
        <f t="shared" si="18"/>
        <v>-5.4938179105410941E-2</v>
      </c>
      <c r="P226">
        <v>1304.2800299999999</v>
      </c>
      <c r="Q226" s="111">
        <f t="shared" si="19"/>
        <v>-1.2769170604864497E-2</v>
      </c>
    </row>
    <row r="227" spans="2:17">
      <c r="B227" s="107">
        <v>41822</v>
      </c>
      <c r="C227">
        <v>104.44691</v>
      </c>
      <c r="D227" s="109">
        <f t="shared" si="16"/>
        <v>5.8834123040179135E-3</v>
      </c>
      <c r="E227">
        <v>1974.62</v>
      </c>
      <c r="F227" s="111">
        <f t="shared" si="17"/>
        <v>6.5881358975762052E-4</v>
      </c>
      <c r="M227" s="107">
        <v>40602</v>
      </c>
      <c r="N227" s="115">
        <v>46.379950000000001</v>
      </c>
      <c r="O227" s="109">
        <f t="shared" si="18"/>
        <v>-4.9621374730925517E-2</v>
      </c>
      <c r="P227">
        <v>1321.15002</v>
      </c>
      <c r="Q227" s="111">
        <f t="shared" si="19"/>
        <v>9.6222383853072338E-4</v>
      </c>
    </row>
    <row r="228" spans="2:17">
      <c r="B228" s="107">
        <v>41821</v>
      </c>
      <c r="C228">
        <v>103.836</v>
      </c>
      <c r="D228" s="109">
        <f t="shared" si="16"/>
        <v>9.096896373010175E-3</v>
      </c>
      <c r="E228">
        <v>1973.3199500000001</v>
      </c>
      <c r="F228" s="111">
        <f t="shared" si="17"/>
        <v>6.6777725744200656E-3</v>
      </c>
      <c r="M228" s="107">
        <v>40596</v>
      </c>
      <c r="N228" s="115">
        <v>48.801549999999999</v>
      </c>
      <c r="O228" s="109">
        <f t="shared" si="18"/>
        <v>-2.3355471907452262E-2</v>
      </c>
      <c r="P228">
        <v>1319.88</v>
      </c>
      <c r="Q228" s="111">
        <f t="shared" si="19"/>
        <v>-1.7222514968447521E-2</v>
      </c>
    </row>
    <row r="229" spans="2:17">
      <c r="B229" s="107">
        <v>41820</v>
      </c>
      <c r="C229">
        <v>102.89993</v>
      </c>
      <c r="D229" s="109">
        <f t="shared" si="16"/>
        <v>1.6449402517003071E-2</v>
      </c>
      <c r="E229">
        <v>1960.2299800000001</v>
      </c>
      <c r="F229" s="111">
        <f t="shared" si="17"/>
        <v>-3.7225645341572468E-4</v>
      </c>
      <c r="M229" s="107">
        <v>40588</v>
      </c>
      <c r="N229" s="115">
        <v>49.968589999999999</v>
      </c>
      <c r="O229" s="109">
        <f t="shared" si="18"/>
        <v>7.2535590999571325E-3</v>
      </c>
      <c r="P229">
        <v>1343.01001</v>
      </c>
      <c r="Q229" s="111">
        <f t="shared" si="19"/>
        <v>1.0427709281454868E-2</v>
      </c>
    </row>
    <row r="230" spans="2:17">
      <c r="B230" s="107">
        <v>41817</v>
      </c>
      <c r="C230">
        <v>101.23468</v>
      </c>
      <c r="D230" s="109">
        <f t="shared" si="16"/>
        <v>9.7423127140984381E-4</v>
      </c>
      <c r="E230">
        <v>1960.9599599999999</v>
      </c>
      <c r="F230" s="111">
        <f t="shared" si="17"/>
        <v>1.910868506006408E-3</v>
      </c>
      <c r="M230" s="107">
        <v>40581</v>
      </c>
      <c r="N230" s="115">
        <v>49.608750000000001</v>
      </c>
      <c r="O230" s="109">
        <f t="shared" si="18"/>
        <v>6.2044576168026874E-2</v>
      </c>
      <c r="P230">
        <v>1329.15002</v>
      </c>
      <c r="Q230" s="111">
        <f t="shared" si="19"/>
        <v>1.3944952588738891E-2</v>
      </c>
    </row>
    <row r="231" spans="2:17">
      <c r="B231" s="107">
        <v>41816</v>
      </c>
      <c r="C231">
        <v>101.13615</v>
      </c>
      <c r="D231" s="109">
        <f t="shared" si="16"/>
        <v>-3.5918953489300388E-3</v>
      </c>
      <c r="E231">
        <v>1957.2199700000001</v>
      </c>
      <c r="F231" s="111">
        <f t="shared" si="17"/>
        <v>-1.1788847145148341E-3</v>
      </c>
      <c r="M231" s="107">
        <v>40574</v>
      </c>
      <c r="N231" s="115">
        <v>46.710610000000003</v>
      </c>
      <c r="O231" s="109">
        <f t="shared" si="18"/>
        <v>2.6282011846800148E-2</v>
      </c>
      <c r="P231">
        <v>1310.87</v>
      </c>
      <c r="Q231" s="111">
        <f t="shared" si="19"/>
        <v>2.7053943942537424E-2</v>
      </c>
    </row>
    <row r="232" spans="2:17">
      <c r="B232" s="107">
        <v>41815</v>
      </c>
      <c r="C232">
        <v>101.50073</v>
      </c>
      <c r="D232" s="109">
        <f t="shared" si="16"/>
        <v>8.6165041066793673E-3</v>
      </c>
      <c r="E232">
        <v>1959.5300299999999</v>
      </c>
      <c r="F232" s="111">
        <f t="shared" si="17"/>
        <v>4.8975118195827977E-3</v>
      </c>
      <c r="M232" s="107">
        <v>40567</v>
      </c>
      <c r="N232" s="115">
        <v>45.514400000000002</v>
      </c>
      <c r="O232" s="109">
        <f t="shared" si="18"/>
        <v>-6.3438066132041879E-2</v>
      </c>
      <c r="P232">
        <v>1276.33997</v>
      </c>
      <c r="Q232" s="111">
        <f t="shared" si="19"/>
        <v>-5.4622746010406032E-3</v>
      </c>
    </row>
    <row r="233" spans="2:17">
      <c r="B233" s="107">
        <v>41814</v>
      </c>
      <c r="C233">
        <v>100.63361999999999</v>
      </c>
      <c r="D233" s="109">
        <f t="shared" si="16"/>
        <v>0</v>
      </c>
      <c r="E233">
        <v>1949.9799800000001</v>
      </c>
      <c r="F233" s="111">
        <f t="shared" si="17"/>
        <v>-6.435313212687691E-3</v>
      </c>
      <c r="M233" s="107">
        <v>40561</v>
      </c>
      <c r="N233" s="115">
        <v>48.597320000000003</v>
      </c>
      <c r="O233" s="109">
        <f t="shared" si="18"/>
        <v>-5.306038144675404E-2</v>
      </c>
      <c r="P233">
        <v>1283.34998</v>
      </c>
      <c r="Q233" s="111">
        <f t="shared" si="19"/>
        <v>-7.6474668866372397E-3</v>
      </c>
    </row>
    <row r="234" spans="2:17">
      <c r="B234" s="107">
        <v>41813</v>
      </c>
      <c r="C234">
        <v>100.63361999999999</v>
      </c>
      <c r="D234" s="109">
        <f t="shared" si="16"/>
        <v>1.4708542956607159E-3</v>
      </c>
      <c r="E234">
        <v>1962.6099899999999</v>
      </c>
      <c r="F234" s="111">
        <f t="shared" si="17"/>
        <v>-1.3246419783274779E-4</v>
      </c>
      <c r="M234" s="107">
        <v>40553</v>
      </c>
      <c r="N234" s="115">
        <v>51.320399999999999</v>
      </c>
      <c r="O234" s="109">
        <f t="shared" si="18"/>
        <v>7.6379223107792453E-3</v>
      </c>
      <c r="P234">
        <v>1293.23999</v>
      </c>
      <c r="Q234" s="111">
        <f t="shared" si="19"/>
        <v>1.7097907982697627E-2</v>
      </c>
    </row>
    <row r="235" spans="2:17">
      <c r="B235" s="107">
        <v>41810</v>
      </c>
      <c r="C235">
        <v>100.48582</v>
      </c>
      <c r="D235" s="109">
        <f t="shared" si="16"/>
        <v>-2.1525762147725971E-3</v>
      </c>
      <c r="E235">
        <v>1962.87</v>
      </c>
      <c r="F235" s="111">
        <f t="shared" si="17"/>
        <v>1.7300610542598256E-3</v>
      </c>
      <c r="M235" s="107">
        <v>40546</v>
      </c>
      <c r="N235" s="115">
        <v>50.93139</v>
      </c>
      <c r="O235" s="109">
        <f t="shared" si="18"/>
        <v>5.0340954507640014E-2</v>
      </c>
      <c r="P235">
        <v>1271.5</v>
      </c>
      <c r="Q235" s="111">
        <f t="shared" si="19"/>
        <v>1.1020633798061119E-2</v>
      </c>
    </row>
    <row r="236" spans="2:17">
      <c r="B236" s="107">
        <v>41809</v>
      </c>
      <c r="C236">
        <v>100.70259</v>
      </c>
      <c r="D236" s="109">
        <f t="shared" si="16"/>
        <v>-1.0751805011715984E-3</v>
      </c>
      <c r="E236">
        <v>1959.4799800000001</v>
      </c>
      <c r="F236" s="111">
        <f t="shared" si="17"/>
        <v>1.2774785769653096E-3</v>
      </c>
      <c r="M236" s="107">
        <v>40539</v>
      </c>
      <c r="N236" s="115">
        <v>48.490340000000003</v>
      </c>
      <c r="O236" s="109">
        <f t="shared" si="18"/>
        <v>-1.091050465240035E-2</v>
      </c>
      <c r="P236">
        <v>1257.6400100000001</v>
      </c>
      <c r="Q236" s="111">
        <f t="shared" si="19"/>
        <v>6.9224280190909038E-4</v>
      </c>
    </row>
    <row r="237" spans="2:17">
      <c r="B237" s="107">
        <v>41808</v>
      </c>
      <c r="C237">
        <v>100.81098</v>
      </c>
      <c r="D237" s="109">
        <f t="shared" si="16"/>
        <v>-9.008196025140176E-3</v>
      </c>
      <c r="E237">
        <v>1956.9799800000001</v>
      </c>
      <c r="F237" s="111">
        <f t="shared" si="17"/>
        <v>7.7188811874360046E-3</v>
      </c>
      <c r="M237" s="107">
        <v>40532</v>
      </c>
      <c r="N237" s="115">
        <v>49.025230000000001</v>
      </c>
      <c r="O237" s="109">
        <f t="shared" si="18"/>
        <v>3.1512262471876863E-2</v>
      </c>
      <c r="P237">
        <v>1256.7700199999999</v>
      </c>
      <c r="Q237" s="111">
        <f t="shared" si="19"/>
        <v>1.0338360242983107E-2</v>
      </c>
    </row>
    <row r="238" spans="2:17">
      <c r="B238" s="107">
        <v>41807</v>
      </c>
      <c r="C238">
        <v>101.72736</v>
      </c>
      <c r="D238" s="109">
        <f t="shared" si="16"/>
        <v>1.2156944215601295E-2</v>
      </c>
      <c r="E238">
        <v>1941.98999</v>
      </c>
      <c r="F238" s="111">
        <f t="shared" si="17"/>
        <v>2.1725685758048285E-3</v>
      </c>
      <c r="M238" s="107">
        <v>40525</v>
      </c>
      <c r="N238" s="115">
        <v>47.527529999999999</v>
      </c>
      <c r="O238" s="109">
        <f t="shared" si="18"/>
        <v>-1.4717808641744951E-2</v>
      </c>
      <c r="P238">
        <v>1243.91003</v>
      </c>
      <c r="Q238" s="111">
        <f t="shared" si="19"/>
        <v>2.8297403606942586E-3</v>
      </c>
    </row>
    <row r="239" spans="2:17">
      <c r="B239" s="107">
        <v>41806</v>
      </c>
      <c r="C239">
        <v>100.50552</v>
      </c>
      <c r="D239" s="109">
        <f t="shared" si="16"/>
        <v>3.5848489558190026E-2</v>
      </c>
      <c r="E239">
        <v>1937.7800299999999</v>
      </c>
      <c r="F239" s="111">
        <f t="shared" si="17"/>
        <v>8.3670769714210599E-4</v>
      </c>
      <c r="M239" s="107">
        <v>40518</v>
      </c>
      <c r="N239" s="115">
        <v>48.237479999999998</v>
      </c>
      <c r="O239" s="109">
        <f t="shared" si="18"/>
        <v>2.6702469748580929E-2</v>
      </c>
      <c r="P239">
        <v>1240.40002</v>
      </c>
      <c r="Q239" s="111">
        <f t="shared" si="19"/>
        <v>1.2811245529513071E-2</v>
      </c>
    </row>
    <row r="240" spans="2:17">
      <c r="B240" s="107">
        <v>41803</v>
      </c>
      <c r="C240">
        <v>97.027240000000006</v>
      </c>
      <c r="D240" s="109">
        <f t="shared" si="16"/>
        <v>-1.5210694514692061E-3</v>
      </c>
      <c r="E240">
        <v>1936.16003</v>
      </c>
      <c r="F240" s="111">
        <f t="shared" si="17"/>
        <v>3.1345571140223368E-3</v>
      </c>
      <c r="M240" s="107">
        <v>40511</v>
      </c>
      <c r="N240" s="115">
        <v>46.98292</v>
      </c>
      <c r="O240" s="109">
        <f t="shared" si="18"/>
        <v>7.4749709597709851E-2</v>
      </c>
      <c r="P240">
        <v>1224.7099599999999</v>
      </c>
      <c r="Q240" s="111">
        <f t="shared" si="19"/>
        <v>2.9687186317686347E-2</v>
      </c>
    </row>
    <row r="241" spans="2:17">
      <c r="B241" s="107">
        <v>41802</v>
      </c>
      <c r="C241">
        <v>97.175049999999999</v>
      </c>
      <c r="D241" s="109">
        <f t="shared" si="16"/>
        <v>-1.0435458072678558E-2</v>
      </c>
      <c r="E241">
        <v>1930.1099899999999</v>
      </c>
      <c r="F241" s="111">
        <f t="shared" si="17"/>
        <v>-7.088888738103114E-3</v>
      </c>
      <c r="M241" s="107">
        <v>40504</v>
      </c>
      <c r="N241" s="115">
        <v>43.715220000000002</v>
      </c>
      <c r="O241" s="109">
        <f t="shared" si="18"/>
        <v>0.12431233787376804</v>
      </c>
      <c r="P241">
        <v>1189.40002</v>
      </c>
      <c r="Q241" s="111">
        <f t="shared" si="19"/>
        <v>-8.61023744692954E-3</v>
      </c>
    </row>
    <row r="242" spans="2:17">
      <c r="B242" s="107">
        <v>41801</v>
      </c>
      <c r="C242">
        <v>98.199809999999999</v>
      </c>
      <c r="D242" s="109">
        <f t="shared" si="16"/>
        <v>2.5941964377596279E-2</v>
      </c>
      <c r="E242">
        <v>1943.8900100000001</v>
      </c>
      <c r="F242" s="111">
        <f t="shared" si="17"/>
        <v>-3.5370438942778355E-3</v>
      </c>
      <c r="M242" s="107">
        <v>40497</v>
      </c>
      <c r="N242" s="115">
        <v>38.881740000000001</v>
      </c>
      <c r="O242" s="109">
        <f t="shared" si="18"/>
        <v>1.0361195758855673E-2</v>
      </c>
      <c r="P242">
        <v>1199.7299800000001</v>
      </c>
      <c r="Q242" s="111">
        <f t="shared" si="19"/>
        <v>4.3363549115299103E-4</v>
      </c>
    </row>
    <row r="243" spans="2:17">
      <c r="B243" s="107">
        <v>41800</v>
      </c>
      <c r="C243">
        <v>95.716729999999998</v>
      </c>
      <c r="D243" s="109">
        <f t="shared" si="16"/>
        <v>-1.049201688299713E-2</v>
      </c>
      <c r="E243">
        <v>1950.7900400000001</v>
      </c>
      <c r="F243" s="111">
        <f t="shared" si="17"/>
        <v>-2.4598338265856273E-4</v>
      </c>
      <c r="M243" s="107">
        <v>40490</v>
      </c>
      <c r="N243" s="115">
        <v>38.48301</v>
      </c>
      <c r="O243" s="109">
        <f t="shared" si="18"/>
        <v>-4.2120501672548813E-2</v>
      </c>
      <c r="P243">
        <v>1199.2099599999999</v>
      </c>
      <c r="Q243" s="111">
        <f t="shared" si="19"/>
        <v>-2.1731876195813168E-2</v>
      </c>
    </row>
    <row r="244" spans="2:17">
      <c r="B244" s="107">
        <v>41799</v>
      </c>
      <c r="C244">
        <v>96.731639999999999</v>
      </c>
      <c r="D244" s="109">
        <f t="shared" si="16"/>
        <v>-1.8398251595291477E-2</v>
      </c>
      <c r="E244">
        <v>1951.2700199999999</v>
      </c>
      <c r="F244" s="111">
        <f t="shared" si="17"/>
        <v>9.3877218910368306E-4</v>
      </c>
      <c r="M244" s="107">
        <v>40483</v>
      </c>
      <c r="N244" s="115">
        <v>40.17521</v>
      </c>
      <c r="O244" s="109">
        <f t="shared" si="18"/>
        <v>9.7794312539792289E-2</v>
      </c>
      <c r="P244">
        <v>1225.84998</v>
      </c>
      <c r="Q244" s="111">
        <f t="shared" si="19"/>
        <v>3.5993754238343605E-2</v>
      </c>
    </row>
    <row r="245" spans="2:17">
      <c r="B245" s="107">
        <v>41796</v>
      </c>
      <c r="C245">
        <v>98.544690000000003</v>
      </c>
      <c r="D245" s="109">
        <f t="shared" si="16"/>
        <v>1.3017115612024581E-3</v>
      </c>
      <c r="E245">
        <v>1949.43994</v>
      </c>
      <c r="F245" s="111">
        <f t="shared" si="17"/>
        <v>4.6277584619679908E-3</v>
      </c>
      <c r="M245" s="107">
        <v>40476</v>
      </c>
      <c r="N245" s="115">
        <v>36.596299999999999</v>
      </c>
      <c r="O245" s="109">
        <f t="shared" si="18"/>
        <v>1.7301998005219293E-2</v>
      </c>
      <c r="P245">
        <v>1183.26001</v>
      </c>
      <c r="Q245" s="111">
        <f t="shared" si="19"/>
        <v>1.5218751571105762E-4</v>
      </c>
    </row>
    <row r="246" spans="2:17">
      <c r="B246" s="107">
        <v>41795</v>
      </c>
      <c r="C246">
        <v>98.416579999999996</v>
      </c>
      <c r="D246" s="109">
        <f t="shared" si="16"/>
        <v>2.1163471624064324E-2</v>
      </c>
      <c r="E246">
        <v>1940.4599599999999</v>
      </c>
      <c r="F246" s="111">
        <f t="shared" si="17"/>
        <v>6.525281656534535E-3</v>
      </c>
      <c r="M246" s="107">
        <v>40469</v>
      </c>
      <c r="N246" s="115">
        <v>35.973880000000001</v>
      </c>
      <c r="O246" s="109">
        <f t="shared" si="18"/>
        <v>-5.6618300732438342E-2</v>
      </c>
      <c r="P246">
        <v>1183.07996</v>
      </c>
      <c r="Q246" s="111">
        <f t="shared" si="19"/>
        <v>5.8579144113407823E-3</v>
      </c>
    </row>
    <row r="247" spans="2:17">
      <c r="B247" s="107">
        <v>41794</v>
      </c>
      <c r="C247">
        <v>96.376909999999995</v>
      </c>
      <c r="D247" s="109">
        <f t="shared" si="16"/>
        <v>3.1794041643584195E-3</v>
      </c>
      <c r="E247">
        <v>1927.88</v>
      </c>
      <c r="F247" s="111">
        <f t="shared" si="17"/>
        <v>1.8916611331833274E-3</v>
      </c>
      <c r="M247" s="107">
        <v>40462</v>
      </c>
      <c r="N247" s="115">
        <v>38.132899999999999</v>
      </c>
      <c r="O247" s="109">
        <f t="shared" si="18"/>
        <v>-7.8440188185681155E-3</v>
      </c>
      <c r="P247">
        <v>1176.18994</v>
      </c>
      <c r="Q247" s="111">
        <f t="shared" si="19"/>
        <v>9.4751060468590449E-3</v>
      </c>
    </row>
    <row r="248" spans="2:17">
      <c r="B248" s="107">
        <v>41793</v>
      </c>
      <c r="C248">
        <v>96.071460000000002</v>
      </c>
      <c r="D248" s="109">
        <f t="shared" si="16"/>
        <v>3.6026562734554758E-3</v>
      </c>
      <c r="E248">
        <v>1924.23999</v>
      </c>
      <c r="F248" s="111">
        <f t="shared" si="17"/>
        <v>-3.7921630538478927E-4</v>
      </c>
      <c r="M248" s="107">
        <v>40455</v>
      </c>
      <c r="N248" s="115">
        <v>38.434379999999997</v>
      </c>
      <c r="O248" s="109">
        <f t="shared" si="18"/>
        <v>6.724279547427324E-2</v>
      </c>
      <c r="P248">
        <v>1165.15002</v>
      </c>
      <c r="Q248" s="111">
        <f t="shared" si="19"/>
        <v>1.6497443960230358E-2</v>
      </c>
    </row>
    <row r="249" spans="2:17">
      <c r="B249" s="107">
        <v>41792</v>
      </c>
      <c r="C249">
        <v>95.726590000000002</v>
      </c>
      <c r="D249" s="109">
        <f t="shared" si="16"/>
        <v>5.3814452046017959E-3</v>
      </c>
      <c r="E249">
        <v>1924.9699700000001</v>
      </c>
      <c r="F249" s="111">
        <f t="shared" si="17"/>
        <v>7.2782380489986361E-4</v>
      </c>
      <c r="M249" s="107">
        <v>40448</v>
      </c>
      <c r="N249" s="115">
        <v>36.012779999999999</v>
      </c>
      <c r="O249" s="109">
        <f t="shared" si="18"/>
        <v>3.2914768881291308E-2</v>
      </c>
      <c r="P249">
        <v>1146.23999</v>
      </c>
      <c r="Q249" s="111">
        <f t="shared" si="19"/>
        <v>-2.1155335434707928E-3</v>
      </c>
    </row>
    <row r="250" spans="2:17">
      <c r="B250" s="107">
        <v>41789</v>
      </c>
      <c r="C250">
        <v>95.214200000000005</v>
      </c>
      <c r="D250" s="109">
        <f t="shared" si="16"/>
        <v>2.0694472894967957E-4</v>
      </c>
      <c r="E250">
        <v>1923.5699500000001</v>
      </c>
      <c r="F250" s="111">
        <f t="shared" si="17"/>
        <v>1.8436794970337863E-3</v>
      </c>
      <c r="M250" s="107">
        <v>40441</v>
      </c>
      <c r="N250" s="115">
        <v>34.865200000000002</v>
      </c>
      <c r="O250" s="109">
        <f t="shared" si="18"/>
        <v>-5.9548715447750908E-2</v>
      </c>
      <c r="P250">
        <v>1148.67004</v>
      </c>
      <c r="Q250" s="111">
        <f t="shared" si="19"/>
        <v>2.0504864662217962E-2</v>
      </c>
    </row>
    <row r="251" spans="2:17">
      <c r="B251" s="107">
        <v>41788</v>
      </c>
      <c r="C251">
        <v>95.194500000000005</v>
      </c>
      <c r="D251" s="109">
        <f t="shared" si="16"/>
        <v>6.0398640964527068E-3</v>
      </c>
      <c r="E251">
        <v>1920.0300299999999</v>
      </c>
      <c r="F251" s="111">
        <f t="shared" si="17"/>
        <v>5.3671102634788789E-3</v>
      </c>
      <c r="M251" s="107">
        <v>40434</v>
      </c>
      <c r="N251" s="115">
        <v>37.072839999999999</v>
      </c>
      <c r="O251" s="109">
        <f t="shared" si="18"/>
        <v>3.1943827809131492E-2</v>
      </c>
      <c r="P251">
        <v>1125.58997</v>
      </c>
      <c r="Q251" s="111">
        <f t="shared" si="19"/>
        <v>1.4456238364371158E-2</v>
      </c>
    </row>
    <row r="252" spans="2:17">
      <c r="B252" s="107">
        <v>41787</v>
      </c>
      <c r="C252">
        <v>94.622990000000001</v>
      </c>
      <c r="D252" s="109">
        <f t="shared" si="16"/>
        <v>5.5496895030391633E-3</v>
      </c>
      <c r="E252">
        <v>1909.7800299999999</v>
      </c>
      <c r="F252" s="111">
        <f t="shared" si="17"/>
        <v>-1.1140691594154716E-3</v>
      </c>
      <c r="M252" s="107">
        <v>40428</v>
      </c>
      <c r="N252" s="115">
        <v>35.925249999999998</v>
      </c>
      <c r="O252" s="109">
        <f t="shared" si="18"/>
        <v>-2.707668127268939E-4</v>
      </c>
      <c r="P252">
        <v>1109.5500500000001</v>
      </c>
      <c r="Q252" s="111">
        <f t="shared" si="19"/>
        <v>4.5631456069828557E-3</v>
      </c>
    </row>
    <row r="253" spans="2:17">
      <c r="B253" s="107">
        <v>41786</v>
      </c>
      <c r="C253">
        <v>94.100759999999994</v>
      </c>
      <c r="D253" s="109">
        <f t="shared" si="16"/>
        <v>1.3047646874035777E-2</v>
      </c>
      <c r="E253">
        <v>1911.91003</v>
      </c>
      <c r="F253" s="111">
        <f t="shared" si="17"/>
        <v>5.9878033076910184E-3</v>
      </c>
      <c r="M253" s="107">
        <v>40420</v>
      </c>
      <c r="N253" s="115">
        <v>35.934980000000003</v>
      </c>
      <c r="O253" s="109">
        <f t="shared" si="18"/>
        <v>8.072527578283846E-2</v>
      </c>
      <c r="P253">
        <v>1104.51001</v>
      </c>
      <c r="Q253" s="111">
        <f t="shared" si="19"/>
        <v>3.7498042556234089E-2</v>
      </c>
    </row>
    <row r="254" spans="2:17">
      <c r="B254" s="107">
        <v>41782</v>
      </c>
      <c r="C254">
        <v>92.888779999999997</v>
      </c>
      <c r="D254" s="109">
        <f t="shared" si="16"/>
        <v>1.1480657696468078E-2</v>
      </c>
      <c r="E254">
        <v>1900.5300299999999</v>
      </c>
      <c r="F254" s="111">
        <f t="shared" si="17"/>
        <v>4.2483923521306772E-3</v>
      </c>
      <c r="M254" s="107">
        <v>40413</v>
      </c>
      <c r="N254" s="115">
        <v>33.250799999999998</v>
      </c>
      <c r="O254" s="109">
        <f t="shared" si="18"/>
        <v>-0.17614449359377951</v>
      </c>
      <c r="P254">
        <v>1064.58997</v>
      </c>
      <c r="Q254" s="111">
        <f t="shared" si="19"/>
        <v>-6.6250225321700653E-3</v>
      </c>
    </row>
    <row r="255" spans="2:17">
      <c r="B255" s="107">
        <v>41781</v>
      </c>
      <c r="C255">
        <v>91.834460000000007</v>
      </c>
      <c r="D255" s="109">
        <f t="shared" si="16"/>
        <v>5.1767976664131004E-3</v>
      </c>
      <c r="E255">
        <v>1892.48999</v>
      </c>
      <c r="F255" s="111">
        <f t="shared" si="17"/>
        <v>2.3622293761927809E-3</v>
      </c>
      <c r="M255" s="107">
        <v>40406</v>
      </c>
      <c r="N255" s="115">
        <v>40.359990000000003</v>
      </c>
      <c r="O255" s="109">
        <f t="shared" si="18"/>
        <v>-9.628977429824967E-4</v>
      </c>
      <c r="P255">
        <v>1071.68994</v>
      </c>
      <c r="Q255" s="111">
        <f t="shared" si="19"/>
        <v>-7.0049200833912639E-3</v>
      </c>
    </row>
    <row r="256" spans="2:17">
      <c r="B256" s="107">
        <v>41780</v>
      </c>
      <c r="C256">
        <v>91.361500000000007</v>
      </c>
      <c r="D256" s="109">
        <f t="shared" si="16"/>
        <v>1.4775199772256907E-2</v>
      </c>
      <c r="E256">
        <v>1888.0300299999999</v>
      </c>
      <c r="F256" s="111">
        <f t="shared" si="17"/>
        <v>8.1160972029729102E-3</v>
      </c>
      <c r="M256" s="107">
        <v>40399</v>
      </c>
      <c r="N256" s="115">
        <v>40.398890000000002</v>
      </c>
      <c r="O256" s="109">
        <f t="shared" si="18"/>
        <v>-7.9751936218678751E-2</v>
      </c>
      <c r="P256">
        <v>1079.25</v>
      </c>
      <c r="Q256" s="111">
        <f t="shared" si="19"/>
        <v>-3.7792883297734781E-2</v>
      </c>
    </row>
    <row r="257" spans="2:17">
      <c r="B257" s="107">
        <v>41779</v>
      </c>
      <c r="C257">
        <v>90.031270000000006</v>
      </c>
      <c r="D257" s="109">
        <f t="shared" si="16"/>
        <v>-2.6197617643067455E-3</v>
      </c>
      <c r="E257">
        <v>1872.82996</v>
      </c>
      <c r="F257" s="111">
        <f t="shared" si="17"/>
        <v>-6.4983980838669566E-3</v>
      </c>
      <c r="M257" s="107">
        <v>40392</v>
      </c>
      <c r="N257" s="115">
        <v>43.9</v>
      </c>
      <c r="O257" s="109">
        <f t="shared" si="18"/>
        <v>3.2951870560542183E-2</v>
      </c>
      <c r="P257">
        <v>1121.6400100000001</v>
      </c>
      <c r="Q257" s="111">
        <f t="shared" si="19"/>
        <v>1.8191748696291841E-2</v>
      </c>
    </row>
    <row r="258" spans="2:17">
      <c r="B258" s="107">
        <v>41778</v>
      </c>
      <c r="C258">
        <v>90.267750000000007</v>
      </c>
      <c r="D258" s="109">
        <f t="shared" si="16"/>
        <v>6.8138694158750637E-3</v>
      </c>
      <c r="E258">
        <v>1885.07996</v>
      </c>
      <c r="F258" s="111">
        <f t="shared" si="17"/>
        <v>3.8447861067640635E-3</v>
      </c>
      <c r="M258" s="107">
        <v>40385</v>
      </c>
      <c r="N258" s="115">
        <v>42.499560000000002</v>
      </c>
      <c r="O258" s="109">
        <f t="shared" si="18"/>
        <v>5.4791396089190134E-2</v>
      </c>
      <c r="P258">
        <v>1101.59998</v>
      </c>
      <c r="Q258" s="111">
        <f t="shared" si="19"/>
        <v>-9.6135705580989146E-4</v>
      </c>
    </row>
    <row r="259" spans="2:17">
      <c r="B259" s="107">
        <v>41775</v>
      </c>
      <c r="C259">
        <v>89.656840000000003</v>
      </c>
      <c r="D259" s="109">
        <f t="shared" si="16"/>
        <v>3.0230979353746915E-2</v>
      </c>
      <c r="E259">
        <v>1877.8599899999999</v>
      </c>
      <c r="F259" s="111">
        <f t="shared" si="17"/>
        <v>3.7469653232163305E-3</v>
      </c>
      <c r="M259" s="107">
        <v>40378</v>
      </c>
      <c r="N259" s="115">
        <v>40.291910000000001</v>
      </c>
      <c r="O259" s="109">
        <f t="shared" si="18"/>
        <v>-1.1924759761225184E-2</v>
      </c>
      <c r="P259">
        <v>1102.66003</v>
      </c>
      <c r="Q259" s="111">
        <f t="shared" si="19"/>
        <v>3.5478204116895701E-2</v>
      </c>
    </row>
    <row r="260" spans="2:17">
      <c r="B260" s="107">
        <v>41774</v>
      </c>
      <c r="C260">
        <v>87.025959999999998</v>
      </c>
      <c r="D260" s="109">
        <f t="shared" si="16"/>
        <v>-1.7465827042474329E-2</v>
      </c>
      <c r="E260">
        <v>1870.84998</v>
      </c>
      <c r="F260" s="111">
        <f t="shared" si="17"/>
        <v>-9.3618050648630342E-3</v>
      </c>
      <c r="M260" s="107">
        <v>40371</v>
      </c>
      <c r="N260" s="115">
        <v>40.778179999999999</v>
      </c>
      <c r="O260" s="109">
        <f t="shared" si="18"/>
        <v>-2.2610628133723817E-2</v>
      </c>
      <c r="P260">
        <v>1064.8800000000001</v>
      </c>
      <c r="Q260" s="111">
        <f t="shared" si="19"/>
        <v>-1.2133994290474204E-2</v>
      </c>
    </row>
    <row r="261" spans="2:17">
      <c r="B261" s="107">
        <v>41773</v>
      </c>
      <c r="C261">
        <v>88.572959999999995</v>
      </c>
      <c r="D261" s="109">
        <f t="shared" si="16"/>
        <v>-1.317369645961021E-2</v>
      </c>
      <c r="E261">
        <v>1888.5300299999999</v>
      </c>
      <c r="F261" s="111">
        <f t="shared" si="17"/>
        <v>-4.7010041029013957E-3</v>
      </c>
      <c r="M261" s="107">
        <v>40365</v>
      </c>
      <c r="N261" s="115">
        <v>41.721530000000001</v>
      </c>
      <c r="O261" s="109">
        <f t="shared" si="18"/>
        <v>3.4482818470544026E-2</v>
      </c>
      <c r="P261">
        <v>1077.9599599999999</v>
      </c>
      <c r="Q261" s="111">
        <f t="shared" si="19"/>
        <v>5.4157072225995501E-2</v>
      </c>
    </row>
    <row r="262" spans="2:17">
      <c r="B262" s="107">
        <v>41772</v>
      </c>
      <c r="C262">
        <v>89.755369999999999</v>
      </c>
      <c r="D262" s="109">
        <f t="shared" si="16"/>
        <v>1.7595313809325042E-3</v>
      </c>
      <c r="E262">
        <v>1897.4499499999999</v>
      </c>
      <c r="F262" s="111">
        <f t="shared" si="17"/>
        <v>4.2175941347360639E-4</v>
      </c>
      <c r="M262" s="107">
        <v>40357</v>
      </c>
      <c r="N262" s="115">
        <v>40.33081</v>
      </c>
      <c r="O262" s="109">
        <f t="shared" si="18"/>
        <v>-0.10043398225840736</v>
      </c>
      <c r="P262">
        <v>1022.58002</v>
      </c>
      <c r="Q262" s="111">
        <f t="shared" si="19"/>
        <v>-5.0317609770816042E-2</v>
      </c>
    </row>
    <row r="263" spans="2:17">
      <c r="B263" s="107">
        <v>41771</v>
      </c>
      <c r="C263">
        <v>89.597719999999995</v>
      </c>
      <c r="D263" s="109">
        <f t="shared" si="16"/>
        <v>2.352546324273444E-2</v>
      </c>
      <c r="E263">
        <v>1896.65002</v>
      </c>
      <c r="F263" s="111">
        <f t="shared" si="17"/>
        <v>9.6727355060765522E-3</v>
      </c>
      <c r="M263" s="107">
        <v>40350</v>
      </c>
      <c r="N263" s="115">
        <v>44.833629999999999</v>
      </c>
      <c r="O263" s="109">
        <f t="shared" si="18"/>
        <v>-5.9567574552025021E-2</v>
      </c>
      <c r="P263">
        <v>1076.76001</v>
      </c>
      <c r="Q263" s="111">
        <f t="shared" si="19"/>
        <v>-3.6464997749774075E-2</v>
      </c>
    </row>
    <row r="264" spans="2:17">
      <c r="B264" s="107">
        <v>41768</v>
      </c>
      <c r="C264">
        <v>87.538340000000005</v>
      </c>
      <c r="D264" s="109">
        <f t="shared" si="16"/>
        <v>2.5956426692364644E-3</v>
      </c>
      <c r="E264">
        <v>1878.4799800000001</v>
      </c>
      <c r="F264" s="111">
        <f t="shared" si="17"/>
        <v>1.5194787884603889E-3</v>
      </c>
      <c r="M264" s="107">
        <v>40343</v>
      </c>
      <c r="N264" s="115">
        <v>47.67342</v>
      </c>
      <c r="O264" s="109">
        <f t="shared" si="18"/>
        <v>9.9103327897769211E-2</v>
      </c>
      <c r="P264">
        <v>1117.51001</v>
      </c>
      <c r="Q264" s="111">
        <f t="shared" si="19"/>
        <v>2.3735828577058062E-2</v>
      </c>
    </row>
    <row r="265" spans="2:17">
      <c r="B265" s="107">
        <v>41767</v>
      </c>
      <c r="C265">
        <v>87.311710000000005</v>
      </c>
      <c r="D265" s="109">
        <f t="shared" ref="D265:D328" si="20">(C265-C266)/C266</f>
        <v>1.8974304751261325E-2</v>
      </c>
      <c r="E265">
        <v>1875.63</v>
      </c>
      <c r="F265" s="111">
        <f t="shared" ref="F265:F328" si="21">(E265-E266)/E266</f>
        <v>-1.3736270464670525E-3</v>
      </c>
      <c r="M265" s="107">
        <v>40336</v>
      </c>
      <c r="N265" s="115">
        <v>43.374830000000003</v>
      </c>
      <c r="O265" s="109">
        <f t="shared" ref="O265:O267" si="22">(N265-N266)/N266</f>
        <v>-6.2388967524561146E-3</v>
      </c>
      <c r="P265">
        <v>1091.59998</v>
      </c>
      <c r="Q265" s="111">
        <f t="shared" ref="Q265:Q267" si="23">(P265-P266)/P266</f>
        <v>2.5092010367365195E-2</v>
      </c>
    </row>
    <row r="266" spans="2:17">
      <c r="B266" s="107">
        <v>41766</v>
      </c>
      <c r="C266">
        <v>85.685879999999997</v>
      </c>
      <c r="D266" s="109">
        <f t="shared" si="20"/>
        <v>8.1148381426687823E-3</v>
      </c>
      <c r="E266">
        <v>1878.2099599999999</v>
      </c>
      <c r="F266" s="111">
        <f t="shared" si="21"/>
        <v>5.616468297439582E-3</v>
      </c>
      <c r="M266" s="107">
        <v>40330</v>
      </c>
      <c r="N266" s="115">
        <v>43.64714</v>
      </c>
      <c r="O266" s="109">
        <f t="shared" si="22"/>
        <v>-3.7322995879516548E-2</v>
      </c>
      <c r="P266">
        <v>1064.8800000000001</v>
      </c>
      <c r="Q266" s="111">
        <f t="shared" si="23"/>
        <v>-2.2516802052942268E-2</v>
      </c>
    </row>
    <row r="267" spans="2:17">
      <c r="B267" s="107">
        <v>41765</v>
      </c>
      <c r="C267">
        <v>84.99615</v>
      </c>
      <c r="D267" s="109">
        <f t="shared" si="20"/>
        <v>-6.9075628582962387E-3</v>
      </c>
      <c r="E267">
        <v>1867.7199700000001</v>
      </c>
      <c r="F267" s="111">
        <f t="shared" si="21"/>
        <v>-8.9883903358421117E-3</v>
      </c>
      <c r="M267" s="107">
        <v>40322</v>
      </c>
      <c r="N267" s="115">
        <v>45.33934</v>
      </c>
      <c r="O267" s="109">
        <f t="shared" si="22"/>
        <v>0.12391504922839415</v>
      </c>
      <c r="P267">
        <v>1089.41003</v>
      </c>
      <c r="Q267" s="111">
        <f t="shared" si="23"/>
        <v>1.5814157479474597E-3</v>
      </c>
    </row>
    <row r="268" spans="2:17">
      <c r="B268" s="107">
        <v>41764</v>
      </c>
      <c r="C268">
        <v>85.587350000000001</v>
      </c>
      <c r="D268" s="109">
        <f t="shared" si="20"/>
        <v>1.4245741138080777E-2</v>
      </c>
      <c r="E268">
        <v>1884.66003</v>
      </c>
      <c r="F268" s="111">
        <f t="shared" si="21"/>
        <v>1.8712163801140624E-3</v>
      </c>
      <c r="M268" s="107">
        <v>40315</v>
      </c>
      <c r="N268" s="115">
        <v>40.340539999999997</v>
      </c>
      <c r="O268" s="109"/>
      <c r="P268">
        <v>1087.68994</v>
      </c>
      <c r="Q268" s="111"/>
    </row>
    <row r="269" spans="2:17">
      <c r="B269" s="107">
        <v>41761</v>
      </c>
      <c r="C269">
        <v>84.385220000000004</v>
      </c>
      <c r="D269" s="109">
        <f t="shared" si="20"/>
        <v>6.9370304736523555E-3</v>
      </c>
      <c r="E269">
        <v>1881.1400100000001</v>
      </c>
      <c r="F269" s="111">
        <f t="shared" si="21"/>
        <v>-1.3484455600619981E-3</v>
      </c>
    </row>
    <row r="270" spans="2:17">
      <c r="B270" s="107">
        <v>41760</v>
      </c>
      <c r="C270">
        <v>83.803870000000003</v>
      </c>
      <c r="D270" s="109">
        <f t="shared" si="20"/>
        <v>3.599017715938178E-3</v>
      </c>
      <c r="E270">
        <v>1883.6800499999999</v>
      </c>
      <c r="F270" s="111">
        <f t="shared" si="21"/>
        <v>-1.4326282924873187E-4</v>
      </c>
    </row>
    <row r="271" spans="2:17">
      <c r="B271" s="107">
        <v>41759</v>
      </c>
      <c r="C271">
        <v>83.503339999999994</v>
      </c>
      <c r="D271" s="109">
        <f t="shared" si="20"/>
        <v>3.6617163082735462E-3</v>
      </c>
      <c r="E271">
        <v>1883.9499499999999</v>
      </c>
      <c r="F271" s="111">
        <f t="shared" si="21"/>
        <v>2.992014246527759E-3</v>
      </c>
    </row>
    <row r="272" spans="2:17">
      <c r="B272" s="107">
        <v>41758</v>
      </c>
      <c r="C272">
        <v>83.198689999999999</v>
      </c>
      <c r="D272" s="109">
        <f t="shared" si="20"/>
        <v>3.3183588926278432E-3</v>
      </c>
      <c r="E272">
        <v>1878.32996</v>
      </c>
      <c r="F272" s="111">
        <f t="shared" si="21"/>
        <v>4.760761174241364E-3</v>
      </c>
    </row>
    <row r="273" spans="2:6">
      <c r="B273" s="107">
        <v>41757</v>
      </c>
      <c r="C273">
        <v>82.923519999999996</v>
      </c>
      <c r="D273" s="109">
        <f t="shared" si="20"/>
        <v>3.556347356214319E-4</v>
      </c>
      <c r="E273">
        <v>1869.4300499999999</v>
      </c>
      <c r="F273" s="111">
        <f t="shared" si="21"/>
        <v>3.2360362430391607E-3</v>
      </c>
    </row>
    <row r="274" spans="2:6">
      <c r="B274" s="107">
        <v>41754</v>
      </c>
      <c r="C274">
        <v>82.894040000000004</v>
      </c>
      <c r="D274" s="109">
        <f t="shared" si="20"/>
        <v>-9.8603026246918118E-3</v>
      </c>
      <c r="E274">
        <v>1863.40002</v>
      </c>
      <c r="F274" s="111">
        <f t="shared" si="21"/>
        <v>-8.0963957825008082E-3</v>
      </c>
    </row>
    <row r="275" spans="2:6">
      <c r="B275" s="107">
        <v>41753</v>
      </c>
      <c r="C275">
        <v>83.719539999999995</v>
      </c>
      <c r="D275" s="109">
        <f t="shared" si="20"/>
        <v>6.3790985500824888E-3</v>
      </c>
      <c r="E275">
        <v>1878.6099899999999</v>
      </c>
      <c r="F275" s="111">
        <f t="shared" si="21"/>
        <v>1.7169655286794719E-3</v>
      </c>
    </row>
    <row r="276" spans="2:6">
      <c r="B276" s="107">
        <v>41752</v>
      </c>
      <c r="C276">
        <v>83.188869999999994</v>
      </c>
      <c r="D276" s="109">
        <f t="shared" si="20"/>
        <v>-1.7688574532005485E-3</v>
      </c>
      <c r="E276">
        <v>1875.3900100000001</v>
      </c>
      <c r="F276" s="111">
        <f t="shared" si="21"/>
        <v>-2.2133169584922629E-3</v>
      </c>
    </row>
    <row r="277" spans="2:6">
      <c r="B277" s="107">
        <v>41751</v>
      </c>
      <c r="C277">
        <v>83.336280000000002</v>
      </c>
      <c r="D277" s="109">
        <f t="shared" si="20"/>
        <v>1.3747881544585776E-2</v>
      </c>
      <c r="E277">
        <v>1879.5500500000001</v>
      </c>
      <c r="F277" s="111">
        <f t="shared" si="21"/>
        <v>4.0921421446124288E-3</v>
      </c>
    </row>
    <row r="278" spans="2:6">
      <c r="B278" s="107">
        <v>41750</v>
      </c>
      <c r="C278">
        <v>82.206119999999999</v>
      </c>
      <c r="D278" s="109">
        <f t="shared" si="20"/>
        <v>7.9526694779341236E-3</v>
      </c>
      <c r="E278">
        <v>1871.8900100000001</v>
      </c>
      <c r="F278" s="111">
        <f t="shared" si="21"/>
        <v>3.7751186827372114E-3</v>
      </c>
    </row>
    <row r="279" spans="2:6">
      <c r="B279" s="107">
        <v>41746</v>
      </c>
      <c r="C279">
        <v>81.557519999999997</v>
      </c>
      <c r="D279" s="109">
        <f t="shared" si="20"/>
        <v>9.4133196388123633E-2</v>
      </c>
      <c r="E279">
        <v>1864.84998</v>
      </c>
      <c r="F279" s="111">
        <f t="shared" si="21"/>
        <v>1.3638545237735214E-3</v>
      </c>
    </row>
    <row r="280" spans="2:6">
      <c r="B280" s="107">
        <v>41745</v>
      </c>
      <c r="C280">
        <v>74.540760000000006</v>
      </c>
      <c r="D280" s="109">
        <f t="shared" si="20"/>
        <v>6.7693541128554984E-3</v>
      </c>
      <c r="E280">
        <v>1862.31006</v>
      </c>
      <c r="F280" s="111">
        <f t="shared" si="21"/>
        <v>1.0488491578731067E-2</v>
      </c>
    </row>
    <row r="281" spans="2:6">
      <c r="B281" s="107">
        <v>41744</v>
      </c>
      <c r="C281">
        <v>74.039559999999994</v>
      </c>
      <c r="D281" s="109">
        <f t="shared" si="20"/>
        <v>9.2431353951876565E-3</v>
      </c>
      <c r="E281">
        <v>1842.9799800000001</v>
      </c>
      <c r="F281" s="111">
        <f t="shared" si="21"/>
        <v>6.7573049789814293E-3</v>
      </c>
    </row>
    <row r="282" spans="2:6">
      <c r="B282" s="107">
        <v>41743</v>
      </c>
      <c r="C282">
        <v>73.361469999999997</v>
      </c>
      <c r="D282" s="109">
        <f t="shared" si="20"/>
        <v>1.3577605799714166E-2</v>
      </c>
      <c r="E282">
        <v>1830.6099899999999</v>
      </c>
      <c r="F282" s="111">
        <f t="shared" si="21"/>
        <v>8.2172895665214435E-3</v>
      </c>
    </row>
    <row r="283" spans="2:6">
      <c r="B283" s="107">
        <v>41740</v>
      </c>
      <c r="C283">
        <v>72.378739999999993</v>
      </c>
      <c r="D283" s="109">
        <f t="shared" si="20"/>
        <v>-2.6951937741048163E-2</v>
      </c>
      <c r="E283">
        <v>1815.68994</v>
      </c>
      <c r="F283" s="111">
        <f t="shared" si="21"/>
        <v>-9.486776561563659E-3</v>
      </c>
    </row>
    <row r="284" spans="2:6">
      <c r="B284" s="107">
        <v>41739</v>
      </c>
      <c r="C284">
        <v>74.383520000000004</v>
      </c>
      <c r="D284" s="109">
        <f t="shared" si="20"/>
        <v>-3.7757498939875747E-2</v>
      </c>
      <c r="E284">
        <v>1833.07996</v>
      </c>
      <c r="F284" s="111">
        <f t="shared" si="21"/>
        <v>-2.0884791502825763E-2</v>
      </c>
    </row>
    <row r="285" spans="2:6">
      <c r="B285" s="107">
        <v>41738</v>
      </c>
      <c r="C285">
        <v>77.302260000000004</v>
      </c>
      <c r="D285" s="109">
        <f t="shared" si="20"/>
        <v>-1.0158841584489502E-3</v>
      </c>
      <c r="E285">
        <v>1872.1800499999999</v>
      </c>
      <c r="F285" s="111">
        <f t="shared" si="21"/>
        <v>1.0918211212298579E-2</v>
      </c>
    </row>
    <row r="286" spans="2:6">
      <c r="B286" s="107">
        <v>41737</v>
      </c>
      <c r="C286">
        <v>77.380870000000002</v>
      </c>
      <c r="D286" s="109">
        <f t="shared" si="20"/>
        <v>1.5475792565483289E-2</v>
      </c>
      <c r="E286">
        <v>1851.9599599999999</v>
      </c>
      <c r="F286" s="111">
        <f t="shared" si="21"/>
        <v>3.7505527522317724E-3</v>
      </c>
    </row>
    <row r="287" spans="2:6">
      <c r="B287" s="107">
        <v>41736</v>
      </c>
      <c r="C287">
        <v>76.201589999999996</v>
      </c>
      <c r="D287" s="109">
        <f t="shared" si="20"/>
        <v>-4.2124764291558578E-2</v>
      </c>
      <c r="E287">
        <v>1845.0400400000001</v>
      </c>
      <c r="F287" s="111">
        <f t="shared" si="21"/>
        <v>-1.0750114108436229E-2</v>
      </c>
    </row>
    <row r="288" spans="2:6">
      <c r="B288" s="107">
        <v>41733</v>
      </c>
      <c r="C288">
        <v>79.552729999999997</v>
      </c>
      <c r="D288" s="109">
        <f t="shared" si="20"/>
        <v>-1.544637980733116E-2</v>
      </c>
      <c r="E288">
        <v>1865.08997</v>
      </c>
      <c r="F288" s="111">
        <f t="shared" si="21"/>
        <v>-1.2537286037608718E-2</v>
      </c>
    </row>
    <row r="289" spans="2:6">
      <c r="B289" s="107">
        <v>41732</v>
      </c>
      <c r="C289">
        <v>80.800809999999998</v>
      </c>
      <c r="D289" s="109">
        <f t="shared" si="20"/>
        <v>-1.6998114244674229E-3</v>
      </c>
      <c r="E289">
        <v>1888.7700199999999</v>
      </c>
      <c r="F289" s="111">
        <f t="shared" si="21"/>
        <v>-1.1264477113920117E-3</v>
      </c>
    </row>
    <row r="290" spans="2:6">
      <c r="B290" s="107">
        <v>41731</v>
      </c>
      <c r="C290">
        <v>80.938389999999998</v>
      </c>
      <c r="D290" s="109">
        <f t="shared" si="20"/>
        <v>-9.1433865616163644E-3</v>
      </c>
      <c r="E290">
        <v>1890.90002</v>
      </c>
      <c r="F290" s="111">
        <f t="shared" si="21"/>
        <v>2.8533242516301204E-3</v>
      </c>
    </row>
    <row r="291" spans="2:6">
      <c r="B291" s="107">
        <v>41730</v>
      </c>
      <c r="C291">
        <v>81.685270000000003</v>
      </c>
      <c r="D291" s="109">
        <f t="shared" si="20"/>
        <v>2.37713186810295E-2</v>
      </c>
      <c r="E291">
        <v>1885.5200199999999</v>
      </c>
      <c r="F291" s="111">
        <f t="shared" si="21"/>
        <v>7.0393465990046334E-3</v>
      </c>
    </row>
    <row r="292" spans="2:6">
      <c r="B292" s="107">
        <v>41729</v>
      </c>
      <c r="C292">
        <v>79.788589999999999</v>
      </c>
      <c r="D292" s="109">
        <f t="shared" si="20"/>
        <v>7.1951536634073847E-3</v>
      </c>
      <c r="E292">
        <v>1872.33997</v>
      </c>
      <c r="F292" s="111">
        <f t="shared" si="21"/>
        <v>7.924101807689465E-3</v>
      </c>
    </row>
    <row r="293" spans="2:6">
      <c r="B293" s="107">
        <v>41726</v>
      </c>
      <c r="C293">
        <v>79.218599999999995</v>
      </c>
      <c r="D293" s="109">
        <f t="shared" si="20"/>
        <v>2.7140615338376868E-2</v>
      </c>
      <c r="E293">
        <v>1857.62</v>
      </c>
      <c r="F293" s="111">
        <f t="shared" si="21"/>
        <v>4.6402240159168218E-3</v>
      </c>
    </row>
    <row r="294" spans="2:6">
      <c r="B294" s="107">
        <v>41725</v>
      </c>
      <c r="C294">
        <v>77.125370000000004</v>
      </c>
      <c r="D294" s="109">
        <f t="shared" si="20"/>
        <v>-1.7280114533939978E-2</v>
      </c>
      <c r="E294">
        <v>1849.0400400000001</v>
      </c>
      <c r="F294" s="111">
        <f t="shared" si="21"/>
        <v>-1.9000841462597068E-3</v>
      </c>
    </row>
    <row r="295" spans="2:6">
      <c r="B295" s="107">
        <v>41724</v>
      </c>
      <c r="C295">
        <v>78.481539999999995</v>
      </c>
      <c r="D295" s="109">
        <f t="shared" si="20"/>
        <v>-1.077675063429168E-2</v>
      </c>
      <c r="E295">
        <v>1852.56006</v>
      </c>
      <c r="F295" s="111">
        <f t="shared" si="21"/>
        <v>-7.0003216089020645E-3</v>
      </c>
    </row>
    <row r="296" spans="2:6">
      <c r="B296" s="107">
        <v>41723</v>
      </c>
      <c r="C296">
        <v>79.336529999999996</v>
      </c>
      <c r="D296" s="109">
        <f t="shared" si="20"/>
        <v>7.8652242071003166E-3</v>
      </c>
      <c r="E296">
        <v>1865.62</v>
      </c>
      <c r="F296" s="111">
        <f t="shared" si="21"/>
        <v>4.4039432036762985E-3</v>
      </c>
    </row>
    <row r="297" spans="2:6">
      <c r="B297" s="107">
        <v>41722</v>
      </c>
      <c r="C297">
        <v>78.717399999999998</v>
      </c>
      <c r="D297" s="109">
        <f t="shared" si="20"/>
        <v>0</v>
      </c>
      <c r="E297">
        <v>1857.43994</v>
      </c>
      <c r="F297" s="111">
        <f t="shared" si="21"/>
        <v>-4.8647107465795911E-3</v>
      </c>
    </row>
    <row r="298" spans="2:6">
      <c r="B298" s="107">
        <v>41719</v>
      </c>
      <c r="C298">
        <v>78.717399999999998</v>
      </c>
      <c r="D298" s="109">
        <f t="shared" si="20"/>
        <v>-7.6808943268786498E-3</v>
      </c>
      <c r="E298">
        <v>1866.5200199999999</v>
      </c>
      <c r="F298" s="111">
        <f t="shared" si="21"/>
        <v>-2.932671284166923E-3</v>
      </c>
    </row>
    <row r="299" spans="2:6">
      <c r="B299" s="107">
        <v>41718</v>
      </c>
      <c r="C299">
        <v>79.326700000000002</v>
      </c>
      <c r="D299" s="109">
        <f t="shared" si="20"/>
        <v>2.4495408886630838E-2</v>
      </c>
      <c r="E299">
        <v>1872.01001</v>
      </c>
      <c r="F299" s="111">
        <f t="shared" si="21"/>
        <v>6.04050467236141E-3</v>
      </c>
    </row>
    <row r="300" spans="2:6">
      <c r="B300" s="107">
        <v>41717</v>
      </c>
      <c r="C300">
        <v>77.430019999999999</v>
      </c>
      <c r="D300" s="109">
        <f t="shared" si="20"/>
        <v>1.246483408356139E-2</v>
      </c>
      <c r="E300">
        <v>1860.7700199999999</v>
      </c>
      <c r="F300" s="111">
        <f t="shared" si="21"/>
        <v>-6.1316490853251804E-3</v>
      </c>
    </row>
    <row r="301" spans="2:6">
      <c r="B301" s="107">
        <v>41716</v>
      </c>
      <c r="C301">
        <v>76.476749999999996</v>
      </c>
      <c r="D301" s="109">
        <f t="shared" si="20"/>
        <v>4.1209439030021944E-2</v>
      </c>
      <c r="E301">
        <v>1872.25</v>
      </c>
      <c r="F301" s="111">
        <f t="shared" si="21"/>
        <v>7.2196167959332714E-3</v>
      </c>
    </row>
    <row r="302" spans="2:6">
      <c r="B302" s="107">
        <v>41715</v>
      </c>
      <c r="C302">
        <v>73.449920000000006</v>
      </c>
      <c r="D302" s="109">
        <f t="shared" si="20"/>
        <v>1.992359382307507E-2</v>
      </c>
      <c r="E302">
        <v>1858.82996</v>
      </c>
      <c r="F302" s="111">
        <f t="shared" si="21"/>
        <v>9.6136394496857455E-3</v>
      </c>
    </row>
    <row r="303" spans="2:6">
      <c r="B303" s="107">
        <v>41712</v>
      </c>
      <c r="C303">
        <v>72.015119999999996</v>
      </c>
      <c r="D303" s="109">
        <f t="shared" si="20"/>
        <v>-4.7535153846622949E-3</v>
      </c>
      <c r="E303">
        <v>1841.13</v>
      </c>
      <c r="F303" s="111">
        <f t="shared" si="21"/>
        <v>-2.8217825994417945E-3</v>
      </c>
    </row>
    <row r="304" spans="2:6">
      <c r="B304" s="107">
        <v>41711</v>
      </c>
      <c r="C304">
        <v>72.359080000000006</v>
      </c>
      <c r="D304" s="109">
        <f t="shared" si="20"/>
        <v>-1.8397547536290245E-2</v>
      </c>
      <c r="E304">
        <v>1846.33997</v>
      </c>
      <c r="F304" s="111">
        <f t="shared" si="21"/>
        <v>-1.1701092273340416E-2</v>
      </c>
    </row>
    <row r="305" spans="2:6">
      <c r="B305" s="107">
        <v>41710</v>
      </c>
      <c r="C305">
        <v>73.715260000000001</v>
      </c>
      <c r="D305" s="109">
        <f t="shared" si="20"/>
        <v>2.27157187688773E-3</v>
      </c>
      <c r="E305">
        <v>1868.1999499999999</v>
      </c>
      <c r="F305" s="111">
        <f t="shared" si="21"/>
        <v>3.0517286614577575E-4</v>
      </c>
    </row>
    <row r="306" spans="2:6">
      <c r="B306" s="107">
        <v>41709</v>
      </c>
      <c r="C306">
        <v>73.548190000000005</v>
      </c>
      <c r="D306" s="109">
        <f t="shared" si="20"/>
        <v>5.3733779326390202E-3</v>
      </c>
      <c r="E306">
        <v>1867.63</v>
      </c>
      <c r="F306" s="111">
        <f t="shared" si="21"/>
        <v>-5.0821394954715252E-3</v>
      </c>
    </row>
    <row r="307" spans="2:6">
      <c r="B307" s="107">
        <v>41708</v>
      </c>
      <c r="C307">
        <v>73.155100000000004</v>
      </c>
      <c r="D307" s="109">
        <f t="shared" si="20"/>
        <v>4.0314188105354336E-4</v>
      </c>
      <c r="E307">
        <v>1877.17004</v>
      </c>
      <c r="F307" s="111">
        <f t="shared" si="21"/>
        <v>-4.6324890921927212E-4</v>
      </c>
    </row>
    <row r="308" spans="2:6">
      <c r="B308" s="107">
        <v>41705</v>
      </c>
      <c r="C308">
        <v>73.125619999999998</v>
      </c>
      <c r="D308" s="109">
        <f t="shared" si="20"/>
        <v>-1.3783846988563145E-2</v>
      </c>
      <c r="E308">
        <v>1878.0400400000001</v>
      </c>
      <c r="F308" s="111">
        <f t="shared" si="21"/>
        <v>5.3808941991204747E-4</v>
      </c>
    </row>
    <row r="309" spans="2:6">
      <c r="B309" s="107">
        <v>41704</v>
      </c>
      <c r="C309">
        <v>74.147660000000002</v>
      </c>
      <c r="D309" s="109">
        <f t="shared" si="20"/>
        <v>-1.3596567021477043E-2</v>
      </c>
      <c r="E309">
        <v>1877.0300299999999</v>
      </c>
      <c r="F309" s="111">
        <f t="shared" si="21"/>
        <v>1.718407894554625E-3</v>
      </c>
    </row>
    <row r="310" spans="2:6">
      <c r="B310" s="107">
        <v>41703</v>
      </c>
      <c r="C310">
        <v>75.169709999999995</v>
      </c>
      <c r="D310" s="109">
        <f t="shared" si="20"/>
        <v>3.0158643109245249E-3</v>
      </c>
      <c r="E310">
        <v>1873.81006</v>
      </c>
      <c r="F310" s="111">
        <f t="shared" si="21"/>
        <v>-5.3348345651357015E-5</v>
      </c>
    </row>
    <row r="311" spans="2:6">
      <c r="B311" s="107">
        <v>41702</v>
      </c>
      <c r="C311">
        <v>74.943690000000004</v>
      </c>
      <c r="D311" s="109">
        <f t="shared" si="20"/>
        <v>1.5175819686343319E-2</v>
      </c>
      <c r="E311">
        <v>1873.91003</v>
      </c>
      <c r="F311" s="111">
        <f t="shared" si="21"/>
        <v>1.5267699124657409E-2</v>
      </c>
    </row>
    <row r="312" spans="2:6">
      <c r="B312" s="107">
        <v>41701</v>
      </c>
      <c r="C312">
        <v>73.823359999999994</v>
      </c>
      <c r="D312" s="109">
        <f t="shared" si="20"/>
        <v>1.1036255408290903E-2</v>
      </c>
      <c r="E312">
        <v>1845.7299800000001</v>
      </c>
      <c r="F312" s="111">
        <f t="shared" si="21"/>
        <v>-7.3785099728012988E-3</v>
      </c>
    </row>
    <row r="313" spans="2:6">
      <c r="B313" s="107">
        <v>41698</v>
      </c>
      <c r="C313">
        <v>73.017520000000005</v>
      </c>
      <c r="D313" s="109">
        <f t="shared" si="20"/>
        <v>-2.5956824490053931E-2</v>
      </c>
      <c r="E313">
        <v>1859.4499499999999</v>
      </c>
      <c r="F313" s="111">
        <f t="shared" si="21"/>
        <v>2.7826876533294941E-3</v>
      </c>
    </row>
    <row r="314" spans="2:6">
      <c r="B314" s="107">
        <v>41697</v>
      </c>
      <c r="C314">
        <v>74.963329999999999</v>
      </c>
      <c r="D314" s="109">
        <f t="shared" si="20"/>
        <v>-3.3970208265614826E-3</v>
      </c>
      <c r="E314">
        <v>1854.2900400000001</v>
      </c>
      <c r="F314" s="111">
        <f t="shared" si="21"/>
        <v>4.9480857224075483E-3</v>
      </c>
    </row>
    <row r="315" spans="2:6">
      <c r="B315" s="107">
        <v>41696</v>
      </c>
      <c r="C315">
        <v>75.218850000000003</v>
      </c>
      <c r="D315" s="109">
        <f t="shared" si="20"/>
        <v>9.0969021512525144E-3</v>
      </c>
      <c r="E315">
        <v>1845.16003</v>
      </c>
      <c r="F315" s="111">
        <f t="shared" si="21"/>
        <v>2.169506590363513E-5</v>
      </c>
    </row>
    <row r="316" spans="2:6">
      <c r="B316" s="107">
        <v>41695</v>
      </c>
      <c r="C316">
        <v>74.540760000000006</v>
      </c>
      <c r="D316" s="109">
        <f t="shared" si="20"/>
        <v>5.2764073719371093E-4</v>
      </c>
      <c r="E316">
        <v>1845.12</v>
      </c>
      <c r="F316" s="111">
        <f t="shared" si="21"/>
        <v>-1.3476816067659575E-3</v>
      </c>
    </row>
    <row r="317" spans="2:6">
      <c r="B317" s="107">
        <v>41694</v>
      </c>
      <c r="C317">
        <v>74.501450000000006</v>
      </c>
      <c r="D317" s="109">
        <f t="shared" si="20"/>
        <v>1.3502584517328609E-2</v>
      </c>
      <c r="E317">
        <v>1847.6099899999999</v>
      </c>
      <c r="F317" s="111">
        <f t="shared" si="21"/>
        <v>6.1865159972770188E-3</v>
      </c>
    </row>
    <row r="318" spans="2:6">
      <c r="B318" s="107">
        <v>41691</v>
      </c>
      <c r="C318">
        <v>73.508889999999994</v>
      </c>
      <c r="D318" s="109">
        <f t="shared" si="20"/>
        <v>-6.7719153931465586E-3</v>
      </c>
      <c r="E318">
        <v>1836.25</v>
      </c>
      <c r="F318" s="111">
        <f t="shared" si="21"/>
        <v>-1.9187239465795795E-3</v>
      </c>
    </row>
    <row r="319" spans="2:6">
      <c r="B319" s="107">
        <v>41690</v>
      </c>
      <c r="C319">
        <v>74.010080000000002</v>
      </c>
      <c r="D319" s="109">
        <f t="shared" si="20"/>
        <v>1.0465494913886656E-2</v>
      </c>
      <c r="E319">
        <v>1839.7800299999999</v>
      </c>
      <c r="F319" s="111">
        <f t="shared" si="21"/>
        <v>6.0314586466164851E-3</v>
      </c>
    </row>
    <row r="320" spans="2:6">
      <c r="B320" s="107">
        <v>41689</v>
      </c>
      <c r="C320">
        <v>73.243549999999999</v>
      </c>
      <c r="D320" s="109">
        <f t="shared" si="20"/>
        <v>-8.0433807791846436E-4</v>
      </c>
      <c r="E320">
        <v>1828.75</v>
      </c>
      <c r="F320" s="111">
        <f t="shared" si="21"/>
        <v>-6.5244844166296107E-3</v>
      </c>
    </row>
    <row r="321" spans="2:6">
      <c r="B321" s="107">
        <v>41688</v>
      </c>
      <c r="C321">
        <v>73.302509999999998</v>
      </c>
      <c r="D321" s="109">
        <f t="shared" si="20"/>
        <v>0</v>
      </c>
      <c r="E321">
        <v>1840.76001</v>
      </c>
      <c r="F321" s="111">
        <f t="shared" si="21"/>
        <v>1.1584766918846404E-3</v>
      </c>
    </row>
    <row r="322" spans="2:6">
      <c r="B322" s="107">
        <v>41684</v>
      </c>
      <c r="C322">
        <v>73.302509999999998</v>
      </c>
      <c r="D322" s="109">
        <f t="shared" si="20"/>
        <v>2.5537575399239205E-3</v>
      </c>
      <c r="E322">
        <v>1838.63</v>
      </c>
      <c r="F322" s="111">
        <f t="shared" si="21"/>
        <v>4.8092118898305069E-3</v>
      </c>
    </row>
    <row r="323" spans="2:6">
      <c r="B323" s="107">
        <v>41683</v>
      </c>
      <c r="C323">
        <v>73.115790000000004</v>
      </c>
      <c r="D323" s="109">
        <f t="shared" si="20"/>
        <v>3.2186390392208226E-2</v>
      </c>
      <c r="E323">
        <v>1829.82996</v>
      </c>
      <c r="F323" s="111">
        <f t="shared" si="21"/>
        <v>5.8100271219615621E-3</v>
      </c>
    </row>
    <row r="324" spans="2:6">
      <c r="B324" s="107">
        <v>41682</v>
      </c>
      <c r="C324">
        <v>70.835840000000005</v>
      </c>
      <c r="D324" s="109">
        <f t="shared" si="20"/>
        <v>-2.9048927391193578E-3</v>
      </c>
      <c r="E324">
        <v>1819.26001</v>
      </c>
      <c r="F324" s="111">
        <f t="shared" si="21"/>
        <v>-2.6926226129964792E-4</v>
      </c>
    </row>
    <row r="325" spans="2:6">
      <c r="B325" s="107">
        <v>41681</v>
      </c>
      <c r="C325">
        <v>71.042209999999997</v>
      </c>
      <c r="D325" s="109">
        <f t="shared" si="20"/>
        <v>8.6507855489712168E-3</v>
      </c>
      <c r="E325">
        <v>1819.75</v>
      </c>
      <c r="F325" s="111">
        <f t="shared" si="21"/>
        <v>1.1062111260925052E-2</v>
      </c>
    </row>
    <row r="326" spans="2:6">
      <c r="B326" s="107">
        <v>41680</v>
      </c>
      <c r="C326">
        <v>70.432910000000007</v>
      </c>
      <c r="D326" s="109">
        <f t="shared" si="20"/>
        <v>8.3781001350660624E-4</v>
      </c>
      <c r="E326">
        <v>1799.83997</v>
      </c>
      <c r="F326" s="111">
        <f t="shared" si="21"/>
        <v>1.5692368302051875E-3</v>
      </c>
    </row>
    <row r="327" spans="2:6">
      <c r="B327" s="107">
        <v>41677</v>
      </c>
      <c r="C327">
        <v>70.373949999999994</v>
      </c>
      <c r="D327" s="109">
        <f t="shared" si="20"/>
        <v>1.9504664728987205E-2</v>
      </c>
      <c r="E327">
        <v>1797.0200199999999</v>
      </c>
      <c r="F327" s="111">
        <f t="shared" si="21"/>
        <v>1.3301889183619051E-2</v>
      </c>
    </row>
    <row r="328" spans="2:6">
      <c r="B328" s="107">
        <v>41676</v>
      </c>
      <c r="C328">
        <v>69.027590000000004</v>
      </c>
      <c r="D328" s="109">
        <f t="shared" si="20"/>
        <v>2.1226965002189683E-2</v>
      </c>
      <c r="E328">
        <v>1773.4300499999999</v>
      </c>
      <c r="F328" s="111">
        <f t="shared" si="21"/>
        <v>1.2439793493869703E-2</v>
      </c>
    </row>
    <row r="329" spans="2:6">
      <c r="B329" s="107">
        <v>41675</v>
      </c>
      <c r="C329">
        <v>67.592799999999997</v>
      </c>
      <c r="D329" s="109">
        <f t="shared" ref="D329:D392" si="24">(C329-C330)/C330</f>
        <v>7.9134104190875104E-3</v>
      </c>
      <c r="E329">
        <v>1751.6400100000001</v>
      </c>
      <c r="F329" s="111">
        <f t="shared" ref="F329:F392" si="25">(E329-E330)/E330</f>
        <v>-2.0282247615149886E-3</v>
      </c>
    </row>
    <row r="330" spans="2:6">
      <c r="B330" s="107">
        <v>41674</v>
      </c>
      <c r="C330">
        <v>67.062110000000004</v>
      </c>
      <c r="D330" s="109">
        <f t="shared" si="24"/>
        <v>1.2613175516007255E-2</v>
      </c>
      <c r="E330">
        <v>1755.1999499999999</v>
      </c>
      <c r="F330" s="111">
        <f t="shared" si="25"/>
        <v>7.6410909549908196E-3</v>
      </c>
    </row>
    <row r="331" spans="2:6">
      <c r="B331" s="107">
        <v>41673</v>
      </c>
      <c r="C331">
        <v>66.226780000000005</v>
      </c>
      <c r="D331" s="109">
        <f t="shared" si="24"/>
        <v>-3.1056989289315901E-2</v>
      </c>
      <c r="E331">
        <v>1741.8900100000001</v>
      </c>
      <c r="F331" s="111">
        <f t="shared" si="25"/>
        <v>-2.2831924719064766E-2</v>
      </c>
    </row>
    <row r="332" spans="2:6">
      <c r="B332" s="107">
        <v>41670</v>
      </c>
      <c r="C332">
        <v>68.349509999999995</v>
      </c>
      <c r="D332" s="109">
        <f t="shared" si="24"/>
        <v>-9.6824339586747531E-3</v>
      </c>
      <c r="E332">
        <v>1782.58997</v>
      </c>
      <c r="F332" s="111">
        <f t="shared" si="25"/>
        <v>-6.4652965337660875E-3</v>
      </c>
    </row>
    <row r="333" spans="2:6">
      <c r="B333" s="107">
        <v>41669</v>
      </c>
      <c r="C333">
        <v>69.017769999999999</v>
      </c>
      <c r="D333" s="109">
        <f t="shared" si="24"/>
        <v>2.0414116411397069E-2</v>
      </c>
      <c r="E333">
        <v>1794.18994</v>
      </c>
      <c r="F333" s="111">
        <f t="shared" si="25"/>
        <v>1.1267044619181753E-2</v>
      </c>
    </row>
    <row r="334" spans="2:6">
      <c r="B334" s="107">
        <v>41668</v>
      </c>
      <c r="C334">
        <v>67.637020000000007</v>
      </c>
      <c r="D334" s="109">
        <f t="shared" si="24"/>
        <v>-7.9022221387776252E-3</v>
      </c>
      <c r="E334">
        <v>1774.1999499999999</v>
      </c>
      <c r="F334" s="111">
        <f t="shared" si="25"/>
        <v>-1.0209232914923323E-2</v>
      </c>
    </row>
    <row r="335" spans="2:6">
      <c r="B335" s="107">
        <v>41667</v>
      </c>
      <c r="C335">
        <v>68.175759999999997</v>
      </c>
      <c r="D335" s="109">
        <f t="shared" si="24"/>
        <v>8.6278034305384819E-4</v>
      </c>
      <c r="E335">
        <v>1792.5</v>
      </c>
      <c r="F335" s="111">
        <f t="shared" si="25"/>
        <v>6.1406518060356484E-3</v>
      </c>
    </row>
    <row r="336" spans="2:6">
      <c r="B336" s="107">
        <v>41666</v>
      </c>
      <c r="C336">
        <v>68.116990000000001</v>
      </c>
      <c r="D336" s="109">
        <f t="shared" si="24"/>
        <v>8.63525375773794E-4</v>
      </c>
      <c r="E336">
        <v>1781.56006</v>
      </c>
      <c r="F336" s="111">
        <f t="shared" si="25"/>
        <v>-4.8762936758560468E-3</v>
      </c>
    </row>
    <row r="337" spans="2:6">
      <c r="B337" s="107">
        <v>41663</v>
      </c>
      <c r="C337">
        <v>68.058220000000006</v>
      </c>
      <c r="D337" s="109">
        <f t="shared" si="24"/>
        <v>-3.5267932068385098E-2</v>
      </c>
      <c r="E337">
        <v>1790.2900400000001</v>
      </c>
      <c r="F337" s="111">
        <f t="shared" si="25"/>
        <v>-2.0875447554235656E-2</v>
      </c>
    </row>
    <row r="338" spans="2:6">
      <c r="B338" s="107">
        <v>41662</v>
      </c>
      <c r="C338">
        <v>70.546239999999997</v>
      </c>
      <c r="D338" s="109">
        <f t="shared" si="24"/>
        <v>-2.355020175281052E-3</v>
      </c>
      <c r="E338">
        <v>1828.4599599999999</v>
      </c>
      <c r="F338" s="111">
        <f t="shared" si="25"/>
        <v>-8.889579745290057E-3</v>
      </c>
    </row>
    <row r="339" spans="2:6">
      <c r="B339" s="107">
        <v>41661</v>
      </c>
      <c r="C339">
        <v>70.712770000000006</v>
      </c>
      <c r="D339" s="109">
        <f t="shared" si="24"/>
        <v>4.1731694190055872E-3</v>
      </c>
      <c r="E339">
        <v>1844.8599899999999</v>
      </c>
      <c r="F339" s="111">
        <f t="shared" si="25"/>
        <v>5.7486710665826779E-4</v>
      </c>
    </row>
    <row r="340" spans="2:6">
      <c r="B340" s="107">
        <v>41660</v>
      </c>
      <c r="C340">
        <v>70.418899999999994</v>
      </c>
      <c r="D340" s="109">
        <f t="shared" si="24"/>
        <v>-2.442670319651407E-2</v>
      </c>
      <c r="E340">
        <v>1843.8000500000001</v>
      </c>
      <c r="F340" s="111">
        <f t="shared" si="25"/>
        <v>2.7737532706193372E-3</v>
      </c>
    </row>
    <row r="341" spans="2:6">
      <c r="B341" s="107">
        <v>41656</v>
      </c>
      <c r="C341">
        <v>72.182069999999996</v>
      </c>
      <c r="D341" s="109">
        <f t="shared" si="24"/>
        <v>8.4851152117192373E-3</v>
      </c>
      <c r="E341">
        <v>1838.6999499999999</v>
      </c>
      <c r="F341" s="111">
        <f t="shared" si="25"/>
        <v>-3.895172497303959E-3</v>
      </c>
    </row>
    <row r="342" spans="2:6">
      <c r="B342" s="107">
        <v>41655</v>
      </c>
      <c r="C342">
        <v>71.574749999999995</v>
      </c>
      <c r="D342" s="109">
        <f t="shared" si="24"/>
        <v>8.4183324119111967E-3</v>
      </c>
      <c r="E342">
        <v>1845.8900100000001</v>
      </c>
      <c r="F342" s="111">
        <f t="shared" si="25"/>
        <v>-1.3471201809151982E-3</v>
      </c>
    </row>
    <row r="343" spans="2:6">
      <c r="B343" s="107">
        <v>41654</v>
      </c>
      <c r="C343">
        <v>70.977239999999995</v>
      </c>
      <c r="D343" s="109">
        <f t="shared" si="24"/>
        <v>2.9065355932623919E-3</v>
      </c>
      <c r="E343">
        <v>1848.38</v>
      </c>
      <c r="F343" s="111">
        <f t="shared" si="25"/>
        <v>5.1661881145044809E-3</v>
      </c>
    </row>
    <row r="344" spans="2:6">
      <c r="B344" s="107">
        <v>41653</v>
      </c>
      <c r="C344">
        <v>70.771540000000002</v>
      </c>
      <c r="D344" s="109">
        <f t="shared" si="24"/>
        <v>1.5032392984682601E-2</v>
      </c>
      <c r="E344">
        <v>1838.88</v>
      </c>
      <c r="F344" s="111">
        <f t="shared" si="25"/>
        <v>1.081796973444297E-2</v>
      </c>
    </row>
    <row r="345" spans="2:6">
      <c r="B345" s="107">
        <v>41652</v>
      </c>
      <c r="C345">
        <v>69.723429999999993</v>
      </c>
      <c r="D345" s="109">
        <f t="shared" si="24"/>
        <v>-1.9559197388657183E-2</v>
      </c>
      <c r="E345">
        <v>1819.1999499999999</v>
      </c>
      <c r="F345" s="111">
        <f t="shared" si="25"/>
        <v>-1.257621976041726E-2</v>
      </c>
    </row>
    <row r="346" spans="2:6">
      <c r="B346" s="107">
        <v>41649</v>
      </c>
      <c r="C346">
        <v>71.114369999999994</v>
      </c>
      <c r="D346" s="109">
        <f t="shared" si="24"/>
        <v>-8.2587324011952439E-4</v>
      </c>
      <c r="E346">
        <v>1842.37</v>
      </c>
      <c r="F346" s="111">
        <f t="shared" si="25"/>
        <v>2.3066921273249344E-3</v>
      </c>
    </row>
    <row r="347" spans="2:6">
      <c r="B347" s="107">
        <v>41648</v>
      </c>
      <c r="C347">
        <v>71.173150000000007</v>
      </c>
      <c r="D347" s="109">
        <f t="shared" si="24"/>
        <v>-1.0755559163150276E-2</v>
      </c>
      <c r="E347">
        <v>1838.13</v>
      </c>
      <c r="F347" s="111">
        <f t="shared" si="25"/>
        <v>3.483066593467945E-4</v>
      </c>
    </row>
    <row r="348" spans="2:6">
      <c r="B348" s="107">
        <v>41647</v>
      </c>
      <c r="C348">
        <v>71.946979999999996</v>
      </c>
      <c r="D348" s="109">
        <f t="shared" si="24"/>
        <v>6.0190553489853249E-2</v>
      </c>
      <c r="E348">
        <v>1837.48999</v>
      </c>
      <c r="F348" s="111">
        <f t="shared" si="25"/>
        <v>-2.1220645526371404E-4</v>
      </c>
    </row>
    <row r="349" spans="2:6">
      <c r="B349" s="107">
        <v>41646</v>
      </c>
      <c r="C349">
        <v>67.862309999999994</v>
      </c>
      <c r="D349" s="109">
        <f t="shared" si="24"/>
        <v>1.3606449101690747E-2</v>
      </c>
      <c r="E349">
        <v>1837.88</v>
      </c>
      <c r="F349" s="111">
        <f t="shared" si="25"/>
        <v>6.0817617315616877E-3</v>
      </c>
    </row>
    <row r="350" spans="2:6">
      <c r="B350" s="107">
        <v>41645</v>
      </c>
      <c r="C350">
        <v>66.951340000000002</v>
      </c>
      <c r="D350" s="109">
        <f t="shared" si="24"/>
        <v>-7.4062762691083795E-3</v>
      </c>
      <c r="E350">
        <v>1826.7700199999999</v>
      </c>
      <c r="F350" s="111">
        <f t="shared" si="25"/>
        <v>-2.5117698771957384E-3</v>
      </c>
    </row>
    <row r="351" spans="2:6">
      <c r="B351" s="107">
        <v>41642</v>
      </c>
      <c r="C351">
        <v>67.450900000000004</v>
      </c>
      <c r="D351" s="109">
        <f t="shared" si="24"/>
        <v>-7.4951144249425427E-3</v>
      </c>
      <c r="E351">
        <v>1831.37</v>
      </c>
      <c r="F351" s="111">
        <f t="shared" si="25"/>
        <v>-3.329621538769096E-4</v>
      </c>
    </row>
    <row r="352" spans="2:6">
      <c r="B352" s="107">
        <v>41641</v>
      </c>
      <c r="C352">
        <v>67.960269999999994</v>
      </c>
      <c r="D352" s="109">
        <f t="shared" si="24"/>
        <v>-1.6444530571940546E-2</v>
      </c>
      <c r="E352">
        <v>1831.9799800000001</v>
      </c>
      <c r="F352" s="111">
        <f t="shared" si="25"/>
        <v>-8.8619154756752003E-3</v>
      </c>
    </row>
    <row r="353" spans="2:6">
      <c r="B353" s="107">
        <v>41639</v>
      </c>
      <c r="C353">
        <v>69.096530000000001</v>
      </c>
      <c r="D353" s="109">
        <f t="shared" si="24"/>
        <v>6.7075440565940933E-3</v>
      </c>
      <c r="E353">
        <v>1848.3599899999999</v>
      </c>
      <c r="F353" s="111">
        <f t="shared" si="25"/>
        <v>3.959675730951919E-3</v>
      </c>
    </row>
    <row r="354" spans="2:6">
      <c r="B354" s="107">
        <v>41638</v>
      </c>
      <c r="C354">
        <v>68.636150000000001</v>
      </c>
      <c r="D354" s="109">
        <f t="shared" si="24"/>
        <v>-2.4202549116190625E-3</v>
      </c>
      <c r="E354">
        <v>1841.0699500000001</v>
      </c>
      <c r="F354" s="111">
        <f t="shared" si="25"/>
        <v>-1.7924948214129914E-4</v>
      </c>
    </row>
    <row r="355" spans="2:6">
      <c r="B355" s="107">
        <v>41635</v>
      </c>
      <c r="C355">
        <v>68.802670000000006</v>
      </c>
      <c r="D355" s="109">
        <f t="shared" si="24"/>
        <v>-3.5465414775758862E-3</v>
      </c>
      <c r="E355">
        <v>1841.40002</v>
      </c>
      <c r="F355" s="111">
        <f t="shared" si="25"/>
        <v>-3.3658700408689961E-4</v>
      </c>
    </row>
    <row r="356" spans="2:6">
      <c r="B356" s="107">
        <v>41634</v>
      </c>
      <c r="C356">
        <v>69.047550000000001</v>
      </c>
      <c r="D356" s="109">
        <f t="shared" si="24"/>
        <v>2.1324916960108278E-3</v>
      </c>
      <c r="E356">
        <v>1842.0200199999999</v>
      </c>
      <c r="F356" s="111">
        <f t="shared" si="25"/>
        <v>4.7455273696224536E-3</v>
      </c>
    </row>
    <row r="357" spans="2:6">
      <c r="B357" s="107">
        <v>41632</v>
      </c>
      <c r="C357">
        <v>68.900620000000004</v>
      </c>
      <c r="D357" s="109">
        <f t="shared" si="24"/>
        <v>1.1385851031338341E-3</v>
      </c>
      <c r="E357">
        <v>1833.3199500000001</v>
      </c>
      <c r="F357" s="111">
        <f t="shared" si="25"/>
        <v>2.9157490080129094E-3</v>
      </c>
    </row>
    <row r="358" spans="2:6">
      <c r="B358" s="107">
        <v>41631</v>
      </c>
      <c r="C358">
        <v>68.82226</v>
      </c>
      <c r="D358" s="109">
        <f t="shared" si="24"/>
        <v>1.0789775114738233E-2</v>
      </c>
      <c r="E358">
        <v>1827.98999</v>
      </c>
      <c r="F358" s="111">
        <f t="shared" si="25"/>
        <v>5.3181179692825629E-3</v>
      </c>
    </row>
    <row r="359" spans="2:6">
      <c r="B359" s="107">
        <v>41628</v>
      </c>
      <c r="C359">
        <v>68.087609999999998</v>
      </c>
      <c r="D359" s="109">
        <f t="shared" si="24"/>
        <v>1.2379897405397406E-2</v>
      </c>
      <c r="E359">
        <v>1818.3199500000001</v>
      </c>
      <c r="F359" s="111">
        <f t="shared" si="25"/>
        <v>4.8187279489249899E-3</v>
      </c>
    </row>
    <row r="360" spans="2:6">
      <c r="B360" s="107">
        <v>41627</v>
      </c>
      <c r="C360">
        <v>67.254999999999995</v>
      </c>
      <c r="D360" s="109">
        <f t="shared" si="24"/>
        <v>-1.5995487120108664E-3</v>
      </c>
      <c r="E360">
        <v>1809.59998</v>
      </c>
      <c r="F360" s="111">
        <f t="shared" si="25"/>
        <v>-5.7992433015855869E-4</v>
      </c>
    </row>
    <row r="361" spans="2:6">
      <c r="B361" s="107">
        <v>41626</v>
      </c>
      <c r="C361">
        <v>67.362750000000005</v>
      </c>
      <c r="D361" s="109">
        <f t="shared" si="24"/>
        <v>9.5420004630875754E-3</v>
      </c>
      <c r="E361">
        <v>1810.65002</v>
      </c>
      <c r="F361" s="111">
        <f t="shared" si="25"/>
        <v>1.6647961819202719E-2</v>
      </c>
    </row>
    <row r="362" spans="2:6">
      <c r="B362" s="107">
        <v>41625</v>
      </c>
      <c r="C362">
        <v>66.726050000000001</v>
      </c>
      <c r="D362" s="109">
        <f t="shared" si="24"/>
        <v>1.7171753664923736E-2</v>
      </c>
      <c r="E362">
        <v>1781</v>
      </c>
      <c r="F362" s="111">
        <f t="shared" si="25"/>
        <v>-3.1009884334862654E-3</v>
      </c>
    </row>
    <row r="363" spans="2:6">
      <c r="B363" s="107">
        <v>41624</v>
      </c>
      <c r="C363">
        <v>65.599590000000006</v>
      </c>
      <c r="D363" s="109">
        <f t="shared" si="24"/>
        <v>1.0563068926686089E-2</v>
      </c>
      <c r="E363">
        <v>1786.5400400000001</v>
      </c>
      <c r="F363" s="111">
        <f t="shared" si="25"/>
        <v>6.3200382556395131E-3</v>
      </c>
    </row>
    <row r="364" spans="2:6">
      <c r="B364" s="107">
        <v>41621</v>
      </c>
      <c r="C364">
        <v>64.913899999999998</v>
      </c>
      <c r="D364" s="109">
        <f t="shared" si="24"/>
        <v>1.052133759394557E-2</v>
      </c>
      <c r="E364">
        <v>1775.3199500000001</v>
      </c>
      <c r="F364" s="111">
        <f t="shared" si="25"/>
        <v>-1.0140805406924102E-4</v>
      </c>
    </row>
    <row r="365" spans="2:6">
      <c r="B365" s="107">
        <v>41620</v>
      </c>
      <c r="C365">
        <v>64.238029999999995</v>
      </c>
      <c r="D365" s="109">
        <f t="shared" si="24"/>
        <v>-2.6569674230278551E-2</v>
      </c>
      <c r="E365">
        <v>1775.5</v>
      </c>
      <c r="F365" s="111">
        <f t="shared" si="25"/>
        <v>-3.770561498084943E-3</v>
      </c>
    </row>
    <row r="366" spans="2:6">
      <c r="B366" s="107">
        <v>41619</v>
      </c>
      <c r="C366">
        <v>65.991399999999999</v>
      </c>
      <c r="D366" s="109">
        <f t="shared" si="24"/>
        <v>-2.3056791780053817E-2</v>
      </c>
      <c r="E366">
        <v>1782.2199700000001</v>
      </c>
      <c r="F366" s="111">
        <f t="shared" si="25"/>
        <v>-1.1316877655856358E-2</v>
      </c>
    </row>
    <row r="367" spans="2:6">
      <c r="B367" s="107">
        <v>41618</v>
      </c>
      <c r="C367">
        <v>67.548860000000005</v>
      </c>
      <c r="D367" s="109">
        <f t="shared" si="24"/>
        <v>-1.5926012255121236E-3</v>
      </c>
      <c r="E367">
        <v>1802.62</v>
      </c>
      <c r="F367" s="111">
        <f t="shared" si="25"/>
        <v>-3.179659029955153E-3</v>
      </c>
    </row>
    <row r="368" spans="2:6">
      <c r="B368" s="107">
        <v>41617</v>
      </c>
      <c r="C368">
        <v>67.656610000000001</v>
      </c>
      <c r="D368" s="109">
        <f t="shared" si="24"/>
        <v>1.618360230654892E-2</v>
      </c>
      <c r="E368">
        <v>1808.37</v>
      </c>
      <c r="F368" s="111">
        <f t="shared" si="25"/>
        <v>1.8171005625829814E-3</v>
      </c>
    </row>
    <row r="369" spans="2:6">
      <c r="B369" s="107">
        <v>41614</v>
      </c>
      <c r="C369">
        <v>66.579120000000003</v>
      </c>
      <c r="D369" s="109">
        <f t="shared" si="24"/>
        <v>1.6601762906646188E-2</v>
      </c>
      <c r="E369">
        <v>1805.08997</v>
      </c>
      <c r="F369" s="111">
        <f t="shared" si="25"/>
        <v>1.1237872563970309E-2</v>
      </c>
    </row>
    <row r="370" spans="2:6">
      <c r="B370" s="107">
        <v>41613</v>
      </c>
      <c r="C370">
        <v>65.491839999999996</v>
      </c>
      <c r="D370" s="109">
        <f t="shared" si="24"/>
        <v>-8.0117199463563705E-3</v>
      </c>
      <c r="E370">
        <v>1785.0300299999999</v>
      </c>
      <c r="F370" s="111">
        <f t="shared" si="25"/>
        <v>-4.3395729272068702E-3</v>
      </c>
    </row>
    <row r="371" spans="2:6">
      <c r="B371" s="107">
        <v>41612</v>
      </c>
      <c r="C371">
        <v>66.020780000000002</v>
      </c>
      <c r="D371" s="109">
        <f t="shared" si="24"/>
        <v>-7.3637941649857498E-3</v>
      </c>
      <c r="E371">
        <v>1792.81006</v>
      </c>
      <c r="F371" s="111">
        <f t="shared" si="25"/>
        <v>-1.3034899445340056E-3</v>
      </c>
    </row>
    <row r="372" spans="2:6">
      <c r="B372" s="107">
        <v>41611</v>
      </c>
      <c r="C372">
        <v>66.510549999999995</v>
      </c>
      <c r="D372" s="109">
        <f t="shared" si="24"/>
        <v>-4.9823775174255465E-3</v>
      </c>
      <c r="E372">
        <v>1795.15002</v>
      </c>
      <c r="F372" s="111">
        <f t="shared" si="25"/>
        <v>-3.1928479849758678E-3</v>
      </c>
    </row>
    <row r="373" spans="2:6">
      <c r="B373" s="107">
        <v>41610</v>
      </c>
      <c r="C373">
        <v>66.843590000000006</v>
      </c>
      <c r="D373" s="109">
        <f t="shared" si="24"/>
        <v>1.3204916333412386E-3</v>
      </c>
      <c r="E373">
        <v>1800.90002</v>
      </c>
      <c r="F373" s="111">
        <f t="shared" si="25"/>
        <v>-2.7190235057168643E-3</v>
      </c>
    </row>
    <row r="374" spans="2:6">
      <c r="B374" s="107">
        <v>41607</v>
      </c>
      <c r="C374">
        <v>66.755439999999993</v>
      </c>
      <c r="D374" s="109">
        <f t="shared" si="24"/>
        <v>3.9776835828508389E-3</v>
      </c>
      <c r="E374">
        <v>1805.81006</v>
      </c>
      <c r="F374" s="111">
        <f t="shared" si="25"/>
        <v>-7.8568860394848431E-4</v>
      </c>
    </row>
    <row r="375" spans="2:6">
      <c r="B375" s="107">
        <v>41605</v>
      </c>
      <c r="C375">
        <v>66.490960000000001</v>
      </c>
      <c r="D375" s="109">
        <f t="shared" si="24"/>
        <v>1.2832118911994263E-2</v>
      </c>
      <c r="E375">
        <v>1807.2299800000001</v>
      </c>
      <c r="F375" s="111">
        <f t="shared" si="25"/>
        <v>2.4850811260574506E-3</v>
      </c>
    </row>
    <row r="376" spans="2:6">
      <c r="B376" s="107">
        <v>41604</v>
      </c>
      <c r="C376">
        <v>65.64855</v>
      </c>
      <c r="D376" s="109">
        <f t="shared" si="24"/>
        <v>1.7767528390372506E-2</v>
      </c>
      <c r="E376">
        <v>1802.75</v>
      </c>
      <c r="F376" s="111">
        <f t="shared" si="25"/>
        <v>1.4980471516800497E-4</v>
      </c>
    </row>
    <row r="377" spans="2:6">
      <c r="B377" s="107">
        <v>41603</v>
      </c>
      <c r="C377">
        <v>64.502499999999998</v>
      </c>
      <c r="D377" s="109">
        <f t="shared" si="24"/>
        <v>-2.2997001853052996E-2</v>
      </c>
      <c r="E377">
        <v>1802.4799800000001</v>
      </c>
      <c r="F377" s="111">
        <f t="shared" si="25"/>
        <v>-1.2633424872927547E-3</v>
      </c>
    </row>
    <row r="378" spans="2:6">
      <c r="B378" s="107">
        <v>41600</v>
      </c>
      <c r="C378">
        <v>66.020780000000002</v>
      </c>
      <c r="D378" s="109">
        <f t="shared" si="24"/>
        <v>0</v>
      </c>
      <c r="E378">
        <v>1804.76001</v>
      </c>
      <c r="F378" s="111">
        <f t="shared" si="25"/>
        <v>4.9614556333931669E-3</v>
      </c>
    </row>
    <row r="379" spans="2:6">
      <c r="B379" s="107">
        <v>41599</v>
      </c>
      <c r="C379">
        <v>66.020780000000002</v>
      </c>
      <c r="D379" s="109">
        <f t="shared" si="24"/>
        <v>1.7358375894839621E-2</v>
      </c>
      <c r="E379">
        <v>1795.84998</v>
      </c>
      <c r="F379" s="111">
        <f t="shared" si="25"/>
        <v>8.1285639704272942E-3</v>
      </c>
    </row>
    <row r="380" spans="2:6">
      <c r="B380" s="107">
        <v>41598</v>
      </c>
      <c r="C380">
        <v>64.894319999999993</v>
      </c>
      <c r="D380" s="109">
        <f t="shared" si="24"/>
        <v>-2.300534503501003E-2</v>
      </c>
      <c r="E380">
        <v>1781.37</v>
      </c>
      <c r="F380" s="111">
        <f t="shared" si="25"/>
        <v>-3.6356110902918E-3</v>
      </c>
    </row>
    <row r="381" spans="2:6">
      <c r="B381" s="107">
        <v>41597</v>
      </c>
      <c r="C381">
        <v>66.422389999999993</v>
      </c>
      <c r="D381" s="109">
        <f t="shared" si="24"/>
        <v>-1.2379897405397406E-2</v>
      </c>
      <c r="E381">
        <v>1787.87</v>
      </c>
      <c r="F381" s="111">
        <f t="shared" si="25"/>
        <v>-2.0429632429884562E-3</v>
      </c>
    </row>
    <row r="382" spans="2:6">
      <c r="B382" s="107">
        <v>41596</v>
      </c>
      <c r="C382">
        <v>67.254999999999995</v>
      </c>
      <c r="D382" s="109">
        <f t="shared" si="24"/>
        <v>-1.984288047125669E-2</v>
      </c>
      <c r="E382">
        <v>1791.5300299999999</v>
      </c>
      <c r="F382" s="111">
        <f t="shared" si="25"/>
        <v>-3.6981947386192171E-3</v>
      </c>
    </row>
    <row r="383" spans="2:6">
      <c r="B383" s="107">
        <v>41593</v>
      </c>
      <c r="C383">
        <v>68.616550000000004</v>
      </c>
      <c r="D383" s="109">
        <f t="shared" si="24"/>
        <v>-1.5678588214066318E-3</v>
      </c>
      <c r="E383">
        <v>1798.1800499999999</v>
      </c>
      <c r="F383" s="111">
        <f t="shared" si="25"/>
        <v>4.2220292412684136E-3</v>
      </c>
    </row>
    <row r="384" spans="2:6">
      <c r="B384" s="107">
        <v>41592</v>
      </c>
      <c r="C384">
        <v>68.724299999999999</v>
      </c>
      <c r="D384" s="109">
        <f t="shared" si="24"/>
        <v>3.7194592697522158E-3</v>
      </c>
      <c r="E384">
        <v>1790.62</v>
      </c>
      <c r="F384" s="111">
        <f t="shared" si="25"/>
        <v>4.8372615039281091E-3</v>
      </c>
    </row>
    <row r="385" spans="2:6">
      <c r="B385" s="107">
        <v>41591</v>
      </c>
      <c r="C385">
        <v>68.469629999999995</v>
      </c>
      <c r="D385" s="109">
        <f t="shared" si="24"/>
        <v>1.1724064253616962E-2</v>
      </c>
      <c r="E385">
        <v>1782</v>
      </c>
      <c r="F385" s="111">
        <f t="shared" si="25"/>
        <v>8.0953450467676595E-3</v>
      </c>
    </row>
    <row r="386" spans="2:6">
      <c r="B386" s="107">
        <v>41590</v>
      </c>
      <c r="C386">
        <v>67.676190000000005</v>
      </c>
      <c r="D386" s="109">
        <f t="shared" si="24"/>
        <v>2.0303806419573957E-3</v>
      </c>
      <c r="E386">
        <v>1767.68994</v>
      </c>
      <c r="F386" s="111">
        <f t="shared" si="25"/>
        <v>-2.3703897963734759E-3</v>
      </c>
    </row>
    <row r="387" spans="2:6">
      <c r="B387" s="107">
        <v>41589</v>
      </c>
      <c r="C387">
        <v>67.539060000000006</v>
      </c>
      <c r="D387" s="109">
        <f t="shared" si="24"/>
        <v>1.3225370472245665E-2</v>
      </c>
      <c r="E387">
        <v>1771.8900100000001</v>
      </c>
      <c r="F387" s="111">
        <f t="shared" si="25"/>
        <v>7.2292600133818839E-4</v>
      </c>
    </row>
    <row r="388" spans="2:6">
      <c r="B388" s="107">
        <v>41586</v>
      </c>
      <c r="C388">
        <v>66.657489999999996</v>
      </c>
      <c r="D388" s="109">
        <f t="shared" si="24"/>
        <v>1.7190029575310999E-2</v>
      </c>
      <c r="E388">
        <v>1770.6099899999999</v>
      </c>
      <c r="F388" s="111">
        <f t="shared" si="25"/>
        <v>1.3427564737686283E-2</v>
      </c>
    </row>
    <row r="389" spans="2:6">
      <c r="B389" s="107">
        <v>41585</v>
      </c>
      <c r="C389">
        <v>65.531009999999995</v>
      </c>
      <c r="D389" s="109">
        <f t="shared" si="24"/>
        <v>-1.7909646981950914E-2</v>
      </c>
      <c r="E389">
        <v>1747.15002</v>
      </c>
      <c r="F389" s="111">
        <f t="shared" si="25"/>
        <v>-1.3182774334691377E-2</v>
      </c>
    </row>
    <row r="390" spans="2:6">
      <c r="B390" s="107">
        <v>41584</v>
      </c>
      <c r="C390">
        <v>66.726050000000001</v>
      </c>
      <c r="D390" s="109">
        <f t="shared" si="24"/>
        <v>-1.2467357176315245E-2</v>
      </c>
      <c r="E390">
        <v>1770.48999</v>
      </c>
      <c r="F390" s="111">
        <f t="shared" si="25"/>
        <v>4.2655406092934932E-3</v>
      </c>
    </row>
    <row r="391" spans="2:6">
      <c r="B391" s="107">
        <v>41583</v>
      </c>
      <c r="C391">
        <v>67.568449999999999</v>
      </c>
      <c r="D391" s="109">
        <f t="shared" si="24"/>
        <v>-1.1464610879434865E-2</v>
      </c>
      <c r="E391">
        <v>1762.9699700000001</v>
      </c>
      <c r="F391" s="111">
        <f t="shared" si="25"/>
        <v>-2.8055861146767851E-3</v>
      </c>
    </row>
    <row r="392" spans="2:6">
      <c r="B392" s="107">
        <v>41582</v>
      </c>
      <c r="C392">
        <v>68.352080000000001</v>
      </c>
      <c r="D392" s="109">
        <f t="shared" si="24"/>
        <v>1.1744314014563653E-2</v>
      </c>
      <c r="E392">
        <v>1767.9300499999999</v>
      </c>
      <c r="F392" s="111">
        <f t="shared" si="25"/>
        <v>3.5705592313379974E-3</v>
      </c>
    </row>
    <row r="393" spans="2:6">
      <c r="B393" s="107">
        <v>41579</v>
      </c>
      <c r="C393">
        <v>67.55865</v>
      </c>
      <c r="D393" s="109">
        <f t="shared" ref="D393:D456" si="26">(C393-C394)/C394</f>
        <v>-7.6259797428853745E-3</v>
      </c>
      <c r="E393">
        <v>1761.6400100000001</v>
      </c>
      <c r="F393" s="111">
        <f t="shared" ref="F393:F456" si="27">(E393-E394)/E394</f>
        <v>2.9034180171605907E-3</v>
      </c>
    </row>
    <row r="394" spans="2:6">
      <c r="B394" s="107">
        <v>41578</v>
      </c>
      <c r="C394">
        <v>68.077809999999999</v>
      </c>
      <c r="D394" s="109">
        <f t="shared" si="26"/>
        <v>-1.9385709200582047E-3</v>
      </c>
      <c r="E394">
        <v>1756.5400400000001</v>
      </c>
      <c r="F394" s="111">
        <f t="shared" si="27"/>
        <v>-3.8393814868837822E-3</v>
      </c>
    </row>
    <row r="395" spans="2:6">
      <c r="B395" s="107">
        <v>41577</v>
      </c>
      <c r="C395">
        <v>68.210040000000006</v>
      </c>
      <c r="D395" s="109">
        <f t="shared" si="26"/>
        <v>-1.3276993281289506E-2</v>
      </c>
      <c r="E395">
        <v>1763.31006</v>
      </c>
      <c r="F395" s="111">
        <f t="shared" si="27"/>
        <v>-4.8759221444149275E-3</v>
      </c>
    </row>
    <row r="396" spans="2:6">
      <c r="B396" s="107">
        <v>41576</v>
      </c>
      <c r="C396">
        <v>69.127849999999995</v>
      </c>
      <c r="D396" s="109">
        <f t="shared" si="26"/>
        <v>8.2598786433327118E-3</v>
      </c>
      <c r="E396">
        <v>1771.9499499999999</v>
      </c>
      <c r="F396" s="111">
        <f t="shared" si="27"/>
        <v>5.5841917109839545E-3</v>
      </c>
    </row>
    <row r="397" spans="2:6">
      <c r="B397" s="107">
        <v>41575</v>
      </c>
      <c r="C397">
        <v>68.561539999999994</v>
      </c>
      <c r="D397" s="109">
        <f t="shared" si="26"/>
        <v>1.7386290048297882E-2</v>
      </c>
      <c r="E397">
        <v>1762.1099899999999</v>
      </c>
      <c r="F397" s="111">
        <f t="shared" si="27"/>
        <v>1.3297021618768083E-3</v>
      </c>
    </row>
    <row r="398" spans="2:6">
      <c r="B398" s="107">
        <v>41572</v>
      </c>
      <c r="C398">
        <v>67.389880000000005</v>
      </c>
      <c r="D398" s="109">
        <f t="shared" si="26"/>
        <v>-5.618949079454324E-3</v>
      </c>
      <c r="E398">
        <v>1759.7700199999999</v>
      </c>
      <c r="F398" s="111">
        <f t="shared" si="27"/>
        <v>4.3948416557226316E-3</v>
      </c>
    </row>
    <row r="399" spans="2:6">
      <c r="B399" s="107">
        <v>41571</v>
      </c>
      <c r="C399">
        <v>67.770679999999999</v>
      </c>
      <c r="D399" s="109">
        <f t="shared" si="26"/>
        <v>1.7145567273966211E-2</v>
      </c>
      <c r="E399">
        <v>1752.0699500000001</v>
      </c>
      <c r="F399" s="111">
        <f t="shared" si="27"/>
        <v>3.2581396946826883E-3</v>
      </c>
    </row>
    <row r="400" spans="2:6">
      <c r="B400" s="107">
        <v>41570</v>
      </c>
      <c r="C400">
        <v>66.628299999999996</v>
      </c>
      <c r="D400" s="109">
        <f t="shared" si="26"/>
        <v>-1.5580029195009728E-2</v>
      </c>
      <c r="E400">
        <v>1746.38</v>
      </c>
      <c r="F400" s="111">
        <f t="shared" si="27"/>
        <v>-4.72455778637439E-3</v>
      </c>
    </row>
    <row r="401" spans="2:6">
      <c r="B401" s="107">
        <v>41569</v>
      </c>
      <c r="C401">
        <v>67.6828</v>
      </c>
      <c r="D401" s="109">
        <f t="shared" si="26"/>
        <v>-5.5944750481829114E-3</v>
      </c>
      <c r="E401">
        <v>1754.67004</v>
      </c>
      <c r="F401" s="111">
        <f t="shared" si="27"/>
        <v>5.7375132277203405E-3</v>
      </c>
    </row>
    <row r="402" spans="2:6">
      <c r="B402" s="107">
        <v>41568</v>
      </c>
      <c r="C402">
        <v>68.063580000000002</v>
      </c>
      <c r="D402" s="109">
        <f t="shared" si="26"/>
        <v>1.425847835850765E-2</v>
      </c>
      <c r="E402">
        <v>1744.66003</v>
      </c>
      <c r="F402" s="111">
        <f t="shared" si="27"/>
        <v>9.1734021209519126E-5</v>
      </c>
    </row>
    <row r="403" spans="2:6">
      <c r="B403" s="107">
        <v>41565</v>
      </c>
      <c r="C403">
        <v>67.106740000000002</v>
      </c>
      <c r="D403" s="109">
        <f t="shared" si="26"/>
        <v>3.3578460982719924E-3</v>
      </c>
      <c r="E403">
        <v>1744.5</v>
      </c>
      <c r="F403" s="111">
        <f t="shared" si="27"/>
        <v>6.5487579661453422E-3</v>
      </c>
    </row>
    <row r="404" spans="2:6">
      <c r="B404" s="107">
        <v>41564</v>
      </c>
      <c r="C404">
        <v>66.882159999999999</v>
      </c>
      <c r="D404" s="109">
        <f t="shared" si="26"/>
        <v>8.8338040416913732E-2</v>
      </c>
      <c r="E404">
        <v>1733.15002</v>
      </c>
      <c r="F404" s="111">
        <f t="shared" si="27"/>
        <v>6.7439500274416794E-3</v>
      </c>
    </row>
    <row r="405" spans="2:6">
      <c r="B405" s="107">
        <v>41563</v>
      </c>
      <c r="C405">
        <v>61.453479999999999</v>
      </c>
      <c r="D405" s="109">
        <f t="shared" si="26"/>
        <v>3.9879508663540784E-3</v>
      </c>
      <c r="E405">
        <v>1721.5400400000001</v>
      </c>
      <c r="F405" s="111">
        <f t="shared" si="27"/>
        <v>1.3827532107433272E-2</v>
      </c>
    </row>
    <row r="406" spans="2:6">
      <c r="B406" s="107">
        <v>41562</v>
      </c>
      <c r="C406">
        <v>61.209380000000003</v>
      </c>
      <c r="D406" s="109">
        <f t="shared" si="26"/>
        <v>-5.3944209227744467E-3</v>
      </c>
      <c r="E406">
        <v>1698.06006</v>
      </c>
      <c r="F406" s="111">
        <f t="shared" si="27"/>
        <v>-7.0637198880576174E-3</v>
      </c>
    </row>
    <row r="407" spans="2:6">
      <c r="B407" s="107">
        <v>41561</v>
      </c>
      <c r="C407">
        <v>61.541359999999997</v>
      </c>
      <c r="D407" s="109">
        <f t="shared" si="26"/>
        <v>1.3833229601958177E-2</v>
      </c>
      <c r="E407">
        <v>1710.1400100000001</v>
      </c>
      <c r="F407" s="111">
        <f t="shared" si="27"/>
        <v>4.0747182971677112E-3</v>
      </c>
    </row>
    <row r="408" spans="2:6">
      <c r="B408" s="107">
        <v>41558</v>
      </c>
      <c r="C408">
        <v>60.701659999999997</v>
      </c>
      <c r="D408" s="109">
        <f t="shared" si="26"/>
        <v>-1.4456434445795363E-3</v>
      </c>
      <c r="E408">
        <v>1703.1999499999999</v>
      </c>
      <c r="F408" s="111">
        <f t="shared" si="27"/>
        <v>6.286270278645192E-3</v>
      </c>
    </row>
    <row r="409" spans="2:6">
      <c r="B409" s="107">
        <v>41557</v>
      </c>
      <c r="C409">
        <v>60.789540000000002</v>
      </c>
      <c r="D409" s="109">
        <f t="shared" si="26"/>
        <v>1.2687087817077277E-2</v>
      </c>
      <c r="E409">
        <v>1692.56006</v>
      </c>
      <c r="F409" s="111">
        <f t="shared" si="27"/>
        <v>2.1830499615666497E-2</v>
      </c>
    </row>
    <row r="410" spans="2:6">
      <c r="B410" s="107">
        <v>41556</v>
      </c>
      <c r="C410">
        <v>60.02796</v>
      </c>
      <c r="D410" s="109">
        <f t="shared" si="26"/>
        <v>5.23214065623145E-3</v>
      </c>
      <c r="E410">
        <v>1656.40002</v>
      </c>
      <c r="F410" s="111">
        <f t="shared" si="27"/>
        <v>5.7390439378737855E-4</v>
      </c>
    </row>
    <row r="411" spans="2:6">
      <c r="B411" s="107">
        <v>41555</v>
      </c>
      <c r="C411">
        <v>59.715519999999998</v>
      </c>
      <c r="D411" s="109">
        <f t="shared" si="26"/>
        <v>-1.7983337025216806E-2</v>
      </c>
      <c r="E411">
        <v>1655.4499499999999</v>
      </c>
      <c r="F411" s="111">
        <f t="shared" si="27"/>
        <v>-1.2332082428465712E-2</v>
      </c>
    </row>
    <row r="412" spans="2:6">
      <c r="B412" s="107">
        <v>41554</v>
      </c>
      <c r="C412">
        <v>60.809069999999998</v>
      </c>
      <c r="D412" s="109">
        <f t="shared" si="26"/>
        <v>-6.5400106977068643E-3</v>
      </c>
      <c r="E412">
        <v>1676.12</v>
      </c>
      <c r="F412" s="111">
        <f t="shared" si="27"/>
        <v>-8.5063590653653414E-3</v>
      </c>
    </row>
    <row r="413" spans="2:6">
      <c r="B413" s="107">
        <v>41551</v>
      </c>
      <c r="C413">
        <v>61.209380000000003</v>
      </c>
      <c r="D413" s="109">
        <f t="shared" si="26"/>
        <v>1.8686877512521526E-2</v>
      </c>
      <c r="E413">
        <v>1690.5</v>
      </c>
      <c r="F413" s="111">
        <f t="shared" si="27"/>
        <v>7.0532268526105274E-3</v>
      </c>
    </row>
    <row r="414" spans="2:6">
      <c r="B414" s="107">
        <v>41550</v>
      </c>
      <c r="C414">
        <v>60.086550000000003</v>
      </c>
      <c r="D414" s="109">
        <f t="shared" si="26"/>
        <v>9.7604516295410272E-4</v>
      </c>
      <c r="E414">
        <v>1678.66003</v>
      </c>
      <c r="F414" s="111">
        <f t="shared" si="27"/>
        <v>-8.9794199082573554E-3</v>
      </c>
    </row>
    <row r="415" spans="2:6">
      <c r="B415" s="107">
        <v>41549</v>
      </c>
      <c r="C415">
        <v>60.02796</v>
      </c>
      <c r="D415" s="109">
        <f t="shared" si="26"/>
        <v>2.3472641508468863E-2</v>
      </c>
      <c r="E415">
        <v>1693.87</v>
      </c>
      <c r="F415" s="111">
        <f t="shared" si="27"/>
        <v>-6.6666666666673105E-4</v>
      </c>
    </row>
    <row r="416" spans="2:6">
      <c r="B416" s="107">
        <v>41548</v>
      </c>
      <c r="C416">
        <v>58.651260000000001</v>
      </c>
      <c r="D416" s="109">
        <f t="shared" si="26"/>
        <v>9.4101161545347388E-3</v>
      </c>
      <c r="E416">
        <v>1695</v>
      </c>
      <c r="F416" s="111">
        <f t="shared" si="27"/>
        <v>7.9985427730800782E-3</v>
      </c>
    </row>
    <row r="417" spans="2:6">
      <c r="B417" s="107">
        <v>41547</v>
      </c>
      <c r="C417">
        <v>58.104489999999998</v>
      </c>
      <c r="D417" s="109">
        <f t="shared" si="26"/>
        <v>-7.1737685847920113E-3</v>
      </c>
      <c r="E417">
        <v>1681.5500500000001</v>
      </c>
      <c r="F417" s="111">
        <f t="shared" si="27"/>
        <v>-6.02923008718779E-3</v>
      </c>
    </row>
    <row r="418" spans="2:6">
      <c r="B418" s="107">
        <v>41544</v>
      </c>
      <c r="C418">
        <v>58.524329999999999</v>
      </c>
      <c r="D418" s="109">
        <f t="shared" si="26"/>
        <v>-2.1641478801990195E-3</v>
      </c>
      <c r="E418">
        <v>1691.75</v>
      </c>
      <c r="F418" s="111">
        <f t="shared" si="27"/>
        <v>-4.0737988173382821E-3</v>
      </c>
    </row>
    <row r="419" spans="2:6">
      <c r="B419" s="107">
        <v>41543</v>
      </c>
      <c r="C419">
        <v>58.651260000000001</v>
      </c>
      <c r="D419" s="109">
        <f t="shared" si="26"/>
        <v>-3.6491309849629836E-3</v>
      </c>
      <c r="E419">
        <v>1698.67004</v>
      </c>
      <c r="F419" s="111">
        <f t="shared" si="27"/>
        <v>3.4854232590910612E-3</v>
      </c>
    </row>
    <row r="420" spans="2:6">
      <c r="B420" s="107">
        <v>41542</v>
      </c>
      <c r="C420">
        <v>58.866070000000001</v>
      </c>
      <c r="D420" s="109">
        <f t="shared" si="26"/>
        <v>3.1615245596710311E-3</v>
      </c>
      <c r="E420">
        <v>1692.7700199999999</v>
      </c>
      <c r="F420" s="111">
        <f t="shared" si="27"/>
        <v>-2.7394633564005997E-3</v>
      </c>
    </row>
    <row r="421" spans="2:6">
      <c r="B421" s="107">
        <v>41541</v>
      </c>
      <c r="C421">
        <v>58.680549999999997</v>
      </c>
      <c r="D421" s="109">
        <f t="shared" si="26"/>
        <v>1.1103598550833902E-2</v>
      </c>
      <c r="E421">
        <v>1697.42004</v>
      </c>
      <c r="F421" s="111">
        <f t="shared" si="27"/>
        <v>-2.5971478387594939E-3</v>
      </c>
    </row>
    <row r="422" spans="2:6">
      <c r="B422" s="107">
        <v>41540</v>
      </c>
      <c r="C422">
        <v>58.036140000000003</v>
      </c>
      <c r="D422" s="109">
        <f t="shared" si="26"/>
        <v>-1.8471527533410999E-3</v>
      </c>
      <c r="E422">
        <v>1701.83997</v>
      </c>
      <c r="F422" s="111">
        <f t="shared" si="27"/>
        <v>-4.7195816495678505E-3</v>
      </c>
    </row>
    <row r="423" spans="2:6">
      <c r="B423" s="107">
        <v>41537</v>
      </c>
      <c r="C423">
        <v>58.143540000000002</v>
      </c>
      <c r="D423" s="109">
        <f t="shared" si="26"/>
        <v>-7.8307319626964317E-3</v>
      </c>
      <c r="E423">
        <v>1709.91003</v>
      </c>
      <c r="F423" s="111">
        <f t="shared" si="27"/>
        <v>-7.2168910996125738E-3</v>
      </c>
    </row>
    <row r="424" spans="2:6">
      <c r="B424" s="107">
        <v>41536</v>
      </c>
      <c r="C424">
        <v>58.602440000000001</v>
      </c>
      <c r="D424" s="109">
        <f t="shared" si="26"/>
        <v>-5.3034131099964433E-3</v>
      </c>
      <c r="E424">
        <v>1722.33997</v>
      </c>
      <c r="F424" s="111">
        <f t="shared" si="27"/>
        <v>-1.8429516685642034E-3</v>
      </c>
    </row>
    <row r="425" spans="2:6">
      <c r="B425" s="107">
        <v>41535</v>
      </c>
      <c r="C425">
        <v>58.91489</v>
      </c>
      <c r="D425" s="109">
        <f t="shared" si="26"/>
        <v>-1.8196515248730333E-3</v>
      </c>
      <c r="E425">
        <v>1725.5200199999999</v>
      </c>
      <c r="F425" s="111">
        <f t="shared" si="27"/>
        <v>1.217767303211199E-2</v>
      </c>
    </row>
    <row r="426" spans="2:6">
      <c r="B426" s="107">
        <v>41534</v>
      </c>
      <c r="C426">
        <v>59.022289999999998</v>
      </c>
      <c r="D426" s="109">
        <f t="shared" si="26"/>
        <v>-3.2976699314072478E-3</v>
      </c>
      <c r="E426">
        <v>1704.76001</v>
      </c>
      <c r="F426" s="111">
        <f t="shared" si="27"/>
        <v>4.2177368545916255E-3</v>
      </c>
    </row>
    <row r="427" spans="2:6">
      <c r="B427" s="107">
        <v>41533</v>
      </c>
      <c r="C427">
        <v>59.217570000000002</v>
      </c>
      <c r="D427" s="109">
        <f t="shared" si="26"/>
        <v>-3.6141920640216227E-3</v>
      </c>
      <c r="E427">
        <v>1697.59998</v>
      </c>
      <c r="F427" s="111">
        <f t="shared" si="27"/>
        <v>5.6931557988681705E-3</v>
      </c>
    </row>
    <row r="428" spans="2:6">
      <c r="B428" s="107">
        <v>41530</v>
      </c>
      <c r="C428">
        <v>59.432369999999999</v>
      </c>
      <c r="D428" s="109">
        <f t="shared" si="26"/>
        <v>1.3149104269052251E-2</v>
      </c>
      <c r="E428">
        <v>1687.98999</v>
      </c>
      <c r="F428" s="111">
        <f t="shared" si="27"/>
        <v>2.7146819518674985E-3</v>
      </c>
    </row>
    <row r="429" spans="2:6">
      <c r="B429" s="107">
        <v>41529</v>
      </c>
      <c r="C429">
        <v>58.661029999999997</v>
      </c>
      <c r="D429" s="109">
        <f t="shared" si="26"/>
        <v>-1.0051028897699555E-2</v>
      </c>
      <c r="E429">
        <v>1683.42004</v>
      </c>
      <c r="F429" s="111">
        <f t="shared" si="27"/>
        <v>-3.3804147697336128E-3</v>
      </c>
    </row>
    <row r="430" spans="2:6">
      <c r="B430" s="107">
        <v>41528</v>
      </c>
      <c r="C430">
        <v>59.256619999999998</v>
      </c>
      <c r="D430" s="109">
        <f t="shared" si="26"/>
        <v>3.4722186942330209E-3</v>
      </c>
      <c r="E430">
        <v>1689.13</v>
      </c>
      <c r="F430" s="111">
        <f t="shared" si="27"/>
        <v>3.0522806136158058E-3</v>
      </c>
    </row>
    <row r="431" spans="2:6">
      <c r="B431" s="107">
        <v>41527</v>
      </c>
      <c r="C431">
        <v>59.051580000000001</v>
      </c>
      <c r="D431" s="109">
        <f t="shared" si="26"/>
        <v>1.9726913905404677E-2</v>
      </c>
      <c r="E431">
        <v>1683.98999</v>
      </c>
      <c r="F431" s="111">
        <f t="shared" si="27"/>
        <v>7.3457898163148622E-3</v>
      </c>
    </row>
    <row r="432" spans="2:6">
      <c r="B432" s="107">
        <v>41526</v>
      </c>
      <c r="C432">
        <v>57.909210000000002</v>
      </c>
      <c r="D432" s="109">
        <f t="shared" si="26"/>
        <v>1.6626663473901654E-2</v>
      </c>
      <c r="E432">
        <v>1671.7099599999999</v>
      </c>
      <c r="F432" s="111">
        <f t="shared" si="27"/>
        <v>9.9928826647925177E-3</v>
      </c>
    </row>
    <row r="433" spans="2:6">
      <c r="B433" s="107">
        <v>41523</v>
      </c>
      <c r="C433">
        <v>56.962119999999999</v>
      </c>
      <c r="D433" s="109">
        <f t="shared" si="26"/>
        <v>6.3825885331071208E-3</v>
      </c>
      <c r="E433">
        <v>1655.17004</v>
      </c>
      <c r="F433" s="111">
        <f t="shared" si="27"/>
        <v>5.4426373454454451E-5</v>
      </c>
    </row>
    <row r="434" spans="2:6">
      <c r="B434" s="107">
        <v>41522</v>
      </c>
      <c r="C434">
        <v>56.600859999999997</v>
      </c>
      <c r="D434" s="109">
        <f t="shared" si="26"/>
        <v>1.4525599085291774E-2</v>
      </c>
      <c r="E434">
        <v>1655.07996</v>
      </c>
      <c r="F434" s="111">
        <f t="shared" si="27"/>
        <v>1.2098628308336639E-3</v>
      </c>
    </row>
    <row r="435" spans="2:6">
      <c r="B435" s="107">
        <v>41521</v>
      </c>
      <c r="C435">
        <v>55.790469999999999</v>
      </c>
      <c r="D435" s="109">
        <f t="shared" si="26"/>
        <v>3.3086257624247536E-2</v>
      </c>
      <c r="E435">
        <v>1653.07996</v>
      </c>
      <c r="F435" s="111">
        <f t="shared" si="27"/>
        <v>8.1169553276746065E-3</v>
      </c>
    </row>
    <row r="436" spans="2:6">
      <c r="B436" s="107">
        <v>41520</v>
      </c>
      <c r="C436">
        <v>54.003689999999999</v>
      </c>
      <c r="D436" s="109">
        <f t="shared" si="26"/>
        <v>2.3559323166426776E-3</v>
      </c>
      <c r="E436">
        <v>1639.7700199999999</v>
      </c>
      <c r="F436" s="111">
        <f t="shared" si="27"/>
        <v>4.1642223218592489E-3</v>
      </c>
    </row>
    <row r="437" spans="2:6">
      <c r="B437" s="107">
        <v>41516</v>
      </c>
      <c r="C437">
        <v>53.876759999999997</v>
      </c>
      <c r="D437" s="109">
        <f t="shared" si="26"/>
        <v>-1.1996311084369927E-2</v>
      </c>
      <c r="E437">
        <v>1632.9699700000001</v>
      </c>
      <c r="F437" s="111">
        <f t="shared" si="27"/>
        <v>-3.1743163853734432E-3</v>
      </c>
    </row>
    <row r="438" spans="2:6">
      <c r="B438" s="107">
        <v>41515</v>
      </c>
      <c r="C438">
        <v>54.530929999999998</v>
      </c>
      <c r="D438" s="109">
        <f t="shared" si="26"/>
        <v>1.5085291398783373E-2</v>
      </c>
      <c r="E438">
        <v>1638.17004</v>
      </c>
      <c r="F438" s="111">
        <f t="shared" si="27"/>
        <v>1.963399764236466E-3</v>
      </c>
    </row>
    <row r="439" spans="2:6">
      <c r="B439" s="107">
        <v>41514</v>
      </c>
      <c r="C439">
        <v>53.72054</v>
      </c>
      <c r="D439" s="109">
        <f t="shared" si="26"/>
        <v>1.8323188115688824E-2</v>
      </c>
      <c r="E439">
        <v>1634.9599599999999</v>
      </c>
      <c r="F439" s="111">
        <f t="shared" si="27"/>
        <v>2.7476448990191474E-3</v>
      </c>
    </row>
    <row r="440" spans="2:6">
      <c r="B440" s="107">
        <v>41513</v>
      </c>
      <c r="C440">
        <v>52.753920000000001</v>
      </c>
      <c r="D440" s="109">
        <f t="shared" si="26"/>
        <v>-4.6080386935292157E-2</v>
      </c>
      <c r="E440">
        <v>1630.4799800000001</v>
      </c>
      <c r="F440" s="111">
        <f t="shared" si="27"/>
        <v>-1.5874195441624096E-2</v>
      </c>
    </row>
    <row r="441" spans="2:6">
      <c r="B441" s="107">
        <v>41512</v>
      </c>
      <c r="C441">
        <v>55.30227</v>
      </c>
      <c r="D441" s="109">
        <f t="shared" si="26"/>
        <v>-3.1679212776519554E-3</v>
      </c>
      <c r="E441">
        <v>1656.7800299999999</v>
      </c>
      <c r="F441" s="111">
        <f t="shared" si="27"/>
        <v>-4.0396573489630914E-3</v>
      </c>
    </row>
    <row r="442" spans="2:6">
      <c r="B442" s="107">
        <v>41509</v>
      </c>
      <c r="C442">
        <v>55.478020000000001</v>
      </c>
      <c r="D442" s="109">
        <f t="shared" si="26"/>
        <v>-4.2062479492880221E-3</v>
      </c>
      <c r="E442">
        <v>1663.5</v>
      </c>
      <c r="F442" s="111">
        <f t="shared" si="27"/>
        <v>3.9470114896440166E-3</v>
      </c>
    </row>
    <row r="443" spans="2:6">
      <c r="B443" s="107">
        <v>41508</v>
      </c>
      <c r="C443">
        <v>55.712359999999997</v>
      </c>
      <c r="D443" s="109">
        <f t="shared" si="26"/>
        <v>1.8383129811569594E-2</v>
      </c>
      <c r="E443">
        <v>1656.9599599999999</v>
      </c>
      <c r="F443" s="111">
        <f t="shared" si="27"/>
        <v>8.6193751941995942E-3</v>
      </c>
    </row>
    <row r="444" spans="2:6">
      <c r="B444" s="107">
        <v>41507</v>
      </c>
      <c r="C444">
        <v>54.706679999999999</v>
      </c>
      <c r="D444" s="109">
        <f t="shared" si="26"/>
        <v>7.0093651479984503E-3</v>
      </c>
      <c r="E444">
        <v>1642.8000500000001</v>
      </c>
      <c r="F444" s="111">
        <f t="shared" si="27"/>
        <v>-5.7796048752334567E-3</v>
      </c>
    </row>
    <row r="445" spans="2:6">
      <c r="B445" s="107">
        <v>41506</v>
      </c>
      <c r="C445">
        <v>54.325890000000001</v>
      </c>
      <c r="D445" s="109">
        <f t="shared" si="26"/>
        <v>7.9708640427754978E-3</v>
      </c>
      <c r="E445">
        <v>1652.34998</v>
      </c>
      <c r="F445" s="111">
        <f t="shared" si="27"/>
        <v>3.8211971439243465E-3</v>
      </c>
    </row>
    <row r="446" spans="2:6">
      <c r="B446" s="107">
        <v>41505</v>
      </c>
      <c r="C446">
        <v>53.89629</v>
      </c>
      <c r="D446" s="109">
        <f t="shared" si="26"/>
        <v>-1.0929885333374465E-2</v>
      </c>
      <c r="E446">
        <v>1646.06006</v>
      </c>
      <c r="F446" s="111">
        <f t="shared" si="27"/>
        <v>-5.9003039176800534E-3</v>
      </c>
    </row>
    <row r="447" spans="2:6">
      <c r="B447" s="107">
        <v>41502</v>
      </c>
      <c r="C447">
        <v>54.491880000000002</v>
      </c>
      <c r="D447" s="109">
        <f t="shared" si="26"/>
        <v>-2.3237420082462151E-3</v>
      </c>
      <c r="E447">
        <v>1655.82996</v>
      </c>
      <c r="F447" s="111">
        <f t="shared" si="27"/>
        <v>-3.3045952406699471E-3</v>
      </c>
    </row>
    <row r="448" spans="2:6">
      <c r="B448" s="107">
        <v>41501</v>
      </c>
      <c r="C448">
        <v>54.6188</v>
      </c>
      <c r="D448" s="109">
        <f t="shared" si="26"/>
        <v>-3.3183664091383298E-2</v>
      </c>
      <c r="E448">
        <v>1661.3199500000001</v>
      </c>
      <c r="F448" s="111">
        <f t="shared" si="27"/>
        <v>-1.4281596459682357E-2</v>
      </c>
    </row>
    <row r="449" spans="2:6">
      <c r="B449" s="107">
        <v>41500</v>
      </c>
      <c r="C449">
        <v>56.493459999999999</v>
      </c>
      <c r="D449" s="109">
        <f t="shared" si="26"/>
        <v>-8.907184026716624E-3</v>
      </c>
      <c r="E449">
        <v>1685.3900100000001</v>
      </c>
      <c r="F449" s="111">
        <f t="shared" si="27"/>
        <v>-5.176618409537103E-3</v>
      </c>
    </row>
    <row r="450" spans="2:6">
      <c r="B450" s="107">
        <v>41499</v>
      </c>
      <c r="C450">
        <v>57.001179999999998</v>
      </c>
      <c r="D450" s="109">
        <f t="shared" si="26"/>
        <v>2.0986388562896398E-2</v>
      </c>
      <c r="E450">
        <v>1694.16003</v>
      </c>
      <c r="F450" s="111">
        <f t="shared" si="27"/>
        <v>2.7760540780727241E-3</v>
      </c>
    </row>
    <row r="451" spans="2:6">
      <c r="B451" s="107">
        <v>41498</v>
      </c>
      <c r="C451">
        <v>55.829520000000002</v>
      </c>
      <c r="D451" s="109">
        <f t="shared" si="26"/>
        <v>-1.4307929813460088E-2</v>
      </c>
      <c r="E451">
        <v>1689.4699700000001</v>
      </c>
      <c r="F451" s="111">
        <f t="shared" si="27"/>
        <v>-1.1529188219857375E-3</v>
      </c>
    </row>
    <row r="452" spans="2:6">
      <c r="B452" s="107">
        <v>41495</v>
      </c>
      <c r="C452">
        <v>56.639919999999996</v>
      </c>
      <c r="D452" s="109">
        <f t="shared" si="26"/>
        <v>-2.4075054850932723E-3</v>
      </c>
      <c r="E452">
        <v>1691.42004</v>
      </c>
      <c r="F452" s="111">
        <f t="shared" si="27"/>
        <v>-3.5699625747574923E-3</v>
      </c>
    </row>
    <row r="453" spans="2:6">
      <c r="B453" s="107">
        <v>41494</v>
      </c>
      <c r="C453">
        <v>56.776609999999998</v>
      </c>
      <c r="D453" s="109">
        <f t="shared" si="26"/>
        <v>2.3677424635858781E-2</v>
      </c>
      <c r="E453">
        <v>1697.4799800000001</v>
      </c>
      <c r="F453" s="111">
        <f t="shared" si="27"/>
        <v>3.8854521431870995E-3</v>
      </c>
    </row>
    <row r="454" spans="2:6">
      <c r="B454" s="107">
        <v>41493</v>
      </c>
      <c r="C454">
        <v>55.463380000000001</v>
      </c>
      <c r="D454" s="109">
        <f t="shared" si="26"/>
        <v>-1.263838420089815E-2</v>
      </c>
      <c r="E454">
        <v>1690.91003</v>
      </c>
      <c r="F454" s="111">
        <f t="shared" si="27"/>
        <v>-3.8058702581051187E-3</v>
      </c>
    </row>
    <row r="455" spans="2:6">
      <c r="B455" s="107">
        <v>41492</v>
      </c>
      <c r="C455">
        <v>56.173319999999997</v>
      </c>
      <c r="D455" s="109">
        <f t="shared" si="26"/>
        <v>5.921279537901572E-3</v>
      </c>
      <c r="E455">
        <v>1697.37</v>
      </c>
      <c r="F455" s="111">
        <f t="shared" si="27"/>
        <v>-5.7230279548073993E-3</v>
      </c>
    </row>
    <row r="456" spans="2:6">
      <c r="B456" s="107">
        <v>41491</v>
      </c>
      <c r="C456">
        <v>55.842660000000002</v>
      </c>
      <c r="D456" s="109">
        <f t="shared" si="26"/>
        <v>-1.5094405512386616E-2</v>
      </c>
      <c r="E456">
        <v>1707.1400100000001</v>
      </c>
      <c r="F456" s="111">
        <f t="shared" si="27"/>
        <v>-1.4798352552284867E-3</v>
      </c>
    </row>
    <row r="457" spans="2:6">
      <c r="B457" s="107">
        <v>41488</v>
      </c>
      <c r="C457">
        <v>56.69849</v>
      </c>
      <c r="D457" s="109">
        <f t="shared" ref="D457:D520" si="28">(C457-C458)/C458</f>
        <v>-2.0540281569066576E-3</v>
      </c>
      <c r="E457">
        <v>1709.67004</v>
      </c>
      <c r="F457" s="111">
        <f t="shared" ref="F457:F520" si="29">(E457-E458)/E458</f>
        <v>1.6404529929051896E-3</v>
      </c>
    </row>
    <row r="458" spans="2:6">
      <c r="B458" s="107">
        <v>41487</v>
      </c>
      <c r="C458">
        <v>56.815190000000001</v>
      </c>
      <c r="D458" s="109">
        <f t="shared" si="28"/>
        <v>5.9869212035626798E-2</v>
      </c>
      <c r="E458">
        <v>1706.87</v>
      </c>
      <c r="F458" s="111">
        <f t="shared" si="29"/>
        <v>1.2540573075647514E-2</v>
      </c>
    </row>
    <row r="459" spans="2:6">
      <c r="B459" s="107">
        <v>41486</v>
      </c>
      <c r="C459">
        <v>53.605849999999997</v>
      </c>
      <c r="D459" s="109">
        <f t="shared" si="28"/>
        <v>1.0819872133926533E-2</v>
      </c>
      <c r="E459">
        <v>1685.7299800000001</v>
      </c>
      <c r="F459" s="111">
        <f t="shared" si="29"/>
        <v>-1.3640893345998639E-4</v>
      </c>
    </row>
    <row r="460" spans="2:6">
      <c r="B460" s="107">
        <v>41485</v>
      </c>
      <c r="C460">
        <v>53.032049999999998</v>
      </c>
      <c r="D460" s="109">
        <f t="shared" si="28"/>
        <v>-1.5704136889604304E-2</v>
      </c>
      <c r="E460">
        <v>1685.9599599999999</v>
      </c>
      <c r="F460" s="111">
        <f t="shared" si="29"/>
        <v>3.7381403935872698E-4</v>
      </c>
    </row>
    <row r="461" spans="2:6">
      <c r="B461" s="107">
        <v>41484</v>
      </c>
      <c r="C461">
        <v>53.878160000000001</v>
      </c>
      <c r="D461" s="109">
        <f t="shared" si="28"/>
        <v>-2.8070036187046912E-2</v>
      </c>
      <c r="E461">
        <v>1685.32996</v>
      </c>
      <c r="F461" s="111">
        <f t="shared" si="29"/>
        <v>-3.7360328231486155E-3</v>
      </c>
    </row>
    <row r="462" spans="2:6">
      <c r="B462" s="107">
        <v>41481</v>
      </c>
      <c r="C462">
        <v>55.434199999999997</v>
      </c>
      <c r="D462" s="109">
        <f t="shared" si="28"/>
        <v>-5.847380707156076E-2</v>
      </c>
      <c r="E462">
        <v>1691.65002</v>
      </c>
      <c r="F462" s="111">
        <f t="shared" si="29"/>
        <v>8.2829167282948699E-4</v>
      </c>
    </row>
    <row r="463" spans="2:6">
      <c r="B463" s="107">
        <v>41480</v>
      </c>
      <c r="C463">
        <v>58.876959999999997</v>
      </c>
      <c r="D463" s="109">
        <f t="shared" si="28"/>
        <v>-3.1285905223923899E-3</v>
      </c>
      <c r="E463">
        <v>1690.25</v>
      </c>
      <c r="F463" s="111">
        <f t="shared" si="29"/>
        <v>2.5564730378236497E-3</v>
      </c>
    </row>
    <row r="464" spans="2:6">
      <c r="B464" s="107">
        <v>41479</v>
      </c>
      <c r="C464">
        <v>59.06174</v>
      </c>
      <c r="D464" s="109">
        <f t="shared" si="28"/>
        <v>-2.3319422191228966E-2</v>
      </c>
      <c r="E464">
        <v>1685.93994</v>
      </c>
      <c r="F464" s="111">
        <f t="shared" si="29"/>
        <v>-3.8112196136161876E-3</v>
      </c>
    </row>
    <row r="465" spans="2:6">
      <c r="B465" s="107">
        <v>41478</v>
      </c>
      <c r="C465">
        <v>60.471910000000001</v>
      </c>
      <c r="D465" s="109">
        <f t="shared" si="28"/>
        <v>-2.0015712961021271E-2</v>
      </c>
      <c r="E465">
        <v>1692.3900100000001</v>
      </c>
      <c r="F465" s="111">
        <f t="shared" si="29"/>
        <v>-1.8519400685576902E-3</v>
      </c>
    </row>
    <row r="466" spans="2:6">
      <c r="B466" s="107">
        <v>41477</v>
      </c>
      <c r="C466">
        <v>61.70702</v>
      </c>
      <c r="D466" s="109">
        <f t="shared" si="28"/>
        <v>1.1800315967163693E-2</v>
      </c>
      <c r="E466">
        <v>1695.5300299999999</v>
      </c>
      <c r="F466" s="111">
        <f t="shared" si="29"/>
        <v>2.0330242841637451E-3</v>
      </c>
    </row>
    <row r="467" spans="2:6">
      <c r="B467" s="107">
        <v>41474</v>
      </c>
      <c r="C467">
        <v>60.987349999999999</v>
      </c>
      <c r="D467" s="109">
        <f t="shared" si="28"/>
        <v>2.4673200061224289E-2</v>
      </c>
      <c r="E467">
        <v>1692.08997</v>
      </c>
      <c r="F467" s="111">
        <f t="shared" si="29"/>
        <v>1.6100499002587375E-3</v>
      </c>
    </row>
    <row r="468" spans="2:6">
      <c r="B468" s="107">
        <v>41473</v>
      </c>
      <c r="C468">
        <v>59.518830000000001</v>
      </c>
      <c r="D468" s="109">
        <f t="shared" si="28"/>
        <v>2.9609821757404869E-2</v>
      </c>
      <c r="E468">
        <v>1689.37</v>
      </c>
      <c r="F468" s="111">
        <f t="shared" si="29"/>
        <v>5.032970146534187E-3</v>
      </c>
    </row>
    <row r="469" spans="2:6">
      <c r="B469" s="107">
        <v>41472</v>
      </c>
      <c r="C469">
        <v>57.807169999999999</v>
      </c>
      <c r="D469" s="109">
        <f t="shared" si="28"/>
        <v>-1.0085451563305549E-3</v>
      </c>
      <c r="E469">
        <v>1680.91003</v>
      </c>
      <c r="F469" s="111">
        <f t="shared" si="29"/>
        <v>2.7740445827375195E-3</v>
      </c>
    </row>
    <row r="470" spans="2:6">
      <c r="B470" s="107">
        <v>41471</v>
      </c>
      <c r="C470">
        <v>57.86553</v>
      </c>
      <c r="D470" s="109">
        <f t="shared" si="28"/>
        <v>-2.9363722002520076E-2</v>
      </c>
      <c r="E470">
        <v>1676.26001</v>
      </c>
      <c r="F470" s="111">
        <f t="shared" si="29"/>
        <v>-3.7087607726597528E-3</v>
      </c>
    </row>
    <row r="471" spans="2:6">
      <c r="B471" s="107">
        <v>41470</v>
      </c>
      <c r="C471">
        <v>59.616079999999997</v>
      </c>
      <c r="D471" s="109">
        <f t="shared" si="28"/>
        <v>6.5681115071199534E-3</v>
      </c>
      <c r="E471">
        <v>1682.5</v>
      </c>
      <c r="F471" s="111">
        <f t="shared" si="29"/>
        <v>1.3748802709769952E-3</v>
      </c>
    </row>
    <row r="472" spans="2:6">
      <c r="B472" s="107">
        <v>41467</v>
      </c>
      <c r="C472">
        <v>59.227069999999998</v>
      </c>
      <c r="D472" s="109">
        <f t="shared" si="28"/>
        <v>1.9742728729323544E-3</v>
      </c>
      <c r="E472">
        <v>1680.18994</v>
      </c>
      <c r="F472" s="111">
        <f t="shared" si="29"/>
        <v>3.0864825126090418E-3</v>
      </c>
    </row>
    <row r="473" spans="2:6">
      <c r="B473" s="107">
        <v>41466</v>
      </c>
      <c r="C473">
        <v>59.110370000000003</v>
      </c>
      <c r="D473" s="109">
        <f t="shared" si="28"/>
        <v>1.5878261733354906E-2</v>
      </c>
      <c r="E473">
        <v>1675.0200199999999</v>
      </c>
      <c r="F473" s="111">
        <f t="shared" si="29"/>
        <v>1.3554247195362541E-2</v>
      </c>
    </row>
    <row r="474" spans="2:6">
      <c r="B474" s="107">
        <v>41465</v>
      </c>
      <c r="C474">
        <v>58.18647</v>
      </c>
      <c r="D474" s="109">
        <f t="shared" si="28"/>
        <v>8.3646038449317756E-4</v>
      </c>
      <c r="E474">
        <v>1652.62</v>
      </c>
      <c r="F474" s="111">
        <f t="shared" si="29"/>
        <v>1.8159315936349269E-4</v>
      </c>
    </row>
    <row r="475" spans="2:6">
      <c r="B475" s="107">
        <v>41464</v>
      </c>
      <c r="C475">
        <v>58.137839999999997</v>
      </c>
      <c r="D475" s="109">
        <f t="shared" si="28"/>
        <v>-3.9985444886900326E-3</v>
      </c>
      <c r="E475">
        <v>1652.3199500000001</v>
      </c>
      <c r="F475" s="111">
        <f t="shared" si="29"/>
        <v>7.2296735605787985E-3</v>
      </c>
    </row>
    <row r="476" spans="2:6">
      <c r="B476" s="107">
        <v>41463</v>
      </c>
      <c r="C476">
        <v>58.37124</v>
      </c>
      <c r="D476" s="109">
        <f t="shared" si="28"/>
        <v>-2.9430881466547491E-2</v>
      </c>
      <c r="E476">
        <v>1640.4599599999999</v>
      </c>
      <c r="F476" s="111">
        <f t="shared" si="29"/>
        <v>5.2515487854477615E-3</v>
      </c>
    </row>
    <row r="477" spans="2:6">
      <c r="B477" s="107">
        <v>41460</v>
      </c>
      <c r="C477">
        <v>60.141249999999999</v>
      </c>
      <c r="D477" s="109">
        <f t="shared" si="28"/>
        <v>7.0021529372407028E-3</v>
      </c>
      <c r="E477">
        <v>1631.8900100000001</v>
      </c>
      <c r="F477" s="111">
        <f t="shared" si="29"/>
        <v>1.0201731878562168E-2</v>
      </c>
    </row>
    <row r="478" spans="2:6">
      <c r="B478" s="107">
        <v>41458</v>
      </c>
      <c r="C478">
        <v>59.723059999999997</v>
      </c>
      <c r="D478" s="109">
        <f t="shared" si="28"/>
        <v>-2.9226292912031631E-3</v>
      </c>
      <c r="E478">
        <v>1615.41003</v>
      </c>
      <c r="F478" s="111">
        <f t="shared" si="29"/>
        <v>8.2404219924766175E-4</v>
      </c>
    </row>
    <row r="479" spans="2:6">
      <c r="B479" s="107">
        <v>41457</v>
      </c>
      <c r="C479">
        <v>59.898119999999999</v>
      </c>
      <c r="D479" s="109">
        <f t="shared" si="28"/>
        <v>2.7679943910194787E-3</v>
      </c>
      <c r="E479">
        <v>1614.07996</v>
      </c>
      <c r="F479" s="111">
        <f t="shared" si="29"/>
        <v>-5.449051504657006E-4</v>
      </c>
    </row>
    <row r="480" spans="2:6">
      <c r="B480" s="107">
        <v>41456</v>
      </c>
      <c r="C480">
        <v>59.732779999999998</v>
      </c>
      <c r="D480" s="109">
        <f t="shared" si="28"/>
        <v>5.2373237529738026E-3</v>
      </c>
      <c r="E480">
        <v>1614.9599599999999</v>
      </c>
      <c r="F480" s="111">
        <f t="shared" si="29"/>
        <v>5.4037464438875041E-3</v>
      </c>
    </row>
    <row r="481" spans="2:6">
      <c r="B481" s="107">
        <v>41453</v>
      </c>
      <c r="C481">
        <v>59.421570000000003</v>
      </c>
      <c r="D481" s="109">
        <f t="shared" si="28"/>
        <v>1.0418324579553303E-2</v>
      </c>
      <c r="E481">
        <v>1606.2800299999999</v>
      </c>
      <c r="F481" s="111">
        <f t="shared" si="29"/>
        <v>-4.2895612537057464E-3</v>
      </c>
    </row>
    <row r="482" spans="2:6">
      <c r="B482" s="107">
        <v>41452</v>
      </c>
      <c r="C482">
        <v>58.808880000000002</v>
      </c>
      <c r="D482" s="109">
        <f t="shared" si="28"/>
        <v>1.8871043050330355E-2</v>
      </c>
      <c r="E482">
        <v>1613.1999499999999</v>
      </c>
      <c r="F482" s="111">
        <f t="shared" si="29"/>
        <v>6.1998303070005334E-3</v>
      </c>
    </row>
    <row r="483" spans="2:6">
      <c r="B483" s="107">
        <v>41451</v>
      </c>
      <c r="C483">
        <v>57.719650000000001</v>
      </c>
      <c r="D483" s="109">
        <f t="shared" si="28"/>
        <v>1.731239311501646E-2</v>
      </c>
      <c r="E483">
        <v>1603.26001</v>
      </c>
      <c r="F483" s="111">
        <f t="shared" si="29"/>
        <v>9.590486144648077E-3</v>
      </c>
    </row>
    <row r="484" spans="2:6">
      <c r="B484" s="107">
        <v>41450</v>
      </c>
      <c r="C484">
        <v>56.737389999999998</v>
      </c>
      <c r="D484" s="109">
        <f t="shared" si="28"/>
        <v>1.1091870850149224E-2</v>
      </c>
      <c r="E484">
        <v>1588.0300299999999</v>
      </c>
      <c r="F484" s="111">
        <f t="shared" si="29"/>
        <v>9.4972698859683811E-3</v>
      </c>
    </row>
    <row r="485" spans="2:6">
      <c r="B485" s="107">
        <v>41449</v>
      </c>
      <c r="C485">
        <v>56.11497</v>
      </c>
      <c r="D485" s="109">
        <f t="shared" si="28"/>
        <v>-1.9707874013134539E-2</v>
      </c>
      <c r="E485">
        <v>1573.08997</v>
      </c>
      <c r="F485" s="111">
        <f t="shared" si="29"/>
        <v>-1.2145010702353893E-2</v>
      </c>
    </row>
    <row r="486" spans="2:6">
      <c r="B486" s="107">
        <v>41446</v>
      </c>
      <c r="C486">
        <v>57.243110000000001</v>
      </c>
      <c r="D486" s="109">
        <f t="shared" si="28"/>
        <v>-8.7572336963363008E-3</v>
      </c>
      <c r="E486">
        <v>1592.4300499999999</v>
      </c>
      <c r="F486" s="111">
        <f t="shared" si="29"/>
        <v>2.6697751277784563E-3</v>
      </c>
    </row>
    <row r="487" spans="2:6">
      <c r="B487" s="107">
        <v>41445</v>
      </c>
      <c r="C487">
        <v>57.748829999999998</v>
      </c>
      <c r="D487" s="109">
        <f t="shared" si="28"/>
        <v>-3.5412519413238384E-2</v>
      </c>
      <c r="E487">
        <v>1588.18994</v>
      </c>
      <c r="F487" s="111">
        <f t="shared" si="29"/>
        <v>-2.5010349584992899E-2</v>
      </c>
    </row>
    <row r="488" spans="2:6">
      <c r="B488" s="107">
        <v>41444</v>
      </c>
      <c r="C488">
        <v>59.868940000000002</v>
      </c>
      <c r="D488" s="109">
        <f t="shared" si="28"/>
        <v>-2.3477089880844827E-2</v>
      </c>
      <c r="E488">
        <v>1628.9300499999999</v>
      </c>
      <c r="F488" s="111">
        <f t="shared" si="29"/>
        <v>-1.3851477572427476E-2</v>
      </c>
    </row>
    <row r="489" spans="2:6">
      <c r="B489" s="107">
        <v>41443</v>
      </c>
      <c r="C489">
        <v>61.308280000000003</v>
      </c>
      <c r="D489" s="109">
        <f t="shared" si="28"/>
        <v>2.9560690535366453E-2</v>
      </c>
      <c r="E489">
        <v>1651.81006</v>
      </c>
      <c r="F489" s="111">
        <f t="shared" si="29"/>
        <v>7.7911580488295639E-3</v>
      </c>
    </row>
    <row r="490" spans="2:6">
      <c r="B490" s="107">
        <v>41442</v>
      </c>
      <c r="C490">
        <v>59.548000000000002</v>
      </c>
      <c r="D490" s="109">
        <f t="shared" si="28"/>
        <v>4.1149425608904971E-2</v>
      </c>
      <c r="E490">
        <v>1639.0400400000001</v>
      </c>
      <c r="F490" s="111">
        <f t="shared" si="29"/>
        <v>7.5673652980810134E-3</v>
      </c>
    </row>
    <row r="491" spans="2:6">
      <c r="B491" s="107">
        <v>41439</v>
      </c>
      <c r="C491">
        <v>57.194479999999999</v>
      </c>
      <c r="D491" s="109">
        <f t="shared" si="28"/>
        <v>-1.0265848868929273E-2</v>
      </c>
      <c r="E491">
        <v>1626.7299800000001</v>
      </c>
      <c r="F491" s="111">
        <f t="shared" si="29"/>
        <v>-5.8850192248955302E-3</v>
      </c>
    </row>
    <row r="492" spans="2:6">
      <c r="B492" s="107">
        <v>41438</v>
      </c>
      <c r="C492">
        <v>57.78772</v>
      </c>
      <c r="D492" s="109">
        <f t="shared" si="28"/>
        <v>8.3147811099367631E-3</v>
      </c>
      <c r="E492">
        <v>1636.3599899999999</v>
      </c>
      <c r="F492" s="111">
        <f t="shared" si="29"/>
        <v>1.4784293964920817E-2</v>
      </c>
    </row>
    <row r="493" spans="2:6">
      <c r="B493" s="107">
        <v>41437</v>
      </c>
      <c r="C493">
        <v>57.311190000000003</v>
      </c>
      <c r="D493" s="109">
        <f t="shared" si="28"/>
        <v>-5.7364571053842763E-3</v>
      </c>
      <c r="E493">
        <v>1612.5200199999999</v>
      </c>
      <c r="F493" s="111">
        <f t="shared" si="29"/>
        <v>-8.3695522498202345E-3</v>
      </c>
    </row>
    <row r="494" spans="2:6">
      <c r="B494" s="107">
        <v>41436</v>
      </c>
      <c r="C494">
        <v>57.641849999999998</v>
      </c>
      <c r="D494" s="109">
        <f t="shared" si="28"/>
        <v>-9.3599078961140256E-3</v>
      </c>
      <c r="E494">
        <v>1626.13</v>
      </c>
      <c r="F494" s="111">
        <f t="shared" si="29"/>
        <v>-1.0153370986783409E-2</v>
      </c>
    </row>
    <row r="495" spans="2:6">
      <c r="B495" s="107">
        <v>41435</v>
      </c>
      <c r="C495">
        <v>58.18647</v>
      </c>
      <c r="D495" s="109">
        <f t="shared" si="28"/>
        <v>2.6067649451878453E-2</v>
      </c>
      <c r="E495">
        <v>1642.81006</v>
      </c>
      <c r="F495" s="111">
        <f t="shared" si="29"/>
        <v>-3.4680962406752412E-4</v>
      </c>
    </row>
    <row r="496" spans="2:6">
      <c r="B496" s="107">
        <v>41432</v>
      </c>
      <c r="C496">
        <v>56.708219999999997</v>
      </c>
      <c r="D496" s="109">
        <f t="shared" si="28"/>
        <v>-3.2478512295010544E-3</v>
      </c>
      <c r="E496">
        <v>1643.38</v>
      </c>
      <c r="F496" s="111">
        <f t="shared" si="29"/>
        <v>1.28315373422911E-2</v>
      </c>
    </row>
    <row r="497" spans="2:6">
      <c r="B497" s="107">
        <v>41431</v>
      </c>
      <c r="C497">
        <v>56.893000000000001</v>
      </c>
      <c r="D497" s="109">
        <f t="shared" si="28"/>
        <v>1.7391305902829481E-2</v>
      </c>
      <c r="E497">
        <v>1622.56006</v>
      </c>
      <c r="F497" s="111">
        <f t="shared" si="29"/>
        <v>8.4902976133967474E-3</v>
      </c>
    </row>
    <row r="498" spans="2:6">
      <c r="B498" s="107">
        <v>41430</v>
      </c>
      <c r="C498">
        <v>55.920470000000002</v>
      </c>
      <c r="D498" s="109">
        <f t="shared" si="28"/>
        <v>-1.1007926902922687E-2</v>
      </c>
      <c r="E498">
        <v>1608.90002</v>
      </c>
      <c r="F498" s="111">
        <f t="shared" si="29"/>
        <v>-1.3779732496414119E-2</v>
      </c>
    </row>
    <row r="499" spans="2:6">
      <c r="B499" s="107">
        <v>41429</v>
      </c>
      <c r="C499">
        <v>56.54289</v>
      </c>
      <c r="D499" s="109">
        <f t="shared" si="28"/>
        <v>-1.0551247378418609E-2</v>
      </c>
      <c r="E499">
        <v>1631.38</v>
      </c>
      <c r="F499" s="111">
        <f t="shared" si="29"/>
        <v>-5.5108080732785142E-3</v>
      </c>
    </row>
    <row r="500" spans="2:6">
      <c r="B500" s="107">
        <v>41428</v>
      </c>
      <c r="C500">
        <v>57.145850000000003</v>
      </c>
      <c r="D500" s="109">
        <f t="shared" si="28"/>
        <v>-4.4054989379553131E-3</v>
      </c>
      <c r="E500">
        <v>1640.42004</v>
      </c>
      <c r="F500" s="111">
        <f t="shared" si="29"/>
        <v>5.9359861531328101E-3</v>
      </c>
    </row>
    <row r="501" spans="2:6">
      <c r="B501" s="107">
        <v>41425</v>
      </c>
      <c r="C501">
        <v>57.398719999999997</v>
      </c>
      <c r="D501" s="109">
        <f t="shared" si="28"/>
        <v>-1.4526613697149375E-2</v>
      </c>
      <c r="E501">
        <v>1630.73999</v>
      </c>
      <c r="F501" s="111">
        <f t="shared" si="29"/>
        <v>-1.4307239179394948E-2</v>
      </c>
    </row>
    <row r="502" spans="2:6">
      <c r="B502" s="107">
        <v>41424</v>
      </c>
      <c r="C502">
        <v>58.244819999999997</v>
      </c>
      <c r="D502" s="109">
        <f t="shared" si="28"/>
        <v>2.7096600810252905E-2</v>
      </c>
      <c r="E502">
        <v>1654.41003</v>
      </c>
      <c r="F502" s="111">
        <f t="shared" si="29"/>
        <v>3.6703390258823747E-3</v>
      </c>
    </row>
    <row r="503" spans="2:6">
      <c r="B503" s="107">
        <v>41423</v>
      </c>
      <c r="C503">
        <v>56.708219999999997</v>
      </c>
      <c r="D503" s="109">
        <f t="shared" si="28"/>
        <v>8.1258812045196908E-3</v>
      </c>
      <c r="E503">
        <v>1648.3599899999999</v>
      </c>
      <c r="F503" s="111">
        <f t="shared" si="29"/>
        <v>-7.0479799387499851E-3</v>
      </c>
    </row>
    <row r="504" spans="2:6">
      <c r="B504" s="107">
        <v>41422</v>
      </c>
      <c r="C504">
        <v>56.251130000000003</v>
      </c>
      <c r="D504" s="109">
        <f t="shared" si="28"/>
        <v>-2.9305277218740293E-3</v>
      </c>
      <c r="E504">
        <v>1660.06006</v>
      </c>
      <c r="F504" s="111">
        <f t="shared" si="29"/>
        <v>6.340979708304835E-3</v>
      </c>
    </row>
    <row r="505" spans="2:6">
      <c r="B505" s="107">
        <v>41418</v>
      </c>
      <c r="C505">
        <v>56.416460000000001</v>
      </c>
      <c r="D505" s="109">
        <f t="shared" si="28"/>
        <v>3.1124753095628081E-3</v>
      </c>
      <c r="E505">
        <v>1649.59998</v>
      </c>
      <c r="F505" s="111">
        <f t="shared" si="29"/>
        <v>-5.5136290872904558E-4</v>
      </c>
    </row>
    <row r="506" spans="2:6">
      <c r="B506" s="107">
        <v>41417</v>
      </c>
      <c r="C506">
        <v>56.241410000000002</v>
      </c>
      <c r="D506" s="109">
        <f t="shared" si="28"/>
        <v>-1.2088550631261157E-3</v>
      </c>
      <c r="E506">
        <v>1650.51001</v>
      </c>
      <c r="F506" s="111">
        <f t="shared" si="29"/>
        <v>-2.9238348738796576E-3</v>
      </c>
    </row>
    <row r="507" spans="2:6">
      <c r="B507" s="107">
        <v>41416</v>
      </c>
      <c r="C507">
        <v>56.309480000000001</v>
      </c>
      <c r="D507" s="109">
        <f t="shared" si="28"/>
        <v>-6.0084879291845764E-3</v>
      </c>
      <c r="E507">
        <v>1655.34998</v>
      </c>
      <c r="F507" s="111">
        <f t="shared" si="29"/>
        <v>-8.2736524669836751E-3</v>
      </c>
    </row>
    <row r="508" spans="2:6">
      <c r="B508" s="107">
        <v>41415</v>
      </c>
      <c r="C508">
        <v>56.649859999999997</v>
      </c>
      <c r="D508" s="109">
        <f t="shared" si="28"/>
        <v>-3.7626737000785414E-3</v>
      </c>
      <c r="E508">
        <v>1669.16003</v>
      </c>
      <c r="F508" s="111">
        <f t="shared" si="29"/>
        <v>1.7223832172698554E-3</v>
      </c>
    </row>
    <row r="509" spans="2:6">
      <c r="B509" s="107">
        <v>41414</v>
      </c>
      <c r="C509">
        <v>56.863819999999997</v>
      </c>
      <c r="D509" s="109">
        <f t="shared" si="28"/>
        <v>-2.3873160787124949E-2</v>
      </c>
      <c r="E509">
        <v>1666.2900400000001</v>
      </c>
      <c r="F509" s="111">
        <f t="shared" si="29"/>
        <v>-7.0761694137137169E-4</v>
      </c>
    </row>
    <row r="510" spans="2:6">
      <c r="B510" s="107">
        <v>41411</v>
      </c>
      <c r="C510">
        <v>58.254539999999999</v>
      </c>
      <c r="D510" s="109">
        <f t="shared" si="28"/>
        <v>2.3581659197592073E-2</v>
      </c>
      <c r="E510">
        <v>1667.4699700000001</v>
      </c>
      <c r="F510" s="111">
        <f t="shared" si="29"/>
        <v>1.0300096523416296E-2</v>
      </c>
    </row>
    <row r="511" spans="2:6">
      <c r="B511" s="107">
        <v>41410</v>
      </c>
      <c r="C511">
        <v>56.91245</v>
      </c>
      <c r="D511" s="109">
        <f t="shared" si="28"/>
        <v>-8.3036833371697254E-3</v>
      </c>
      <c r="E511">
        <v>1650.4699700000001</v>
      </c>
      <c r="F511" s="111">
        <f t="shared" si="29"/>
        <v>-5.0097420090111609E-3</v>
      </c>
    </row>
    <row r="512" spans="2:6">
      <c r="B512" s="107">
        <v>41409</v>
      </c>
      <c r="C512">
        <v>57.38899</v>
      </c>
      <c r="D512" s="109">
        <f t="shared" si="28"/>
        <v>8.8904874842813467E-3</v>
      </c>
      <c r="E512">
        <v>1658.7800299999999</v>
      </c>
      <c r="F512" s="111">
        <f t="shared" si="29"/>
        <v>5.1141341501896144E-3</v>
      </c>
    </row>
    <row r="513" spans="2:6">
      <c r="B513" s="107">
        <v>41408</v>
      </c>
      <c r="C513">
        <v>56.883270000000003</v>
      </c>
      <c r="D513" s="109">
        <f t="shared" si="28"/>
        <v>1.0189936046292782E-2</v>
      </c>
      <c r="E513">
        <v>1650.33997</v>
      </c>
      <c r="F513" s="111">
        <f t="shared" si="29"/>
        <v>1.0142155748457218E-2</v>
      </c>
    </row>
    <row r="514" spans="2:6">
      <c r="B514" s="107">
        <v>41407</v>
      </c>
      <c r="C514">
        <v>56.309480000000001</v>
      </c>
      <c r="D514" s="109">
        <f t="shared" si="28"/>
        <v>1.1707055369867575E-2</v>
      </c>
      <c r="E514">
        <v>1633.7700199999999</v>
      </c>
      <c r="F514" s="111">
        <f t="shared" si="29"/>
        <v>4.2890372861911991E-5</v>
      </c>
    </row>
    <row r="515" spans="2:6">
      <c r="B515" s="107">
        <v>41404</v>
      </c>
      <c r="C515">
        <v>55.657890000000002</v>
      </c>
      <c r="D515" s="109">
        <f t="shared" si="28"/>
        <v>1.023835341241542E-2</v>
      </c>
      <c r="E515">
        <v>1633.6999499999999</v>
      </c>
      <c r="F515" s="111">
        <f t="shared" si="29"/>
        <v>4.3216570214817335E-3</v>
      </c>
    </row>
    <row r="516" spans="2:6">
      <c r="B516" s="107">
        <v>41403</v>
      </c>
      <c r="C516">
        <v>55.093820000000001</v>
      </c>
      <c r="D516" s="109">
        <f t="shared" si="28"/>
        <v>2.5525035576308322E-2</v>
      </c>
      <c r="E516">
        <v>1626.67004</v>
      </c>
      <c r="F516" s="111">
        <f t="shared" si="29"/>
        <v>-3.6871054647399904E-3</v>
      </c>
    </row>
    <row r="517" spans="2:6">
      <c r="B517" s="107">
        <v>41402</v>
      </c>
      <c r="C517">
        <v>53.722549999999998</v>
      </c>
      <c r="D517" s="109">
        <f t="shared" si="28"/>
        <v>-3.2480104405371961E-3</v>
      </c>
      <c r="E517">
        <v>1632.68994</v>
      </c>
      <c r="F517" s="111">
        <f t="shared" si="29"/>
        <v>4.1390810140245204E-3</v>
      </c>
    </row>
    <row r="518" spans="2:6">
      <c r="B518" s="107">
        <v>41401</v>
      </c>
      <c r="C518">
        <v>53.89761</v>
      </c>
      <c r="D518" s="109">
        <f t="shared" si="28"/>
        <v>1.5018418975622097E-2</v>
      </c>
      <c r="E518">
        <v>1625.9599599999999</v>
      </c>
      <c r="F518" s="111">
        <f t="shared" si="29"/>
        <v>5.2302689335393567E-3</v>
      </c>
    </row>
    <row r="519" spans="2:6">
      <c r="B519" s="107">
        <v>41400</v>
      </c>
      <c r="C519">
        <v>53.10013</v>
      </c>
      <c r="D519" s="109">
        <f t="shared" si="28"/>
        <v>1.3363000050954317E-2</v>
      </c>
      <c r="E519">
        <v>1617.5</v>
      </c>
      <c r="F519" s="111">
        <f t="shared" si="29"/>
        <v>1.9077810753637748E-3</v>
      </c>
    </row>
    <row r="520" spans="2:6">
      <c r="B520" s="107">
        <v>41397</v>
      </c>
      <c r="C520">
        <v>52.399909999999998</v>
      </c>
      <c r="D520" s="109">
        <f t="shared" si="28"/>
        <v>2.4139838326349344E-2</v>
      </c>
      <c r="E520">
        <v>1614.42004</v>
      </c>
      <c r="F520" s="111">
        <f t="shared" si="29"/>
        <v>1.0534661781833782E-2</v>
      </c>
    </row>
    <row r="521" spans="2:6">
      <c r="B521" s="107">
        <v>41396</v>
      </c>
      <c r="C521">
        <v>51.1648</v>
      </c>
      <c r="D521" s="109">
        <f t="shared" ref="D521:D584" si="30">(C521-C522)/C522</f>
        <v>2.7940647019492913E-2</v>
      </c>
      <c r="E521">
        <v>1597.58997</v>
      </c>
      <c r="F521" s="111">
        <f t="shared" ref="F521:F584" si="31">(E521-E522)/E522</f>
        <v>9.4079866496489441E-3</v>
      </c>
    </row>
    <row r="522" spans="2:6">
      <c r="B522" s="107">
        <v>41395</v>
      </c>
      <c r="C522">
        <v>49.774079999999998</v>
      </c>
      <c r="D522" s="109">
        <f t="shared" si="30"/>
        <v>-2.402750459955769E-2</v>
      </c>
      <c r="E522">
        <v>1582.6999499999999</v>
      </c>
      <c r="F522" s="111">
        <f t="shared" si="31"/>
        <v>-9.3078866437116686E-3</v>
      </c>
    </row>
    <row r="523" spans="2:6">
      <c r="B523" s="107">
        <v>41394</v>
      </c>
      <c r="C523">
        <v>50.999470000000002</v>
      </c>
      <c r="D523" s="109">
        <f t="shared" si="30"/>
        <v>-3.1936371363696842E-2</v>
      </c>
      <c r="E523">
        <v>1597.5699500000001</v>
      </c>
      <c r="F523" s="111">
        <f t="shared" si="31"/>
        <v>2.4848990812363931E-3</v>
      </c>
    </row>
    <row r="524" spans="2:6">
      <c r="B524" s="107">
        <v>41393</v>
      </c>
      <c r="C524">
        <v>52.681939999999997</v>
      </c>
      <c r="D524" s="109">
        <f t="shared" si="30"/>
        <v>5.0092179683231507E-3</v>
      </c>
      <c r="E524">
        <v>1593.6099899999999</v>
      </c>
      <c r="F524" s="111">
        <f t="shared" si="31"/>
        <v>7.186014809295707E-3</v>
      </c>
    </row>
    <row r="525" spans="2:6">
      <c r="B525" s="107">
        <v>41390</v>
      </c>
      <c r="C525">
        <v>52.419359999999998</v>
      </c>
      <c r="D525" s="109">
        <f t="shared" si="30"/>
        <v>3.911318424372312E-3</v>
      </c>
      <c r="E525">
        <v>1582.23999</v>
      </c>
      <c r="F525" s="111">
        <f t="shared" si="31"/>
        <v>-1.8421105407256399E-3</v>
      </c>
    </row>
    <row r="526" spans="2:6">
      <c r="B526" s="107">
        <v>41389</v>
      </c>
      <c r="C526">
        <v>52.215130000000002</v>
      </c>
      <c r="D526" s="109">
        <f t="shared" si="30"/>
        <v>-1.0504937798313994E-2</v>
      </c>
      <c r="E526">
        <v>1585.16003</v>
      </c>
      <c r="F526" s="111">
        <f t="shared" si="31"/>
        <v>4.0347290257797142E-3</v>
      </c>
    </row>
    <row r="527" spans="2:6">
      <c r="B527" s="107">
        <v>41388</v>
      </c>
      <c r="C527">
        <v>52.769469999999998</v>
      </c>
      <c r="D527" s="109">
        <f t="shared" si="30"/>
        <v>1.5724348467976955E-2</v>
      </c>
      <c r="E527">
        <v>1578.7900400000001</v>
      </c>
      <c r="F527" s="111">
        <f t="shared" si="31"/>
        <v>6.3403386222164413E-6</v>
      </c>
    </row>
    <row r="528" spans="2:6">
      <c r="B528" s="107">
        <v>41387</v>
      </c>
      <c r="C528">
        <v>51.952550000000002</v>
      </c>
      <c r="D528" s="109">
        <f t="shared" si="30"/>
        <v>2.4745956347767724E-2</v>
      </c>
      <c r="E528">
        <v>1578.7800299999999</v>
      </c>
      <c r="F528" s="111">
        <f t="shared" si="31"/>
        <v>1.0419219199999934E-2</v>
      </c>
    </row>
    <row r="529" spans="2:6">
      <c r="B529" s="107">
        <v>41386</v>
      </c>
      <c r="C529">
        <v>50.697980000000001</v>
      </c>
      <c r="D529" s="109">
        <f t="shared" si="30"/>
        <v>-3.4411153727003925E-3</v>
      </c>
      <c r="E529">
        <v>1562.5</v>
      </c>
      <c r="F529" s="111">
        <f t="shared" si="31"/>
        <v>4.6616299630284517E-3</v>
      </c>
    </row>
    <row r="530" spans="2:6">
      <c r="B530" s="107">
        <v>41383</v>
      </c>
      <c r="C530">
        <v>50.873040000000003</v>
      </c>
      <c r="D530" s="109">
        <f t="shared" si="30"/>
        <v>5.5749046273052922E-3</v>
      </c>
      <c r="E530">
        <v>1555.25</v>
      </c>
      <c r="F530" s="111">
        <f t="shared" si="31"/>
        <v>8.8478993315294196E-3</v>
      </c>
    </row>
    <row r="531" spans="2:6">
      <c r="B531" s="107">
        <v>41382</v>
      </c>
      <c r="C531">
        <v>50.591000000000001</v>
      </c>
      <c r="D531" s="109">
        <f t="shared" si="30"/>
        <v>-6.6403613845298359E-2</v>
      </c>
      <c r="E531">
        <v>1541.6099899999999</v>
      </c>
      <c r="F531" s="111">
        <f t="shared" si="31"/>
        <v>-6.7010005947062421E-3</v>
      </c>
    </row>
    <row r="532" spans="2:6">
      <c r="B532" s="107">
        <v>41381</v>
      </c>
      <c r="C532">
        <v>54.189369999999997</v>
      </c>
      <c r="D532" s="109">
        <f t="shared" si="30"/>
        <v>-3.0787823591674882E-2</v>
      </c>
      <c r="E532">
        <v>1552.01001</v>
      </c>
      <c r="F532" s="111">
        <f t="shared" si="31"/>
        <v>-1.4327683568456324E-2</v>
      </c>
    </row>
    <row r="533" spans="2:6">
      <c r="B533" s="107">
        <v>41380</v>
      </c>
      <c r="C533">
        <v>55.910739999999997</v>
      </c>
      <c r="D533" s="109">
        <f t="shared" si="30"/>
        <v>2.6790408791604353E-2</v>
      </c>
      <c r="E533">
        <v>1574.5699500000001</v>
      </c>
      <c r="F533" s="111">
        <f t="shared" si="31"/>
        <v>1.4307222643634444E-2</v>
      </c>
    </row>
    <row r="534" spans="2:6">
      <c r="B534" s="107">
        <v>41379</v>
      </c>
      <c r="C534">
        <v>54.451949999999997</v>
      </c>
      <c r="D534" s="109">
        <f t="shared" si="30"/>
        <v>-2.9804168218271112E-2</v>
      </c>
      <c r="E534">
        <v>1552.3599899999999</v>
      </c>
      <c r="F534" s="111">
        <f t="shared" si="31"/>
        <v>-2.2966290373116306E-2</v>
      </c>
    </row>
    <row r="535" spans="2:6">
      <c r="B535" s="107">
        <v>41376</v>
      </c>
      <c r="C535">
        <v>56.124699999999997</v>
      </c>
      <c r="D535" s="109">
        <f t="shared" si="30"/>
        <v>-1.5523674041435143E-2</v>
      </c>
      <c r="E535">
        <v>1588.84998</v>
      </c>
      <c r="F535" s="111">
        <f t="shared" si="31"/>
        <v>-2.8367673547261035E-3</v>
      </c>
    </row>
    <row r="536" spans="2:6">
      <c r="B536" s="107">
        <v>41375</v>
      </c>
      <c r="C536">
        <v>57.009700000000002</v>
      </c>
      <c r="D536" s="109">
        <f t="shared" si="30"/>
        <v>5.1440514235884371E-3</v>
      </c>
      <c r="E536">
        <v>1593.37</v>
      </c>
      <c r="F536" s="111">
        <f t="shared" si="31"/>
        <v>3.5522538914329891E-3</v>
      </c>
    </row>
    <row r="537" spans="2:6">
      <c r="B537" s="107">
        <v>41374</v>
      </c>
      <c r="C537">
        <v>56.717939999999999</v>
      </c>
      <c r="D537" s="109">
        <f t="shared" si="30"/>
        <v>3.5695164413448742E-2</v>
      </c>
      <c r="E537">
        <v>1587.7299800000001</v>
      </c>
      <c r="F537" s="111">
        <f t="shared" si="31"/>
        <v>1.2189129306769329E-2</v>
      </c>
    </row>
    <row r="538" spans="2:6">
      <c r="B538" s="107">
        <v>41373</v>
      </c>
      <c r="C538">
        <v>54.763159999999999</v>
      </c>
      <c r="D538" s="109">
        <f t="shared" si="30"/>
        <v>1.2952128195789567E-2</v>
      </c>
      <c r="E538">
        <v>1568.6099899999999</v>
      </c>
      <c r="F538" s="111">
        <f t="shared" si="31"/>
        <v>3.5443327408347033E-3</v>
      </c>
    </row>
    <row r="539" spans="2:6">
      <c r="B539" s="107">
        <v>41372</v>
      </c>
      <c r="C539">
        <v>54.062930000000001</v>
      </c>
      <c r="D539" s="109">
        <f t="shared" si="30"/>
        <v>1.5157054461557502E-2</v>
      </c>
      <c r="E539">
        <v>1563.0699500000001</v>
      </c>
      <c r="F539" s="111">
        <f t="shared" si="31"/>
        <v>6.3027398865098177E-3</v>
      </c>
    </row>
    <row r="540" spans="2:6">
      <c r="B540" s="107">
        <v>41369</v>
      </c>
      <c r="C540">
        <v>53.25573</v>
      </c>
      <c r="D540" s="109">
        <f t="shared" si="30"/>
        <v>-3.6508558018948187E-4</v>
      </c>
      <c r="E540">
        <v>1553.2800299999999</v>
      </c>
      <c r="F540" s="111">
        <f t="shared" si="31"/>
        <v>-4.2948948614072412E-3</v>
      </c>
    </row>
    <row r="541" spans="2:6">
      <c r="B541" s="107">
        <v>41368</v>
      </c>
      <c r="C541">
        <v>53.275179999999999</v>
      </c>
      <c r="D541" s="109">
        <f t="shared" si="30"/>
        <v>2.1062272992893549E-2</v>
      </c>
      <c r="E541">
        <v>1559.9799800000001</v>
      </c>
      <c r="F541" s="111">
        <f t="shared" si="31"/>
        <v>4.0484525503203623E-3</v>
      </c>
    </row>
    <row r="542" spans="2:6">
      <c r="B542" s="107">
        <v>41367</v>
      </c>
      <c r="C542">
        <v>52.176229999999997</v>
      </c>
      <c r="D542" s="109">
        <f t="shared" si="30"/>
        <v>-1.4149246444218968E-2</v>
      </c>
      <c r="E542">
        <v>1553.68994</v>
      </c>
      <c r="F542" s="111">
        <f t="shared" si="31"/>
        <v>-1.0546129597197912E-2</v>
      </c>
    </row>
    <row r="543" spans="2:6">
      <c r="B543" s="107">
        <v>41366</v>
      </c>
      <c r="C543">
        <v>52.925080000000001</v>
      </c>
      <c r="D543" s="109">
        <f t="shared" si="30"/>
        <v>-2.3831555407188062E-3</v>
      </c>
      <c r="E543">
        <v>1570.25</v>
      </c>
      <c r="F543" s="111">
        <f t="shared" si="31"/>
        <v>5.1722666503065369E-3</v>
      </c>
    </row>
    <row r="544" spans="2:6">
      <c r="B544" s="107">
        <v>41365</v>
      </c>
      <c r="C544">
        <v>53.05151</v>
      </c>
      <c r="D544" s="109">
        <f t="shared" si="30"/>
        <v>-7.4598355404952429E-3</v>
      </c>
      <c r="E544">
        <v>1562.17004</v>
      </c>
      <c r="F544" s="111">
        <f t="shared" si="31"/>
        <v>-4.4735820827400963E-3</v>
      </c>
    </row>
    <row r="545" spans="2:6">
      <c r="B545" s="107">
        <v>41361</v>
      </c>
      <c r="C545">
        <v>53.450240000000001</v>
      </c>
      <c r="D545" s="109">
        <f t="shared" si="30"/>
        <v>-3.6375748578304978E-4</v>
      </c>
      <c r="E545">
        <v>1569.18994</v>
      </c>
      <c r="F545" s="111">
        <f t="shared" si="31"/>
        <v>4.0566657587953643E-3</v>
      </c>
    </row>
    <row r="546" spans="2:6">
      <c r="B546" s="107">
        <v>41360</v>
      </c>
      <c r="C546">
        <v>53.46969</v>
      </c>
      <c r="D546" s="109">
        <f t="shared" si="30"/>
        <v>-5.2470869309695157E-3</v>
      </c>
      <c r="E546">
        <v>1562.84998</v>
      </c>
      <c r="F546" s="111">
        <f t="shared" si="31"/>
        <v>-5.883473837156514E-4</v>
      </c>
    </row>
    <row r="547" spans="2:6">
      <c r="B547" s="107">
        <v>41359</v>
      </c>
      <c r="C547">
        <v>53.751730000000002</v>
      </c>
      <c r="D547" s="109">
        <f t="shared" si="30"/>
        <v>-1.0843693226250033E-3</v>
      </c>
      <c r="E547">
        <v>1563.7700199999999</v>
      </c>
      <c r="F547" s="111">
        <f t="shared" si="31"/>
        <v>7.7851120179331396E-3</v>
      </c>
    </row>
    <row r="548" spans="2:6">
      <c r="B548" s="107">
        <v>41358</v>
      </c>
      <c r="C548">
        <v>53.810079999999999</v>
      </c>
      <c r="D548" s="109">
        <f t="shared" si="30"/>
        <v>2.5367999952303974E-3</v>
      </c>
      <c r="E548">
        <v>1551.68994</v>
      </c>
      <c r="F548" s="111">
        <f t="shared" si="31"/>
        <v>-3.3400368469190035E-3</v>
      </c>
    </row>
    <row r="549" spans="2:6">
      <c r="B549" s="107">
        <v>41355</v>
      </c>
      <c r="C549">
        <v>53.673920000000003</v>
      </c>
      <c r="D549" s="109">
        <f t="shared" si="30"/>
        <v>1.0250650723677869E-2</v>
      </c>
      <c r="E549">
        <v>1556.8900100000001</v>
      </c>
      <c r="F549" s="111">
        <f t="shared" si="31"/>
        <v>7.1742525820205653E-3</v>
      </c>
    </row>
    <row r="550" spans="2:6">
      <c r="B550" s="107">
        <v>41354</v>
      </c>
      <c r="C550">
        <v>53.129309999999997</v>
      </c>
      <c r="D550" s="109">
        <f t="shared" si="30"/>
        <v>-1.0863698673110317E-2</v>
      </c>
      <c r="E550">
        <v>1545.8000500000001</v>
      </c>
      <c r="F550" s="111">
        <f t="shared" si="31"/>
        <v>-8.2824324802542836E-3</v>
      </c>
    </row>
    <row r="551" spans="2:6">
      <c r="B551" s="107">
        <v>41353</v>
      </c>
      <c r="C551">
        <v>53.712829999999997</v>
      </c>
      <c r="D551" s="109">
        <f t="shared" si="30"/>
        <v>1.0798089464561143E-2</v>
      </c>
      <c r="E551">
        <v>1558.7099599999999</v>
      </c>
      <c r="F551" s="111">
        <f t="shared" si="31"/>
        <v>6.6974890533891699E-3</v>
      </c>
    </row>
    <row r="552" spans="2:6">
      <c r="B552" s="107">
        <v>41352</v>
      </c>
      <c r="C552">
        <v>53.139029999999998</v>
      </c>
      <c r="D552" s="109">
        <f t="shared" si="30"/>
        <v>4.2271288010001197E-3</v>
      </c>
      <c r="E552">
        <v>1548.33997</v>
      </c>
      <c r="F552" s="111">
        <f t="shared" si="31"/>
        <v>-2.4225307959864582E-3</v>
      </c>
    </row>
    <row r="553" spans="2:6">
      <c r="B553" s="107">
        <v>41351</v>
      </c>
      <c r="C553">
        <v>52.915349999999997</v>
      </c>
      <c r="D553" s="109">
        <f t="shared" si="30"/>
        <v>-1.2701852298263429E-2</v>
      </c>
      <c r="E553">
        <v>1552.09998</v>
      </c>
      <c r="F553" s="111">
        <f t="shared" si="31"/>
        <v>-5.5103288751947388E-3</v>
      </c>
    </row>
    <row r="554" spans="2:6">
      <c r="B554" s="107">
        <v>41348</v>
      </c>
      <c r="C554">
        <v>53.596119999999999</v>
      </c>
      <c r="D554" s="109">
        <f t="shared" si="30"/>
        <v>1.8138930773482648E-4</v>
      </c>
      <c r="E554">
        <v>1560.6999499999999</v>
      </c>
      <c r="F554" s="111">
        <f t="shared" si="31"/>
        <v>-1.6184630747678754E-3</v>
      </c>
    </row>
    <row r="555" spans="2:6">
      <c r="B555" s="107">
        <v>41347</v>
      </c>
      <c r="C555">
        <v>53.586399999999998</v>
      </c>
      <c r="D555" s="109">
        <f t="shared" si="30"/>
        <v>1.2123443158339442E-2</v>
      </c>
      <c r="E555">
        <v>1563.2299800000001</v>
      </c>
      <c r="F555" s="111">
        <f t="shared" si="31"/>
        <v>5.6029899183930344E-3</v>
      </c>
    </row>
    <row r="556" spans="2:6">
      <c r="B556" s="107">
        <v>41346</v>
      </c>
      <c r="C556">
        <v>52.94453</v>
      </c>
      <c r="D556" s="109">
        <f t="shared" si="30"/>
        <v>1.2648802550570317E-2</v>
      </c>
      <c r="E556">
        <v>1554.5200199999999</v>
      </c>
      <c r="F556" s="111">
        <f t="shared" si="31"/>
        <v>1.3140523718701111E-3</v>
      </c>
    </row>
    <row r="557" spans="2:6">
      <c r="B557" s="107">
        <v>41345</v>
      </c>
      <c r="C557">
        <v>52.283209999999997</v>
      </c>
      <c r="D557" s="109">
        <f t="shared" si="30"/>
        <v>2.1664883227043373E-2</v>
      </c>
      <c r="E557">
        <v>1552.4799800000001</v>
      </c>
      <c r="F557" s="111">
        <f t="shared" si="31"/>
        <v>-2.4032527997954133E-3</v>
      </c>
    </row>
    <row r="558" spans="2:6">
      <c r="B558" s="107">
        <v>41344</v>
      </c>
      <c r="C558">
        <v>51.174520000000001</v>
      </c>
      <c r="D558" s="109">
        <f t="shared" si="30"/>
        <v>1.485057114759218E-2</v>
      </c>
      <c r="E558">
        <v>1556.2199700000001</v>
      </c>
      <c r="F558" s="111">
        <f t="shared" si="31"/>
        <v>3.2490876865004588E-3</v>
      </c>
    </row>
    <row r="559" spans="2:6">
      <c r="B559" s="107">
        <v>41341</v>
      </c>
      <c r="C559">
        <v>50.425669999999997</v>
      </c>
      <c r="D559" s="109">
        <f t="shared" si="30"/>
        <v>9.7369992957464721E-3</v>
      </c>
      <c r="E559">
        <v>1551.1800499999999</v>
      </c>
      <c r="F559" s="111">
        <f t="shared" si="31"/>
        <v>4.4811365671510017E-3</v>
      </c>
    </row>
    <row r="560" spans="2:6">
      <c r="B560" s="107">
        <v>41340</v>
      </c>
      <c r="C560">
        <v>49.939410000000002</v>
      </c>
      <c r="D560" s="109">
        <f t="shared" si="30"/>
        <v>3.1257155942295066E-3</v>
      </c>
      <c r="E560">
        <v>1544.26001</v>
      </c>
      <c r="F560" s="111">
        <f t="shared" si="31"/>
        <v>1.8164922039233869E-3</v>
      </c>
    </row>
    <row r="561" spans="2:6">
      <c r="B561" s="107">
        <v>41339</v>
      </c>
      <c r="C561">
        <v>49.783799999999999</v>
      </c>
      <c r="D561" s="109">
        <f t="shared" si="30"/>
        <v>5.1048889633653755E-3</v>
      </c>
      <c r="E561">
        <v>1541.4599599999999</v>
      </c>
      <c r="F561" s="111">
        <f t="shared" si="31"/>
        <v>1.0845114961256794E-3</v>
      </c>
    </row>
    <row r="562" spans="2:6">
      <c r="B562" s="107">
        <v>41338</v>
      </c>
      <c r="C562">
        <v>49.530949999999997</v>
      </c>
      <c r="D562" s="109">
        <f t="shared" si="30"/>
        <v>1.0315504894112615E-2</v>
      </c>
      <c r="E562">
        <v>1539.7900400000001</v>
      </c>
      <c r="F562" s="111">
        <f t="shared" si="31"/>
        <v>9.5660178850649358E-3</v>
      </c>
    </row>
    <row r="563" spans="2:6">
      <c r="B563" s="107">
        <v>41337</v>
      </c>
      <c r="C563">
        <v>49.025230000000001</v>
      </c>
      <c r="D563" s="109">
        <f t="shared" si="30"/>
        <v>2.3860868441558472E-3</v>
      </c>
      <c r="E563">
        <v>1525.1999499999999</v>
      </c>
      <c r="F563" s="111">
        <f t="shared" si="31"/>
        <v>4.6107233767199111E-3</v>
      </c>
    </row>
    <row r="564" spans="2:6">
      <c r="B564" s="107">
        <v>41334</v>
      </c>
      <c r="C564">
        <v>48.908529999999999</v>
      </c>
      <c r="D564" s="109">
        <f t="shared" si="30"/>
        <v>-2.3804069863619525E-3</v>
      </c>
      <c r="E564">
        <v>1518.1999499999999</v>
      </c>
      <c r="F564" s="111">
        <f t="shared" si="31"/>
        <v>2.3238571076446193E-3</v>
      </c>
    </row>
    <row r="565" spans="2:6">
      <c r="B565" s="107">
        <v>41333</v>
      </c>
      <c r="C565">
        <v>49.025230000000001</v>
      </c>
      <c r="D565" s="109">
        <f t="shared" si="30"/>
        <v>-1.5844236088892339E-3</v>
      </c>
      <c r="E565">
        <v>1514.6800499999999</v>
      </c>
      <c r="F565" s="111">
        <f t="shared" si="31"/>
        <v>-8.6408222260101917E-4</v>
      </c>
    </row>
    <row r="566" spans="2:6">
      <c r="B566" s="107">
        <v>41332</v>
      </c>
      <c r="C566">
        <v>49.103029999999997</v>
      </c>
      <c r="D566" s="109">
        <f t="shared" si="30"/>
        <v>1.9844597922937944E-3</v>
      </c>
      <c r="E566">
        <v>1515.98999</v>
      </c>
      <c r="F566" s="111">
        <f t="shared" si="31"/>
        <v>1.2725994871911867E-2</v>
      </c>
    </row>
    <row r="567" spans="2:6">
      <c r="B567" s="107">
        <v>41331</v>
      </c>
      <c r="C567">
        <v>49.005780000000001</v>
      </c>
      <c r="D567" s="109">
        <f t="shared" si="30"/>
        <v>2.1902202982142852E-2</v>
      </c>
      <c r="E567">
        <v>1496.93994</v>
      </c>
      <c r="F567" s="111">
        <f t="shared" si="31"/>
        <v>6.1094600411259331E-3</v>
      </c>
    </row>
    <row r="568" spans="2:6">
      <c r="B568" s="107">
        <v>41330</v>
      </c>
      <c r="C568">
        <v>47.955449999999999</v>
      </c>
      <c r="D568" s="109">
        <f t="shared" si="30"/>
        <v>-3.2341842466543495E-3</v>
      </c>
      <c r="E568">
        <v>1487.84998</v>
      </c>
      <c r="F568" s="111">
        <f t="shared" si="31"/>
        <v>-1.8309580605827141E-2</v>
      </c>
    </row>
    <row r="569" spans="2:6">
      <c r="B569" s="107">
        <v>41327</v>
      </c>
      <c r="C569">
        <v>48.111049999999999</v>
      </c>
      <c r="D569" s="109">
        <f t="shared" si="30"/>
        <v>8.1515794379284495E-3</v>
      </c>
      <c r="E569">
        <v>1515.59998</v>
      </c>
      <c r="F569" s="111">
        <f t="shared" si="31"/>
        <v>8.7724735088064911E-3</v>
      </c>
    </row>
    <row r="570" spans="2:6">
      <c r="B570" s="107">
        <v>41326</v>
      </c>
      <c r="C570">
        <v>47.72204</v>
      </c>
      <c r="D570" s="109">
        <f t="shared" si="30"/>
        <v>-1.9776378072439323E-2</v>
      </c>
      <c r="E570">
        <v>1502.42004</v>
      </c>
      <c r="F570" s="111">
        <f t="shared" si="31"/>
        <v>-6.3030591720314375E-3</v>
      </c>
    </row>
    <row r="571" spans="2:6">
      <c r="B571" s="107">
        <v>41325</v>
      </c>
      <c r="C571">
        <v>48.684849999999997</v>
      </c>
      <c r="D571" s="109">
        <f t="shared" si="30"/>
        <v>-3.0784072917274304E-2</v>
      </c>
      <c r="E571">
        <v>1511.9499499999999</v>
      </c>
      <c r="F571" s="111">
        <f t="shared" si="31"/>
        <v>-1.2404137813531753E-2</v>
      </c>
    </row>
    <row r="572" spans="2:6">
      <c r="B572" s="107">
        <v>41324</v>
      </c>
      <c r="C572">
        <v>50.231169999999999</v>
      </c>
      <c r="D572" s="109">
        <f t="shared" si="30"/>
        <v>-1.1602815059679301E-3</v>
      </c>
      <c r="E572">
        <v>1530.93994</v>
      </c>
      <c r="F572" s="111">
        <f t="shared" si="31"/>
        <v>7.3364739250428882E-3</v>
      </c>
    </row>
    <row r="573" spans="2:6">
      <c r="B573" s="107">
        <v>41320</v>
      </c>
      <c r="C573">
        <v>50.289520000000003</v>
      </c>
      <c r="D573" s="109">
        <f t="shared" si="30"/>
        <v>3.3579847939613251E-2</v>
      </c>
      <c r="E573">
        <v>1519.7900400000001</v>
      </c>
      <c r="F573" s="111">
        <f t="shared" si="31"/>
        <v>-1.0450774954317915E-3</v>
      </c>
    </row>
    <row r="574" spans="2:6">
      <c r="B574" s="107">
        <v>41319</v>
      </c>
      <c r="C574">
        <v>48.655670000000001</v>
      </c>
      <c r="D574" s="109">
        <f t="shared" si="30"/>
        <v>6.8424196911703013E-3</v>
      </c>
      <c r="E574">
        <v>1521.38</v>
      </c>
      <c r="F574" s="111">
        <f t="shared" si="31"/>
        <v>6.9066586045576635E-4</v>
      </c>
    </row>
    <row r="575" spans="2:6">
      <c r="B575" s="107">
        <v>41318</v>
      </c>
      <c r="C575">
        <v>48.325009999999999</v>
      </c>
      <c r="D575" s="109">
        <f t="shared" si="30"/>
        <v>1.4107818296771452E-3</v>
      </c>
      <c r="E575">
        <v>1520.32996</v>
      </c>
      <c r="F575" s="111">
        <f t="shared" si="31"/>
        <v>5.9226813369927156E-4</v>
      </c>
    </row>
    <row r="576" spans="2:6">
      <c r="B576" s="107">
        <v>41317</v>
      </c>
      <c r="C576">
        <v>48.256929999999997</v>
      </c>
      <c r="D576" s="109">
        <f t="shared" si="30"/>
        <v>-4.8135360568724887E-3</v>
      </c>
      <c r="E576">
        <v>1519.4300499999999</v>
      </c>
      <c r="F576" s="111">
        <f t="shared" si="31"/>
        <v>1.5952696317409084E-3</v>
      </c>
    </row>
    <row r="577" spans="2:6">
      <c r="B577" s="107">
        <v>41316</v>
      </c>
      <c r="C577">
        <v>48.490340000000003</v>
      </c>
      <c r="D577" s="109">
        <f t="shared" si="30"/>
        <v>-6.9708153042151791E-3</v>
      </c>
      <c r="E577">
        <v>1517.01001</v>
      </c>
      <c r="F577" s="111">
        <f t="shared" si="31"/>
        <v>-6.0611488651929107E-4</v>
      </c>
    </row>
    <row r="578" spans="2:6">
      <c r="B578" s="107">
        <v>41313</v>
      </c>
      <c r="C578">
        <v>48.830730000000003</v>
      </c>
      <c r="D578" s="109">
        <f t="shared" si="30"/>
        <v>-3.979515322054336E-4</v>
      </c>
      <c r="E578">
        <v>1517.9300499999999</v>
      </c>
      <c r="F578" s="111">
        <f t="shared" si="31"/>
        <v>5.6579412500549556E-3</v>
      </c>
    </row>
    <row r="579" spans="2:6">
      <c r="B579" s="107">
        <v>41312</v>
      </c>
      <c r="C579">
        <v>48.850169999999999</v>
      </c>
      <c r="D579" s="109">
        <f t="shared" si="30"/>
        <v>-7.3123334053376218E-3</v>
      </c>
      <c r="E579">
        <v>1509.3900100000001</v>
      </c>
      <c r="F579" s="111">
        <f t="shared" si="31"/>
        <v>-1.8054056556356746E-3</v>
      </c>
    </row>
    <row r="580" spans="2:6">
      <c r="B580" s="107">
        <v>41311</v>
      </c>
      <c r="C580">
        <v>49.210009999999997</v>
      </c>
      <c r="D580" s="109">
        <f t="shared" si="30"/>
        <v>1.6268344352370078E-2</v>
      </c>
      <c r="E580">
        <v>1512.12</v>
      </c>
      <c r="F580" s="111">
        <f t="shared" si="31"/>
        <v>5.4917320834047239E-4</v>
      </c>
    </row>
    <row r="581" spans="2:6">
      <c r="B581" s="107">
        <v>41310</v>
      </c>
      <c r="C581">
        <v>48.422260000000001</v>
      </c>
      <c r="D581" s="109">
        <f t="shared" si="30"/>
        <v>3.4260364262708883E-3</v>
      </c>
      <c r="E581">
        <v>1511.2900400000001</v>
      </c>
      <c r="F581" s="111">
        <f t="shared" si="31"/>
        <v>1.0416511500665665E-2</v>
      </c>
    </row>
    <row r="582" spans="2:6">
      <c r="B582" s="107">
        <v>41309</v>
      </c>
      <c r="C582">
        <v>48.256929999999997</v>
      </c>
      <c r="D582" s="109">
        <f t="shared" si="30"/>
        <v>-1.2537438896099762E-2</v>
      </c>
      <c r="E582">
        <v>1495.7099599999999</v>
      </c>
      <c r="F582" s="111">
        <f t="shared" si="31"/>
        <v>-1.1538742863293846E-2</v>
      </c>
    </row>
    <row r="583" spans="2:6">
      <c r="B583" s="107">
        <v>41306</v>
      </c>
      <c r="C583">
        <v>48.869630000000001</v>
      </c>
      <c r="D583" s="109">
        <f t="shared" si="30"/>
        <v>5.2010859627243501E-3</v>
      </c>
      <c r="E583">
        <v>1513.17004</v>
      </c>
      <c r="F583" s="111">
        <f t="shared" si="31"/>
        <v>1.0052699802102012E-2</v>
      </c>
    </row>
    <row r="584" spans="2:6">
      <c r="B584" s="107">
        <v>41305</v>
      </c>
      <c r="C584">
        <v>48.616770000000002</v>
      </c>
      <c r="D584" s="109">
        <f t="shared" si="30"/>
        <v>1.647012629570923E-2</v>
      </c>
      <c r="E584">
        <v>1498.1099899999999</v>
      </c>
      <c r="F584" s="111">
        <f t="shared" si="31"/>
        <v>-2.5632973598044419E-3</v>
      </c>
    </row>
    <row r="585" spans="2:6">
      <c r="B585" s="107">
        <v>41304</v>
      </c>
      <c r="C585">
        <v>47.82902</v>
      </c>
      <c r="D585" s="109">
        <f t="shared" ref="D585:D648" si="32">(C585-C586)/C586</f>
        <v>-2.0339160199623891E-4</v>
      </c>
      <c r="E585">
        <v>1501.9599599999999</v>
      </c>
      <c r="F585" s="111">
        <f t="shared" ref="F585:F648" si="33">(E585-E586)/E586</f>
        <v>-3.8996247061948383E-3</v>
      </c>
    </row>
    <row r="586" spans="2:6">
      <c r="B586" s="107">
        <v>41303</v>
      </c>
      <c r="C586">
        <v>47.838749999999997</v>
      </c>
      <c r="D586" s="109">
        <f t="shared" si="32"/>
        <v>-6.8643163502141533E-3</v>
      </c>
      <c r="E586">
        <v>1507.83997</v>
      </c>
      <c r="F586" s="111">
        <f t="shared" si="33"/>
        <v>5.1060004430801866E-3</v>
      </c>
    </row>
    <row r="587" spans="2:6">
      <c r="B587" s="107">
        <v>41302</v>
      </c>
      <c r="C587">
        <v>48.169400000000003</v>
      </c>
      <c r="D587" s="109">
        <f t="shared" si="32"/>
        <v>-2.6178243546078231E-3</v>
      </c>
      <c r="E587">
        <v>1500.1800499999999</v>
      </c>
      <c r="F587" s="111">
        <f t="shared" si="33"/>
        <v>-1.8496234590307866E-3</v>
      </c>
    </row>
    <row r="588" spans="2:6">
      <c r="B588" s="107">
        <v>41299</v>
      </c>
      <c r="C588">
        <v>48.295830000000002</v>
      </c>
      <c r="D588" s="109">
        <f t="shared" si="32"/>
        <v>1.6581389944615794E-2</v>
      </c>
      <c r="E588">
        <v>1502.9599599999999</v>
      </c>
      <c r="F588" s="111">
        <f t="shared" si="33"/>
        <v>5.4454785675022918E-3</v>
      </c>
    </row>
    <row r="589" spans="2:6">
      <c r="B589" s="107">
        <v>41298</v>
      </c>
      <c r="C589">
        <v>47.50808</v>
      </c>
      <c r="D589" s="109">
        <f t="shared" si="32"/>
        <v>2.5183503610729512E-2</v>
      </c>
      <c r="E589">
        <v>1494.8199500000001</v>
      </c>
      <c r="F589" s="111">
        <f t="shared" si="33"/>
        <v>6.6162252079312703E-6</v>
      </c>
    </row>
    <row r="590" spans="2:6">
      <c r="B590" s="107">
        <v>41297</v>
      </c>
      <c r="C590">
        <v>46.341050000000003</v>
      </c>
      <c r="D590" s="109">
        <f t="shared" si="32"/>
        <v>-6.2565391191308538E-3</v>
      </c>
      <c r="E590">
        <v>1494.81006</v>
      </c>
      <c r="F590" s="111">
        <f t="shared" si="33"/>
        <v>1.5074770257486321E-3</v>
      </c>
    </row>
    <row r="591" spans="2:6">
      <c r="B591" s="107">
        <v>41296</v>
      </c>
      <c r="C591">
        <v>46.632809999999999</v>
      </c>
      <c r="D591" s="109">
        <f t="shared" si="32"/>
        <v>-1.0524138106635413E-2</v>
      </c>
      <c r="E591">
        <v>1492.56006</v>
      </c>
      <c r="F591" s="111">
        <f t="shared" si="33"/>
        <v>4.4281081095049156E-3</v>
      </c>
    </row>
    <row r="592" spans="2:6">
      <c r="B592" s="107">
        <v>41292</v>
      </c>
      <c r="C592">
        <v>47.128799999999998</v>
      </c>
      <c r="D592" s="109">
        <f t="shared" si="32"/>
        <v>1.446641700339366E-3</v>
      </c>
      <c r="E592">
        <v>1485.9799800000001</v>
      </c>
      <c r="F592" s="111">
        <f t="shared" si="33"/>
        <v>3.4032710333952434E-3</v>
      </c>
    </row>
    <row r="593" spans="2:6">
      <c r="B593" s="107">
        <v>41291</v>
      </c>
      <c r="C593">
        <v>47.060720000000003</v>
      </c>
      <c r="D593" s="109">
        <f t="shared" si="32"/>
        <v>2.804335279435213E-2</v>
      </c>
      <c r="E593">
        <v>1480.93994</v>
      </c>
      <c r="F593" s="111">
        <f t="shared" si="33"/>
        <v>5.6429245635358973E-3</v>
      </c>
    </row>
    <row r="594" spans="2:6">
      <c r="B594" s="107">
        <v>41290</v>
      </c>
      <c r="C594">
        <v>45.776980000000002</v>
      </c>
      <c r="D594" s="109">
        <f t="shared" si="32"/>
        <v>8.504948174476337E-4</v>
      </c>
      <c r="E594">
        <v>1472.63</v>
      </c>
      <c r="F594" s="111">
        <f t="shared" si="33"/>
        <v>1.9698575458772287E-4</v>
      </c>
    </row>
    <row r="595" spans="2:6">
      <c r="B595" s="107">
        <v>41289</v>
      </c>
      <c r="C595">
        <v>45.738079999999997</v>
      </c>
      <c r="D595" s="109">
        <f t="shared" si="32"/>
        <v>1.7038879306039366E-3</v>
      </c>
      <c r="E595">
        <v>1472.33997</v>
      </c>
      <c r="F595" s="111">
        <f t="shared" si="33"/>
        <v>1.1286751322968286E-3</v>
      </c>
    </row>
    <row r="596" spans="2:6">
      <c r="B596" s="107">
        <v>41288</v>
      </c>
      <c r="C596">
        <v>45.66028</v>
      </c>
      <c r="D596" s="109">
        <f t="shared" si="32"/>
        <v>9.0263772816208954E-3</v>
      </c>
      <c r="E596">
        <v>1470.6800499999999</v>
      </c>
      <c r="F596" s="111">
        <f t="shared" si="33"/>
        <v>-9.3067487752887079E-4</v>
      </c>
    </row>
    <row r="597" spans="2:6">
      <c r="B597" s="107">
        <v>41285</v>
      </c>
      <c r="C597">
        <v>45.251820000000002</v>
      </c>
      <c r="D597" s="109">
        <f t="shared" si="32"/>
        <v>2.0394900620916336E-2</v>
      </c>
      <c r="E597">
        <v>1472.0500500000001</v>
      </c>
      <c r="F597" s="111">
        <f t="shared" si="33"/>
        <v>-4.7516506806398393E-5</v>
      </c>
    </row>
    <row r="598" spans="2:6">
      <c r="B598" s="107">
        <v>41284</v>
      </c>
      <c r="C598">
        <v>44.347360000000002</v>
      </c>
      <c r="D598" s="109">
        <f t="shared" si="32"/>
        <v>6.4002697812543079E-3</v>
      </c>
      <c r="E598">
        <v>1472.12</v>
      </c>
      <c r="F598" s="111">
        <f t="shared" si="33"/>
        <v>7.5974181380484848E-3</v>
      </c>
    </row>
    <row r="599" spans="2:6">
      <c r="B599" s="107">
        <v>41283</v>
      </c>
      <c r="C599">
        <v>44.065330000000003</v>
      </c>
      <c r="D599" s="109">
        <f t="shared" si="32"/>
        <v>4.4336987546620072E-3</v>
      </c>
      <c r="E599">
        <v>1461.0200199999999</v>
      </c>
      <c r="F599" s="111">
        <f t="shared" si="33"/>
        <v>2.6558692975208486E-3</v>
      </c>
    </row>
    <row r="600" spans="2:6">
      <c r="B600" s="107">
        <v>41282</v>
      </c>
      <c r="C600">
        <v>43.870820000000002</v>
      </c>
      <c r="D600" s="109">
        <f t="shared" si="32"/>
        <v>-3.9744920523779956E-3</v>
      </c>
      <c r="E600">
        <v>1457.15002</v>
      </c>
      <c r="F600" s="111">
        <f t="shared" si="33"/>
        <v>-3.2423711548586571E-3</v>
      </c>
    </row>
    <row r="601" spans="2:6">
      <c r="B601" s="107">
        <v>41281</v>
      </c>
      <c r="C601">
        <v>44.045879999999997</v>
      </c>
      <c r="D601" s="109">
        <f t="shared" si="32"/>
        <v>-3.7395493133982175E-3</v>
      </c>
      <c r="E601">
        <v>1461.8900100000001</v>
      </c>
      <c r="F601" s="111">
        <f t="shared" si="33"/>
        <v>-3.1231188457272181E-3</v>
      </c>
    </row>
    <row r="602" spans="2:6">
      <c r="B602" s="107">
        <v>41278</v>
      </c>
      <c r="C602">
        <v>44.211210000000001</v>
      </c>
      <c r="D602" s="109">
        <f t="shared" si="32"/>
        <v>1.7457397295078017E-2</v>
      </c>
      <c r="E602">
        <v>1466.4699700000001</v>
      </c>
      <c r="F602" s="111">
        <f t="shared" si="33"/>
        <v>4.8650924714090417E-3</v>
      </c>
    </row>
    <row r="603" spans="2:6">
      <c r="B603" s="107">
        <v>41277</v>
      </c>
      <c r="C603">
        <v>43.452640000000002</v>
      </c>
      <c r="D603" s="109">
        <f t="shared" si="32"/>
        <v>-1.3410405049390335E-3</v>
      </c>
      <c r="E603">
        <v>1459.37</v>
      </c>
      <c r="F603" s="111">
        <f t="shared" si="33"/>
        <v>-2.0856114635847585E-3</v>
      </c>
    </row>
    <row r="604" spans="2:6">
      <c r="B604" s="107">
        <v>41276</v>
      </c>
      <c r="C604">
        <v>43.51099</v>
      </c>
      <c r="D604" s="109">
        <f t="shared" si="32"/>
        <v>2.8505816681459972E-2</v>
      </c>
      <c r="E604">
        <v>1462.42004</v>
      </c>
      <c r="F604" s="111">
        <f t="shared" si="33"/>
        <v>2.5403418565692584E-2</v>
      </c>
    </row>
    <row r="605" spans="2:6">
      <c r="B605" s="107">
        <v>41274</v>
      </c>
      <c r="C605">
        <v>42.305050000000001</v>
      </c>
      <c r="D605" s="109">
        <f t="shared" si="32"/>
        <v>1.9212635378887524E-2</v>
      </c>
      <c r="E605">
        <v>1426.18994</v>
      </c>
      <c r="F605" s="111">
        <f t="shared" si="33"/>
        <v>1.69419430223989E-2</v>
      </c>
    </row>
    <row r="606" spans="2:6">
      <c r="B606" s="107">
        <v>41271</v>
      </c>
      <c r="C606">
        <v>41.507579999999997</v>
      </c>
      <c r="D606" s="109">
        <f t="shared" si="32"/>
        <v>-1.2494070098689728E-2</v>
      </c>
      <c r="E606">
        <v>1402.4300499999999</v>
      </c>
      <c r="F606" s="111">
        <f t="shared" si="33"/>
        <v>-1.1049947268175001E-2</v>
      </c>
    </row>
    <row r="607" spans="2:6">
      <c r="B607" s="107">
        <v>41270</v>
      </c>
      <c r="C607">
        <v>42.032739999999997</v>
      </c>
      <c r="D607" s="109">
        <f t="shared" si="32"/>
        <v>-8.033156861435688E-3</v>
      </c>
      <c r="E607">
        <v>1418.09998</v>
      </c>
      <c r="F607" s="111">
        <f t="shared" si="33"/>
        <v>-1.2184416787486782E-3</v>
      </c>
    </row>
    <row r="608" spans="2:6">
      <c r="B608" s="107">
        <v>41269</v>
      </c>
      <c r="C608">
        <v>42.373130000000003</v>
      </c>
      <c r="D608" s="109">
        <f t="shared" si="32"/>
        <v>-1.3807077488742811E-2</v>
      </c>
      <c r="E608">
        <v>1419.82996</v>
      </c>
      <c r="F608" s="111">
        <f t="shared" si="33"/>
        <v>-4.7874545136026405E-3</v>
      </c>
    </row>
    <row r="609" spans="2:6">
      <c r="B609" s="107">
        <v>41267</v>
      </c>
      <c r="C609">
        <v>42.966369999999998</v>
      </c>
      <c r="D609" s="109">
        <f t="shared" si="32"/>
        <v>-3.1587480267975207E-3</v>
      </c>
      <c r="E609">
        <v>1426.66003</v>
      </c>
      <c r="F609" s="111">
        <f t="shared" si="33"/>
        <v>-2.4402964382715837E-3</v>
      </c>
    </row>
    <row r="610" spans="2:6">
      <c r="B610" s="107">
        <v>41264</v>
      </c>
      <c r="C610">
        <v>43.102519999999998</v>
      </c>
      <c r="D610" s="109">
        <f t="shared" si="32"/>
        <v>2.0346390793908593E-3</v>
      </c>
      <c r="E610">
        <v>1430.15002</v>
      </c>
      <c r="F610" s="111">
        <f t="shared" si="33"/>
        <v>-9.3786897205919012E-3</v>
      </c>
    </row>
    <row r="611" spans="2:6">
      <c r="B611" s="107">
        <v>41263</v>
      </c>
      <c r="C611">
        <v>43.015000000000001</v>
      </c>
      <c r="D611" s="109">
        <f t="shared" si="32"/>
        <v>8.436025090516561E-3</v>
      </c>
      <c r="E611">
        <v>1443.68994</v>
      </c>
      <c r="F611" s="111">
        <f t="shared" si="33"/>
        <v>5.488107528651775E-3</v>
      </c>
    </row>
    <row r="612" spans="2:6">
      <c r="B612" s="107">
        <v>41262</v>
      </c>
      <c r="C612">
        <v>42.655160000000002</v>
      </c>
      <c r="D612" s="109">
        <f t="shared" si="32"/>
        <v>-1.3660783204189316E-3</v>
      </c>
      <c r="E612">
        <v>1435.81006</v>
      </c>
      <c r="F612" s="111">
        <f t="shared" si="33"/>
        <v>-7.5892007108371217E-3</v>
      </c>
    </row>
    <row r="613" spans="2:6">
      <c r="B613" s="107">
        <v>41261</v>
      </c>
      <c r="C613">
        <v>42.713509999999999</v>
      </c>
      <c r="D613" s="109">
        <f t="shared" si="32"/>
        <v>2.9294529716599769E-2</v>
      </c>
      <c r="E613">
        <v>1446.7900400000001</v>
      </c>
      <c r="F613" s="111">
        <f t="shared" si="33"/>
        <v>1.1486653789861785E-2</v>
      </c>
    </row>
    <row r="614" spans="2:6">
      <c r="B614" s="107">
        <v>41260</v>
      </c>
      <c r="C614">
        <v>41.49785</v>
      </c>
      <c r="D614" s="109">
        <f t="shared" si="32"/>
        <v>0</v>
      </c>
      <c r="E614">
        <v>1430.3599899999999</v>
      </c>
      <c r="F614" s="111">
        <f t="shared" si="33"/>
        <v>1.1870591317664051E-2</v>
      </c>
    </row>
    <row r="615" spans="2:6">
      <c r="B615" s="107">
        <v>41257</v>
      </c>
      <c r="C615">
        <v>41.49785</v>
      </c>
      <c r="D615" s="109">
        <f t="shared" si="32"/>
        <v>-1.1582000904628E-2</v>
      </c>
      <c r="E615">
        <v>1413.57996</v>
      </c>
      <c r="F615" s="111">
        <f t="shared" si="33"/>
        <v>-4.1353976587902349E-3</v>
      </c>
    </row>
    <row r="616" spans="2:6">
      <c r="B616" s="107">
        <v>41256</v>
      </c>
      <c r="C616">
        <v>41.984110000000001</v>
      </c>
      <c r="D616" s="109">
        <f t="shared" si="32"/>
        <v>-2.5416305446116999E-3</v>
      </c>
      <c r="E616">
        <v>1419.4499499999999</v>
      </c>
      <c r="F616" s="111">
        <f t="shared" si="33"/>
        <v>-6.3214256597422698E-3</v>
      </c>
    </row>
    <row r="617" spans="2:6">
      <c r="B617" s="107">
        <v>41255</v>
      </c>
      <c r="C617">
        <v>42.091090000000001</v>
      </c>
      <c r="D617" s="109">
        <f t="shared" si="32"/>
        <v>4.1762055766718133E-3</v>
      </c>
      <c r="E617">
        <v>1428.4799800000001</v>
      </c>
      <c r="F617" s="111">
        <f t="shared" si="33"/>
        <v>4.4823650650434923E-4</v>
      </c>
    </row>
    <row r="618" spans="2:6">
      <c r="B618" s="107">
        <v>41254</v>
      </c>
      <c r="C618">
        <v>41.916040000000002</v>
      </c>
      <c r="D618" s="109">
        <f t="shared" si="32"/>
        <v>7.2445797816919153E-3</v>
      </c>
      <c r="E618">
        <v>1427.83997</v>
      </c>
      <c r="F618" s="111">
        <f t="shared" si="33"/>
        <v>6.5488841934057511E-3</v>
      </c>
    </row>
    <row r="619" spans="2:6">
      <c r="B619" s="107">
        <v>41253</v>
      </c>
      <c r="C619">
        <v>41.614559999999997</v>
      </c>
      <c r="D619" s="109">
        <f t="shared" si="32"/>
        <v>1.2781158347690138E-2</v>
      </c>
      <c r="E619">
        <v>1418.5500500000001</v>
      </c>
      <c r="F619" s="111">
        <f t="shared" si="33"/>
        <v>3.3855875727427484E-4</v>
      </c>
    </row>
    <row r="620" spans="2:6">
      <c r="B620" s="107">
        <v>41250</v>
      </c>
      <c r="C620">
        <v>41.089390000000002</v>
      </c>
      <c r="D620" s="109">
        <f t="shared" si="32"/>
        <v>2.2507188016207172E-2</v>
      </c>
      <c r="E620">
        <v>1418.0699500000001</v>
      </c>
      <c r="F620" s="111">
        <f t="shared" si="33"/>
        <v>2.9209232182804625E-3</v>
      </c>
    </row>
    <row r="621" spans="2:6">
      <c r="B621" s="107">
        <v>41249</v>
      </c>
      <c r="C621">
        <v>40.184939999999997</v>
      </c>
      <c r="D621" s="109">
        <f t="shared" si="32"/>
        <v>3.8191072396012049E-2</v>
      </c>
      <c r="E621">
        <v>1413.93994</v>
      </c>
      <c r="F621" s="111">
        <f t="shared" si="33"/>
        <v>3.3065891099017999E-3</v>
      </c>
    </row>
    <row r="622" spans="2:6">
      <c r="B622" s="107">
        <v>41248</v>
      </c>
      <c r="C622">
        <v>38.706690000000002</v>
      </c>
      <c r="D622" s="109">
        <f t="shared" si="32"/>
        <v>-1.2407075148189816E-2</v>
      </c>
      <c r="E622">
        <v>1409.2800299999999</v>
      </c>
      <c r="F622" s="111">
        <f t="shared" si="33"/>
        <v>1.5848618888857872E-3</v>
      </c>
    </row>
    <row r="623" spans="2:6">
      <c r="B623" s="107">
        <v>41247</v>
      </c>
      <c r="C623">
        <v>39.192959999999999</v>
      </c>
      <c r="D623" s="109">
        <f t="shared" si="32"/>
        <v>1.9478926680836083E-2</v>
      </c>
      <c r="E623">
        <v>1407.0500500000001</v>
      </c>
      <c r="F623" s="111">
        <f t="shared" si="33"/>
        <v>-1.7098108980689699E-3</v>
      </c>
    </row>
    <row r="624" spans="2:6">
      <c r="B624" s="107">
        <v>41246</v>
      </c>
      <c r="C624">
        <v>38.444110000000002</v>
      </c>
      <c r="D624" s="109">
        <f t="shared" si="32"/>
        <v>1.0997498548358665E-2</v>
      </c>
      <c r="E624">
        <v>1409.4599599999999</v>
      </c>
      <c r="F624" s="111">
        <f t="shared" si="33"/>
        <v>-4.7452228973286466E-3</v>
      </c>
    </row>
    <row r="625" spans="2:6">
      <c r="B625" s="107">
        <v>41243</v>
      </c>
      <c r="C625">
        <v>38.025919999999999</v>
      </c>
      <c r="D625" s="109">
        <f t="shared" si="32"/>
        <v>-1.7340897062714949E-2</v>
      </c>
      <c r="E625">
        <v>1416.1800499999999</v>
      </c>
      <c r="F625" s="111">
        <f t="shared" si="33"/>
        <v>1.6250574393536515E-4</v>
      </c>
    </row>
    <row r="626" spans="2:6">
      <c r="B626" s="107">
        <v>41242</v>
      </c>
      <c r="C626">
        <v>38.696959999999997</v>
      </c>
      <c r="D626" s="109">
        <f t="shared" si="32"/>
        <v>-1.6073336009891984E-2</v>
      </c>
      <c r="E626">
        <v>1415.9499499999999</v>
      </c>
      <c r="F626" s="111">
        <f t="shared" si="33"/>
        <v>4.2696444408713806E-3</v>
      </c>
    </row>
    <row r="627" spans="2:6">
      <c r="B627" s="107">
        <v>41241</v>
      </c>
      <c r="C627">
        <v>39.32911</v>
      </c>
      <c r="D627" s="109">
        <f t="shared" si="32"/>
        <v>7.4738679751570336E-3</v>
      </c>
      <c r="E627">
        <v>1409.9300499999999</v>
      </c>
      <c r="F627" s="111">
        <f t="shared" si="33"/>
        <v>7.8560270428764505E-3</v>
      </c>
    </row>
    <row r="628" spans="2:6">
      <c r="B628" s="107">
        <v>41240</v>
      </c>
      <c r="C628">
        <v>39.037350000000004</v>
      </c>
      <c r="D628" s="109">
        <f t="shared" si="32"/>
        <v>-1.3031697637511743E-2</v>
      </c>
      <c r="E628">
        <v>1398.93994</v>
      </c>
      <c r="F628" s="111">
        <f t="shared" si="33"/>
        <v>-5.2265889616910826E-3</v>
      </c>
    </row>
    <row r="629" spans="2:6">
      <c r="B629" s="107">
        <v>41239</v>
      </c>
      <c r="C629">
        <v>39.552790000000002</v>
      </c>
      <c r="D629" s="109">
        <f t="shared" si="32"/>
        <v>1.3456107890743035E-2</v>
      </c>
      <c r="E629">
        <v>1406.2900400000001</v>
      </c>
      <c r="F629" s="111">
        <f t="shared" si="33"/>
        <v>-2.0295780856604256E-3</v>
      </c>
    </row>
    <row r="630" spans="2:6">
      <c r="B630" s="107">
        <v>41236</v>
      </c>
      <c r="C630">
        <v>39.027630000000002</v>
      </c>
      <c r="D630" s="109">
        <f t="shared" si="32"/>
        <v>1.672156549720533E-2</v>
      </c>
      <c r="E630">
        <v>1409.15002</v>
      </c>
      <c r="F630" s="111">
        <f t="shared" si="33"/>
        <v>1.302631115735161E-2</v>
      </c>
    </row>
    <row r="631" spans="2:6">
      <c r="B631" s="107">
        <v>41234</v>
      </c>
      <c r="C631">
        <v>38.385759999999998</v>
      </c>
      <c r="D631" s="109">
        <f t="shared" si="32"/>
        <v>1.6220555072848128E-2</v>
      </c>
      <c r="E631">
        <v>1391.0300299999999</v>
      </c>
      <c r="F631" s="111">
        <f t="shared" si="33"/>
        <v>2.3201806160706717E-3</v>
      </c>
    </row>
    <row r="632" spans="2:6">
      <c r="B632" s="107">
        <v>41233</v>
      </c>
      <c r="C632">
        <v>37.773060000000001</v>
      </c>
      <c r="D632" s="109">
        <f t="shared" si="32"/>
        <v>-1.1704737938515491E-2</v>
      </c>
      <c r="E632">
        <v>1387.81006</v>
      </c>
      <c r="F632" s="111">
        <f t="shared" si="33"/>
        <v>6.6339074718689951E-4</v>
      </c>
    </row>
    <row r="633" spans="2:6">
      <c r="B633" s="107">
        <v>41232</v>
      </c>
      <c r="C633">
        <v>38.220419999999997</v>
      </c>
      <c r="D633" s="109">
        <f t="shared" si="32"/>
        <v>-4.0548748789284066E-3</v>
      </c>
      <c r="E633">
        <v>1386.8900100000001</v>
      </c>
      <c r="F633" s="111">
        <f t="shared" si="33"/>
        <v>1.9862054004765099E-2</v>
      </c>
    </row>
    <row r="634" spans="2:6">
      <c r="B634" s="107">
        <v>41229</v>
      </c>
      <c r="C634">
        <v>38.37603</v>
      </c>
      <c r="D634" s="109">
        <f t="shared" si="32"/>
        <v>4.5826061484826692E-3</v>
      </c>
      <c r="E634">
        <v>1359.88</v>
      </c>
      <c r="F634" s="111">
        <f t="shared" si="33"/>
        <v>4.8399430985774381E-3</v>
      </c>
    </row>
    <row r="635" spans="2:6">
      <c r="B635" s="107">
        <v>41228</v>
      </c>
      <c r="C635">
        <v>38.200969999999998</v>
      </c>
      <c r="D635" s="109">
        <f t="shared" si="32"/>
        <v>-1.356112434650091E-2</v>
      </c>
      <c r="E635">
        <v>1353.32996</v>
      </c>
      <c r="F635" s="111">
        <f t="shared" si="33"/>
        <v>-1.5935418305818741E-3</v>
      </c>
    </row>
    <row r="636" spans="2:6">
      <c r="B636" s="107">
        <v>41227</v>
      </c>
      <c r="C636">
        <v>38.726140000000001</v>
      </c>
      <c r="D636" s="109">
        <f t="shared" si="32"/>
        <v>-1.5818113801369053E-2</v>
      </c>
      <c r="E636">
        <v>1355.48999</v>
      </c>
      <c r="F636" s="111">
        <f t="shared" si="33"/>
        <v>-1.3852036393850096E-2</v>
      </c>
    </row>
    <row r="637" spans="2:6">
      <c r="B637" s="107">
        <v>41226</v>
      </c>
      <c r="C637">
        <v>39.348559999999999</v>
      </c>
      <c r="D637" s="109">
        <f t="shared" si="32"/>
        <v>-2.4696201155135605E-4</v>
      </c>
      <c r="E637">
        <v>1374.5300299999999</v>
      </c>
      <c r="F637" s="111">
        <f t="shared" si="33"/>
        <v>-3.9854205201607104E-3</v>
      </c>
    </row>
    <row r="638" spans="2:6">
      <c r="B638" s="107">
        <v>41225</v>
      </c>
      <c r="C638">
        <v>39.358280000000001</v>
      </c>
      <c r="D638" s="109">
        <f t="shared" si="32"/>
        <v>-1.8195116305059267E-2</v>
      </c>
      <c r="E638">
        <v>1380.0300299999999</v>
      </c>
      <c r="F638" s="111">
        <f t="shared" si="33"/>
        <v>1.304851995576631E-4</v>
      </c>
    </row>
    <row r="639" spans="2:6">
      <c r="B639" s="107">
        <v>41222</v>
      </c>
      <c r="C639">
        <v>40.087679999999999</v>
      </c>
      <c r="D639" s="109">
        <f t="shared" si="32"/>
        <v>3.1638149457286534E-3</v>
      </c>
      <c r="E639">
        <v>1379.84998</v>
      </c>
      <c r="F639" s="111">
        <f t="shared" si="33"/>
        <v>1.6986954599335319E-3</v>
      </c>
    </row>
    <row r="640" spans="2:6">
      <c r="B640" s="107">
        <v>41221</v>
      </c>
      <c r="C640">
        <v>39.96125</v>
      </c>
      <c r="D640" s="109">
        <f t="shared" si="32"/>
        <v>-5.3225944019825701E-2</v>
      </c>
      <c r="E640">
        <v>1377.51001</v>
      </c>
      <c r="F640" s="111">
        <f t="shared" si="33"/>
        <v>-1.2204842946264794E-2</v>
      </c>
    </row>
    <row r="641" spans="2:6">
      <c r="B641" s="107">
        <v>41220</v>
      </c>
      <c r="C641">
        <v>42.207799999999999</v>
      </c>
      <c r="D641" s="109">
        <f t="shared" si="32"/>
        <v>-3.1466252033372964E-2</v>
      </c>
      <c r="E641">
        <v>1394.5300299999999</v>
      </c>
      <c r="F641" s="111">
        <f t="shared" si="33"/>
        <v>-2.3704996368603962E-2</v>
      </c>
    </row>
    <row r="642" spans="2:6">
      <c r="B642" s="107">
        <v>41219</v>
      </c>
      <c r="C642">
        <v>43.579070000000002</v>
      </c>
      <c r="D642" s="109">
        <f t="shared" si="32"/>
        <v>1.1284251661530574E-2</v>
      </c>
      <c r="E642">
        <v>1428.3900100000001</v>
      </c>
      <c r="F642" s="111">
        <f t="shared" si="33"/>
        <v>7.8531814356351658E-3</v>
      </c>
    </row>
    <row r="643" spans="2:6">
      <c r="B643" s="107">
        <v>41218</v>
      </c>
      <c r="C643">
        <v>43.092799999999997</v>
      </c>
      <c r="D643" s="109">
        <f t="shared" si="32"/>
        <v>1.9558204378681134E-2</v>
      </c>
      <c r="E643">
        <v>1417.26001</v>
      </c>
      <c r="F643" s="111">
        <f t="shared" si="33"/>
        <v>2.163810004377402E-3</v>
      </c>
    </row>
    <row r="644" spans="2:6">
      <c r="B644" s="107">
        <v>41215</v>
      </c>
      <c r="C644">
        <v>42.266150000000003</v>
      </c>
      <c r="D644" s="109">
        <f t="shared" si="32"/>
        <v>-1.5851427762456433E-2</v>
      </c>
      <c r="E644">
        <v>1414.1999499999999</v>
      </c>
      <c r="F644" s="111">
        <f t="shared" si="33"/>
        <v>-9.379457884535326E-3</v>
      </c>
    </row>
    <row r="645" spans="2:6">
      <c r="B645" s="107">
        <v>41214</v>
      </c>
      <c r="C645">
        <v>42.946919999999999</v>
      </c>
      <c r="D645" s="109">
        <f t="shared" si="32"/>
        <v>5.6965025361596512E-2</v>
      </c>
      <c r="E645">
        <v>1427.58997</v>
      </c>
      <c r="F645" s="111">
        <f t="shared" si="33"/>
        <v>1.0926481186413404E-2</v>
      </c>
    </row>
    <row r="646" spans="2:6">
      <c r="B646" s="107">
        <v>41213</v>
      </c>
      <c r="C646">
        <v>40.632300000000001</v>
      </c>
      <c r="D646" s="109">
        <f t="shared" si="32"/>
        <v>-1.0655727925516275E-2</v>
      </c>
      <c r="E646">
        <v>1412.16003</v>
      </c>
      <c r="F646" s="111">
        <f t="shared" si="33"/>
        <v>1.5587773513937671E-4</v>
      </c>
    </row>
    <row r="647" spans="2:6">
      <c r="B647" s="107">
        <v>41208</v>
      </c>
      <c r="C647">
        <v>41.069929999999999</v>
      </c>
      <c r="D647" s="109">
        <f t="shared" si="32"/>
        <v>-3.7746018608853372E-3</v>
      </c>
      <c r="E647">
        <v>1411.93994</v>
      </c>
      <c r="F647" s="111">
        <f t="shared" si="33"/>
        <v>-7.2898223024522185E-4</v>
      </c>
    </row>
    <row r="648" spans="2:6">
      <c r="B648" s="107">
        <v>41207</v>
      </c>
      <c r="C648">
        <v>41.225540000000002</v>
      </c>
      <c r="D648" s="109">
        <f t="shared" si="32"/>
        <v>-1.6701426521546527E-2</v>
      </c>
      <c r="E648">
        <v>1412.9699700000001</v>
      </c>
      <c r="F648" s="111">
        <f t="shared" si="33"/>
        <v>2.995542147293773E-3</v>
      </c>
    </row>
    <row r="649" spans="2:6">
      <c r="B649" s="107">
        <v>41206</v>
      </c>
      <c r="C649">
        <v>41.925759999999997</v>
      </c>
      <c r="D649" s="109">
        <f t="shared" ref="D649:D712" si="34">(C649-C650)/C650</f>
        <v>-5.7658606224019098E-3</v>
      </c>
      <c r="E649">
        <v>1408.75</v>
      </c>
      <c r="F649" s="111">
        <f t="shared" ref="F649:F712" si="35">(E649-E650)/E650</f>
        <v>-3.0853861559636455E-3</v>
      </c>
    </row>
    <row r="650" spans="2:6">
      <c r="B650" s="107">
        <v>41205</v>
      </c>
      <c r="C650">
        <v>42.168900000000001</v>
      </c>
      <c r="D650" s="109">
        <f t="shared" si="34"/>
        <v>-1.6116212881747611E-3</v>
      </c>
      <c r="E650">
        <v>1413.1099899999999</v>
      </c>
      <c r="F650" s="111">
        <f t="shared" si="35"/>
        <v>-1.4443905596375707E-2</v>
      </c>
    </row>
    <row r="651" spans="2:6">
      <c r="B651" s="107">
        <v>41204</v>
      </c>
      <c r="C651">
        <v>42.236969999999999</v>
      </c>
      <c r="D651" s="109">
        <f t="shared" si="34"/>
        <v>-1.3402938887326514E-2</v>
      </c>
      <c r="E651">
        <v>1433.8199500000001</v>
      </c>
      <c r="F651" s="111">
        <f t="shared" si="35"/>
        <v>4.3958583745018747E-4</v>
      </c>
    </row>
    <row r="652" spans="2:6">
      <c r="B652" s="107">
        <v>41201</v>
      </c>
      <c r="C652">
        <v>42.810760000000002</v>
      </c>
      <c r="D652" s="109">
        <f t="shared" si="34"/>
        <v>2.7064750952615003E-2</v>
      </c>
      <c r="E652">
        <v>1433.18994</v>
      </c>
      <c r="F652" s="111">
        <f t="shared" si="35"/>
        <v>-1.6571308340633802E-2</v>
      </c>
    </row>
    <row r="653" spans="2:6">
      <c r="B653" s="107">
        <v>41200</v>
      </c>
      <c r="C653">
        <v>41.682630000000003</v>
      </c>
      <c r="D653" s="109">
        <f t="shared" si="34"/>
        <v>-3.3378345191557676E-2</v>
      </c>
      <c r="E653">
        <v>1457.33997</v>
      </c>
      <c r="F653" s="111">
        <f t="shared" si="35"/>
        <v>-2.443723382472781E-3</v>
      </c>
    </row>
    <row r="654" spans="2:6">
      <c r="B654" s="107">
        <v>41199</v>
      </c>
      <c r="C654">
        <v>43.121969999999997</v>
      </c>
      <c r="D654" s="109">
        <f t="shared" si="34"/>
        <v>-1.070963428899966E-2</v>
      </c>
      <c r="E654">
        <v>1460.91003</v>
      </c>
      <c r="F654" s="111">
        <f t="shared" si="35"/>
        <v>4.117057869379567E-3</v>
      </c>
    </row>
    <row r="655" spans="2:6">
      <c r="B655" s="107">
        <v>41198</v>
      </c>
      <c r="C655">
        <v>43.588790000000003</v>
      </c>
      <c r="D655" s="109">
        <f t="shared" si="34"/>
        <v>2.4925738436111306E-2</v>
      </c>
      <c r="E655">
        <v>1454.92004</v>
      </c>
      <c r="F655" s="111">
        <f t="shared" si="35"/>
        <v>1.0269933964294794E-2</v>
      </c>
    </row>
    <row r="656" spans="2:6">
      <c r="B656" s="107">
        <v>41197</v>
      </c>
      <c r="C656">
        <v>42.528730000000003</v>
      </c>
      <c r="D656" s="109">
        <f t="shared" si="34"/>
        <v>3.429521850959763E-2</v>
      </c>
      <c r="E656">
        <v>1440.13</v>
      </c>
      <c r="F656" s="111">
        <f t="shared" si="35"/>
        <v>8.0779161567262822E-3</v>
      </c>
    </row>
    <row r="657" spans="2:6">
      <c r="B657" s="107">
        <v>41194</v>
      </c>
      <c r="C657">
        <v>41.118560000000002</v>
      </c>
      <c r="D657" s="109">
        <f t="shared" si="34"/>
        <v>0</v>
      </c>
      <c r="E657">
        <v>1428.58997</v>
      </c>
      <c r="F657" s="111">
        <f t="shared" si="35"/>
        <v>-2.966137244203203E-3</v>
      </c>
    </row>
    <row r="658" spans="2:6">
      <c r="B658" s="107">
        <v>41193</v>
      </c>
      <c r="C658">
        <v>41.118560000000002</v>
      </c>
      <c r="D658" s="109">
        <f t="shared" si="34"/>
        <v>-6.5789871051272269E-3</v>
      </c>
      <c r="E658">
        <v>1432.83997</v>
      </c>
      <c r="F658" s="111">
        <f t="shared" si="35"/>
        <v>1.9539145884045698E-4</v>
      </c>
    </row>
    <row r="659" spans="2:6">
      <c r="B659" s="107">
        <v>41192</v>
      </c>
      <c r="C659">
        <v>41.39087</v>
      </c>
      <c r="D659" s="109">
        <f t="shared" si="34"/>
        <v>-1.9128836934959387E-2</v>
      </c>
      <c r="E659">
        <v>1432.56006</v>
      </c>
      <c r="F659" s="111">
        <f t="shared" si="35"/>
        <v>-6.1880290560816856E-3</v>
      </c>
    </row>
    <row r="660" spans="2:6">
      <c r="B660" s="107">
        <v>41191</v>
      </c>
      <c r="C660">
        <v>42.198070000000001</v>
      </c>
      <c r="D660" s="109">
        <f t="shared" si="34"/>
        <v>-7.7749794080378539E-3</v>
      </c>
      <c r="E660">
        <v>1441.4799800000001</v>
      </c>
      <c r="F660" s="111">
        <f t="shared" si="35"/>
        <v>-9.8909388136385144E-3</v>
      </c>
    </row>
    <row r="661" spans="2:6">
      <c r="B661" s="107">
        <v>41190</v>
      </c>
      <c r="C661">
        <v>42.528730000000003</v>
      </c>
      <c r="D661" s="109">
        <f t="shared" si="34"/>
        <v>-8.1650996155678123E-3</v>
      </c>
      <c r="E661">
        <v>1455.88</v>
      </c>
      <c r="F661" s="111">
        <f t="shared" si="35"/>
        <v>-3.4567363440842556E-3</v>
      </c>
    </row>
    <row r="662" spans="2:6">
      <c r="B662" s="107">
        <v>41187</v>
      </c>
      <c r="C662">
        <v>42.878839999999997</v>
      </c>
      <c r="D662" s="109">
        <f t="shared" si="34"/>
        <v>-1.2099573288274582E-2</v>
      </c>
      <c r="E662">
        <v>1460.9300499999999</v>
      </c>
      <c r="F662" s="111">
        <f t="shared" si="35"/>
        <v>-3.2158888296724054E-4</v>
      </c>
    </row>
    <row r="663" spans="2:6">
      <c r="B663" s="107">
        <v>41186</v>
      </c>
      <c r="C663">
        <v>43.40401</v>
      </c>
      <c r="D663" s="109">
        <f t="shared" si="34"/>
        <v>2.2920011274647951E-2</v>
      </c>
      <c r="E663">
        <v>1461.40002</v>
      </c>
      <c r="F663" s="111">
        <f t="shared" si="35"/>
        <v>7.174432678202009E-3</v>
      </c>
    </row>
    <row r="664" spans="2:6">
      <c r="B664" s="107">
        <v>41185</v>
      </c>
      <c r="C664">
        <v>42.431480000000001</v>
      </c>
      <c r="D664" s="109">
        <f t="shared" si="34"/>
        <v>-1.5346415178405589E-2</v>
      </c>
      <c r="E664">
        <v>1450.98999</v>
      </c>
      <c r="F664" s="111">
        <f t="shared" si="35"/>
        <v>3.6244094760505166E-3</v>
      </c>
    </row>
    <row r="665" spans="2:6">
      <c r="B665" s="107">
        <v>41184</v>
      </c>
      <c r="C665">
        <v>43.092799999999997</v>
      </c>
      <c r="D665" s="109">
        <f t="shared" si="34"/>
        <v>3.0225556683706769E-2</v>
      </c>
      <c r="E665">
        <v>1445.75</v>
      </c>
      <c r="F665" s="111">
        <f t="shared" si="35"/>
        <v>8.7228711083000697E-4</v>
      </c>
    </row>
    <row r="666" spans="2:6">
      <c r="B666" s="107">
        <v>41183</v>
      </c>
      <c r="C666">
        <v>41.828510000000001</v>
      </c>
      <c r="D666" s="109">
        <f t="shared" si="34"/>
        <v>-9.6706747666794757E-3</v>
      </c>
      <c r="E666">
        <v>1444.48999</v>
      </c>
      <c r="F666" s="111">
        <f t="shared" si="35"/>
        <v>2.6515092935507027E-3</v>
      </c>
    </row>
    <row r="667" spans="2:6">
      <c r="B667" s="107">
        <v>41180</v>
      </c>
      <c r="C667">
        <v>42.236969999999999</v>
      </c>
      <c r="D667" s="109">
        <f t="shared" si="34"/>
        <v>4.3940636623204729E-3</v>
      </c>
      <c r="E667">
        <v>1440.67004</v>
      </c>
      <c r="F667" s="111">
        <f t="shared" si="35"/>
        <v>-4.4777527626334614E-3</v>
      </c>
    </row>
    <row r="668" spans="2:6">
      <c r="B668" s="107">
        <v>41179</v>
      </c>
      <c r="C668">
        <v>42.052190000000003</v>
      </c>
      <c r="D668" s="109">
        <f t="shared" si="34"/>
        <v>1.3595940235421633E-2</v>
      </c>
      <c r="E668">
        <v>1447.15002</v>
      </c>
      <c r="F668" s="111">
        <f t="shared" si="35"/>
        <v>9.6489761410213943E-3</v>
      </c>
    </row>
    <row r="669" spans="2:6">
      <c r="B669" s="107">
        <v>41178</v>
      </c>
      <c r="C669">
        <v>41.488120000000002</v>
      </c>
      <c r="D669" s="109">
        <f t="shared" si="34"/>
        <v>-2.8024797853264144E-2</v>
      </c>
      <c r="E669">
        <v>1433.3199500000001</v>
      </c>
      <c r="F669" s="111">
        <f t="shared" si="35"/>
        <v>-5.7367352521188334E-3</v>
      </c>
    </row>
    <row r="670" spans="2:6">
      <c r="B670" s="107">
        <v>41177</v>
      </c>
      <c r="C670">
        <v>42.684339999999999</v>
      </c>
      <c r="D670" s="109">
        <f t="shared" si="34"/>
        <v>-2.790702652919989E-2</v>
      </c>
      <c r="E670">
        <v>1441.58997</v>
      </c>
      <c r="F670" s="111">
        <f t="shared" si="35"/>
        <v>-1.0501849758720001E-2</v>
      </c>
    </row>
    <row r="671" spans="2:6">
      <c r="B671" s="107">
        <v>41176</v>
      </c>
      <c r="C671">
        <v>43.909730000000003</v>
      </c>
      <c r="D671" s="109">
        <f t="shared" si="34"/>
        <v>-1.9892152350430496E-3</v>
      </c>
      <c r="E671">
        <v>1456.8900100000001</v>
      </c>
      <c r="F671" s="111">
        <f t="shared" si="35"/>
        <v>-2.2326541487839484E-3</v>
      </c>
    </row>
    <row r="672" spans="2:6">
      <c r="B672" s="107">
        <v>41173</v>
      </c>
      <c r="C672">
        <v>43.997250000000001</v>
      </c>
      <c r="D672" s="109">
        <f t="shared" si="34"/>
        <v>-1.5451661808884987E-2</v>
      </c>
      <c r="E672">
        <v>1460.15002</v>
      </c>
      <c r="F672" s="111">
        <f t="shared" si="35"/>
        <v>-7.5322202379509941E-5</v>
      </c>
    </row>
    <row r="673" spans="2:6">
      <c r="B673" s="107">
        <v>41172</v>
      </c>
      <c r="C673">
        <v>44.687750000000001</v>
      </c>
      <c r="D673" s="109">
        <f t="shared" si="34"/>
        <v>-4.9804693370930657E-3</v>
      </c>
      <c r="E673">
        <v>1460.26001</v>
      </c>
      <c r="F673" s="111">
        <f t="shared" si="35"/>
        <v>-5.407343848351328E-4</v>
      </c>
    </row>
    <row r="674" spans="2:6">
      <c r="B674" s="107">
        <v>41171</v>
      </c>
      <c r="C674">
        <v>44.911430000000003</v>
      </c>
      <c r="D674" s="109">
        <f t="shared" si="34"/>
        <v>2.1907627588761708E-2</v>
      </c>
      <c r="E674">
        <v>1461.0500500000001</v>
      </c>
      <c r="F674" s="111">
        <f t="shared" si="35"/>
        <v>1.1855522156056272E-3</v>
      </c>
    </row>
    <row r="675" spans="2:6">
      <c r="B675" s="107">
        <v>41170</v>
      </c>
      <c r="C675">
        <v>43.948619999999998</v>
      </c>
      <c r="D675" s="109">
        <f t="shared" si="34"/>
        <v>-1.2240511142816345E-2</v>
      </c>
      <c r="E675">
        <v>1459.3199500000001</v>
      </c>
      <c r="F675" s="111">
        <f t="shared" si="35"/>
        <v>-1.2797720192351694E-3</v>
      </c>
    </row>
    <row r="676" spans="2:6">
      <c r="B676" s="107">
        <v>41169</v>
      </c>
      <c r="C676">
        <v>44.49324</v>
      </c>
      <c r="D676" s="109">
        <f t="shared" si="34"/>
        <v>1.3131572959896431E-3</v>
      </c>
      <c r="E676">
        <v>1461.18994</v>
      </c>
      <c r="F676" s="111">
        <f t="shared" si="35"/>
        <v>-3.1246920986963242E-3</v>
      </c>
    </row>
    <row r="677" spans="2:6">
      <c r="B677" s="107">
        <v>41166</v>
      </c>
      <c r="C677">
        <v>44.434890000000003</v>
      </c>
      <c r="D677" s="109">
        <f t="shared" si="34"/>
        <v>7.0531288414747515E-3</v>
      </c>
      <c r="E677">
        <v>1465.7700199999999</v>
      </c>
      <c r="F677" s="111">
        <f t="shared" si="35"/>
        <v>3.9589518007585086E-3</v>
      </c>
    </row>
    <row r="678" spans="2:6">
      <c r="B678" s="107">
        <v>41165</v>
      </c>
      <c r="C678">
        <v>44.12368</v>
      </c>
      <c r="D678" s="109">
        <f t="shared" si="34"/>
        <v>8.8947738716217348E-3</v>
      </c>
      <c r="E678">
        <v>1459.98999</v>
      </c>
      <c r="F678" s="111">
        <f t="shared" si="35"/>
        <v>1.6309746214161078E-2</v>
      </c>
    </row>
    <row r="679" spans="2:6">
      <c r="B679" s="107">
        <v>41164</v>
      </c>
      <c r="C679">
        <v>43.734670000000001</v>
      </c>
      <c r="D679" s="109">
        <f t="shared" si="34"/>
        <v>1.0107852663335148E-2</v>
      </c>
      <c r="E679">
        <v>1436.56006</v>
      </c>
      <c r="F679" s="111">
        <f t="shared" si="35"/>
        <v>2.0926922308368442E-3</v>
      </c>
    </row>
    <row r="680" spans="2:6">
      <c r="B680" s="107">
        <v>41163</v>
      </c>
      <c r="C680">
        <v>43.297029999999999</v>
      </c>
      <c r="D680" s="109">
        <f t="shared" si="34"/>
        <v>1.2048173057616561E-2</v>
      </c>
      <c r="E680">
        <v>1433.56006</v>
      </c>
      <c r="F680" s="111">
        <f t="shared" si="35"/>
        <v>3.1349540441389947E-3</v>
      </c>
    </row>
    <row r="681" spans="2:6">
      <c r="B681" s="107">
        <v>41162</v>
      </c>
      <c r="C681">
        <v>42.781590000000001</v>
      </c>
      <c r="D681" s="109">
        <f t="shared" si="34"/>
        <v>-6.1002453990865613E-3</v>
      </c>
      <c r="E681">
        <v>1429.07996</v>
      </c>
      <c r="F681" s="111">
        <f t="shared" si="35"/>
        <v>-6.1478244645647639E-3</v>
      </c>
    </row>
    <row r="682" spans="2:6">
      <c r="B682" s="107">
        <v>41159</v>
      </c>
      <c r="C682">
        <v>43.044170000000001</v>
      </c>
      <c r="D682" s="109">
        <f t="shared" si="34"/>
        <v>5.6804694465368306E-3</v>
      </c>
      <c r="E682">
        <v>1437.92004</v>
      </c>
      <c r="F682" s="111">
        <f t="shared" si="35"/>
        <v>4.0499678797866669E-3</v>
      </c>
    </row>
    <row r="683" spans="2:6">
      <c r="B683" s="107">
        <v>41158</v>
      </c>
      <c r="C683">
        <v>42.80104</v>
      </c>
      <c r="D683" s="109">
        <f t="shared" si="34"/>
        <v>8.3990233181401128E-2</v>
      </c>
      <c r="E683">
        <v>1432.12</v>
      </c>
      <c r="F683" s="111">
        <f t="shared" si="35"/>
        <v>2.0435544965322787E-2</v>
      </c>
    </row>
    <row r="684" spans="2:6">
      <c r="B684" s="107">
        <v>41157</v>
      </c>
      <c r="C684">
        <v>39.48471</v>
      </c>
      <c r="D684" s="109">
        <f t="shared" si="34"/>
        <v>-7.0923573085555662E-3</v>
      </c>
      <c r="E684">
        <v>1403.43994</v>
      </c>
      <c r="F684" s="111">
        <f t="shared" si="35"/>
        <v>-1.0676612980338506E-3</v>
      </c>
    </row>
    <row r="685" spans="2:6">
      <c r="B685" s="107">
        <v>41156</v>
      </c>
      <c r="C685">
        <v>39.766750000000002</v>
      </c>
      <c r="D685" s="109">
        <f t="shared" si="34"/>
        <v>-8.0057015023068702E-3</v>
      </c>
      <c r="E685">
        <v>1404.93994</v>
      </c>
      <c r="F685" s="111">
        <f t="shared" si="35"/>
        <v>-1.1659628649906611E-3</v>
      </c>
    </row>
    <row r="686" spans="2:6">
      <c r="B686" s="107">
        <v>41152</v>
      </c>
      <c r="C686">
        <v>40.087679999999999</v>
      </c>
      <c r="D686" s="109">
        <f t="shared" si="34"/>
        <v>4.6307411240786101E-3</v>
      </c>
      <c r="E686">
        <v>1406.57996</v>
      </c>
      <c r="F686" s="111">
        <f t="shared" si="35"/>
        <v>5.0732987262882886E-3</v>
      </c>
    </row>
    <row r="687" spans="2:6">
      <c r="B687" s="107">
        <v>41151</v>
      </c>
      <c r="C687">
        <v>39.902900000000002</v>
      </c>
      <c r="D687" s="109">
        <f t="shared" si="34"/>
        <v>-2.402485400570761E-2</v>
      </c>
      <c r="E687">
        <v>1399.4799800000001</v>
      </c>
      <c r="F687" s="111">
        <f t="shared" si="35"/>
        <v>-7.8058051301732141E-3</v>
      </c>
    </row>
    <row r="688" spans="2:6">
      <c r="B688" s="107">
        <v>41150</v>
      </c>
      <c r="C688">
        <v>40.885159999999999</v>
      </c>
      <c r="D688" s="109">
        <f t="shared" si="34"/>
        <v>-6.3813954302228953E-3</v>
      </c>
      <c r="E688">
        <v>1410.48999</v>
      </c>
      <c r="F688" s="111">
        <f t="shared" si="35"/>
        <v>8.443482280441121E-4</v>
      </c>
    </row>
    <row r="689" spans="2:6">
      <c r="B689" s="107">
        <v>41149</v>
      </c>
      <c r="C689">
        <v>41.147739999999999</v>
      </c>
      <c r="D689" s="109">
        <f t="shared" si="34"/>
        <v>-1.490106813093362E-2</v>
      </c>
      <c r="E689">
        <v>1409.3000500000001</v>
      </c>
      <c r="F689" s="111">
        <f t="shared" si="35"/>
        <v>-8.0818046034623989E-4</v>
      </c>
    </row>
    <row r="690" spans="2:6">
      <c r="B690" s="107">
        <v>41148</v>
      </c>
      <c r="C690">
        <v>41.770159999999997</v>
      </c>
      <c r="D690" s="109">
        <f t="shared" si="34"/>
        <v>-2.0911330749499315E-3</v>
      </c>
      <c r="E690">
        <v>1410.43994</v>
      </c>
      <c r="F690" s="111">
        <f t="shared" si="35"/>
        <v>-4.8901235180325725E-4</v>
      </c>
    </row>
    <row r="691" spans="2:6">
      <c r="B691" s="107">
        <v>41145</v>
      </c>
      <c r="C691">
        <v>41.857689999999998</v>
      </c>
      <c r="D691" s="109">
        <f t="shared" si="34"/>
        <v>1.8216276596469211E-2</v>
      </c>
      <c r="E691">
        <v>1411.13</v>
      </c>
      <c r="F691" s="111">
        <f t="shared" si="35"/>
        <v>6.4547245935959894E-3</v>
      </c>
    </row>
    <row r="692" spans="2:6">
      <c r="B692" s="107">
        <v>41144</v>
      </c>
      <c r="C692">
        <v>41.108840000000001</v>
      </c>
      <c r="D692" s="109">
        <f t="shared" si="34"/>
        <v>-2.9168511676402387E-2</v>
      </c>
      <c r="E692">
        <v>1402.07996</v>
      </c>
      <c r="F692" s="111">
        <f t="shared" si="35"/>
        <v>-8.0722396909227532E-3</v>
      </c>
    </row>
    <row r="693" spans="2:6">
      <c r="B693" s="107">
        <v>41143</v>
      </c>
      <c r="C693">
        <v>42.34395</v>
      </c>
      <c r="D693" s="109">
        <f t="shared" si="34"/>
        <v>1.3029153091890894E-2</v>
      </c>
      <c r="E693">
        <v>1413.48999</v>
      </c>
      <c r="F693" s="111">
        <f t="shared" si="35"/>
        <v>2.2640587540340338E-4</v>
      </c>
    </row>
    <row r="694" spans="2:6">
      <c r="B694" s="107">
        <v>41142</v>
      </c>
      <c r="C694">
        <v>41.799340000000001</v>
      </c>
      <c r="D694" s="109">
        <f t="shared" si="34"/>
        <v>1.6796873859734308E-2</v>
      </c>
      <c r="E694">
        <v>1413.17004</v>
      </c>
      <c r="F694" s="111">
        <f t="shared" si="35"/>
        <v>-3.4975354868736555E-3</v>
      </c>
    </row>
    <row r="695" spans="2:6">
      <c r="B695" s="107">
        <v>41141</v>
      </c>
      <c r="C695">
        <v>41.108840000000001</v>
      </c>
      <c r="D695" s="109">
        <f t="shared" si="34"/>
        <v>-6.5805324404951872E-3</v>
      </c>
      <c r="E695">
        <v>1418.13</v>
      </c>
      <c r="F695" s="111">
        <f t="shared" si="35"/>
        <v>-2.1175325326223568E-5</v>
      </c>
    </row>
    <row r="696" spans="2:6">
      <c r="B696" s="107">
        <v>41138</v>
      </c>
      <c r="C696">
        <v>41.381149999999998</v>
      </c>
      <c r="D696" s="109">
        <f t="shared" si="34"/>
        <v>-3.5128926870042314E-3</v>
      </c>
      <c r="E696">
        <v>1418.16003</v>
      </c>
      <c r="F696" s="111">
        <f t="shared" si="35"/>
        <v>1.8721308795266241E-3</v>
      </c>
    </row>
    <row r="697" spans="2:6">
      <c r="B697" s="107">
        <v>41137</v>
      </c>
      <c r="C697">
        <v>41.527030000000003</v>
      </c>
      <c r="D697" s="109">
        <f t="shared" si="34"/>
        <v>2.7430369480785279E-2</v>
      </c>
      <c r="E697">
        <v>1415.51001</v>
      </c>
      <c r="F697" s="111">
        <f t="shared" si="35"/>
        <v>7.1005099762970342E-3</v>
      </c>
    </row>
    <row r="698" spans="2:6">
      <c r="B698" s="107">
        <v>41136</v>
      </c>
      <c r="C698">
        <v>40.418340000000001</v>
      </c>
      <c r="D698" s="109">
        <f t="shared" si="34"/>
        <v>2.5413385162557093E-2</v>
      </c>
      <c r="E698">
        <v>1405.5300299999999</v>
      </c>
      <c r="F698" s="111">
        <f t="shared" si="35"/>
        <v>1.1396436738425535E-3</v>
      </c>
    </row>
    <row r="699" spans="2:6">
      <c r="B699" s="107">
        <v>41135</v>
      </c>
      <c r="C699">
        <v>39.416629999999998</v>
      </c>
      <c r="D699" s="109">
        <f t="shared" si="34"/>
        <v>-9.0465544076687911E-3</v>
      </c>
      <c r="E699">
        <v>1403.9300499999999</v>
      </c>
      <c r="F699" s="111">
        <f t="shared" si="35"/>
        <v>-1.2815235364858262E-4</v>
      </c>
    </row>
    <row r="700" spans="2:6">
      <c r="B700" s="107">
        <v>41134</v>
      </c>
      <c r="C700">
        <v>39.776470000000003</v>
      </c>
      <c r="D700" s="109">
        <f t="shared" si="34"/>
        <v>-1.2077419470209865E-2</v>
      </c>
      <c r="E700">
        <v>1404.1099899999999</v>
      </c>
      <c r="F700" s="111">
        <f t="shared" si="35"/>
        <v>-1.2519009581255492E-3</v>
      </c>
    </row>
    <row r="701" spans="2:6">
      <c r="B701" s="107">
        <v>41131</v>
      </c>
      <c r="C701">
        <v>40.262740000000001</v>
      </c>
      <c r="D701" s="109">
        <f t="shared" si="34"/>
        <v>-4.5683888653741045E-3</v>
      </c>
      <c r="E701">
        <v>1405.87</v>
      </c>
      <c r="F701" s="111">
        <f t="shared" si="35"/>
        <v>2.1884444614896008E-3</v>
      </c>
    </row>
    <row r="702" spans="2:6">
      <c r="B702" s="107">
        <v>41130</v>
      </c>
      <c r="C702">
        <v>40.447519999999997</v>
      </c>
      <c r="D702" s="109">
        <f t="shared" si="34"/>
        <v>-2.6379316721942096E-3</v>
      </c>
      <c r="E702">
        <v>1402.8000500000001</v>
      </c>
      <c r="F702" s="111">
        <f t="shared" si="35"/>
        <v>4.1368687681716057E-4</v>
      </c>
    </row>
    <row r="703" spans="2:6">
      <c r="B703" s="107">
        <v>41129</v>
      </c>
      <c r="C703">
        <v>40.554499999999997</v>
      </c>
      <c r="D703" s="109">
        <f t="shared" si="34"/>
        <v>-9.0303845708368108E-3</v>
      </c>
      <c r="E703">
        <v>1402.2199700000001</v>
      </c>
      <c r="F703" s="111">
        <f t="shared" si="35"/>
        <v>6.2082278689592129E-4</v>
      </c>
    </row>
    <row r="704" spans="2:6">
      <c r="B704" s="107">
        <v>41128</v>
      </c>
      <c r="C704">
        <v>40.924059999999997</v>
      </c>
      <c r="D704" s="109">
        <f t="shared" si="34"/>
        <v>1.4464853469983299E-2</v>
      </c>
      <c r="E704">
        <v>1401.34998</v>
      </c>
      <c r="F704" s="111">
        <f t="shared" si="35"/>
        <v>5.1067615114687827E-3</v>
      </c>
    </row>
    <row r="705" spans="2:6">
      <c r="B705" s="107">
        <v>41127</v>
      </c>
      <c r="C705">
        <v>40.340539999999997</v>
      </c>
      <c r="D705" s="109">
        <f t="shared" si="34"/>
        <v>2.6589742493580005E-3</v>
      </c>
      <c r="E705">
        <v>1394.2299800000001</v>
      </c>
      <c r="F705" s="111">
        <f t="shared" si="35"/>
        <v>2.3292690984785839E-3</v>
      </c>
    </row>
    <row r="706" spans="2:6">
      <c r="B706" s="107">
        <v>41124</v>
      </c>
      <c r="C706">
        <v>40.233559999999997</v>
      </c>
      <c r="D706" s="109">
        <f t="shared" si="34"/>
        <v>1.521476213197934E-2</v>
      </c>
      <c r="E706">
        <v>1390.98999</v>
      </c>
      <c r="F706" s="111">
        <f t="shared" si="35"/>
        <v>1.9040285714285739E-2</v>
      </c>
    </row>
    <row r="707" spans="2:6">
      <c r="B707" s="107">
        <v>41123</v>
      </c>
      <c r="C707">
        <v>39.630589999999998</v>
      </c>
      <c r="D707" s="109">
        <f t="shared" si="34"/>
        <v>-1.6413220420675105E-2</v>
      </c>
      <c r="E707">
        <v>1365</v>
      </c>
      <c r="F707" s="111">
        <f t="shared" si="35"/>
        <v>-7.5036721455251643E-3</v>
      </c>
    </row>
    <row r="708" spans="2:6">
      <c r="B708" s="107">
        <v>41122</v>
      </c>
      <c r="C708">
        <v>40.291910000000001</v>
      </c>
      <c r="D708" s="109">
        <f t="shared" si="34"/>
        <v>7.2937208251167094E-3</v>
      </c>
      <c r="E708">
        <v>1375.3199500000001</v>
      </c>
      <c r="F708" s="111">
        <f t="shared" si="35"/>
        <v>-2.8999798052656311E-3</v>
      </c>
    </row>
    <row r="709" spans="2:6">
      <c r="B709" s="107">
        <v>41121</v>
      </c>
      <c r="C709">
        <v>40.000160000000001</v>
      </c>
      <c r="D709" s="109">
        <f t="shared" si="34"/>
        <v>-9.7130176665035978E-4</v>
      </c>
      <c r="E709">
        <v>1379.3199500000001</v>
      </c>
      <c r="F709" s="111">
        <f t="shared" si="35"/>
        <v>-4.316826524333117E-3</v>
      </c>
    </row>
    <row r="710" spans="2:6">
      <c r="B710" s="107">
        <v>41120</v>
      </c>
      <c r="C710">
        <v>40.039050000000003</v>
      </c>
      <c r="D710" s="109">
        <f t="shared" si="34"/>
        <v>-2.9924768929332678E-2</v>
      </c>
      <c r="E710">
        <v>1385.3000500000001</v>
      </c>
      <c r="F710" s="111">
        <f t="shared" si="35"/>
        <v>-4.8335823610957983E-4</v>
      </c>
    </row>
    <row r="711" spans="2:6">
      <c r="B711" s="107">
        <v>41117</v>
      </c>
      <c r="C711">
        <v>41.274169999999998</v>
      </c>
      <c r="D711" s="109">
        <f t="shared" si="34"/>
        <v>2.2404421532877007E-2</v>
      </c>
      <c r="E711">
        <v>1385.9699700000001</v>
      </c>
      <c r="F711" s="111">
        <f t="shared" si="35"/>
        <v>1.9080564711099011E-2</v>
      </c>
    </row>
    <row r="712" spans="2:6">
      <c r="B712" s="107">
        <v>41116</v>
      </c>
      <c r="C712">
        <v>40.369709999999998</v>
      </c>
      <c r="D712" s="109">
        <f t="shared" si="34"/>
        <v>4.4802336315928497E-2</v>
      </c>
      <c r="E712">
        <v>1360.0200199999999</v>
      </c>
      <c r="F712" s="111">
        <f t="shared" si="35"/>
        <v>1.6540978581639797E-2</v>
      </c>
    </row>
    <row r="713" spans="2:6">
      <c r="B713" s="107">
        <v>41115</v>
      </c>
      <c r="C713">
        <v>38.63861</v>
      </c>
      <c r="D713" s="109">
        <f t="shared" ref="D713:D776" si="36">(C713-C714)/C714</f>
        <v>2.0175924727723156E-3</v>
      </c>
      <c r="E713">
        <v>1337.8900100000001</v>
      </c>
      <c r="F713" s="111">
        <f t="shared" ref="F713:F776" si="37">(E713-E714)/E714</f>
        <v>-3.1386598110152926E-4</v>
      </c>
    </row>
    <row r="714" spans="2:6">
      <c r="B714" s="107">
        <v>41114</v>
      </c>
      <c r="C714">
        <v>38.560809999999996</v>
      </c>
      <c r="D714" s="109">
        <f t="shared" si="36"/>
        <v>-5.7672538687501542E-3</v>
      </c>
      <c r="E714">
        <v>1338.31006</v>
      </c>
      <c r="F714" s="111">
        <f t="shared" si="37"/>
        <v>-9.0409322477129298E-3</v>
      </c>
    </row>
    <row r="715" spans="2:6">
      <c r="B715" s="107">
        <v>41113</v>
      </c>
      <c r="C715">
        <v>38.784489999999998</v>
      </c>
      <c r="D715" s="109">
        <f t="shared" si="36"/>
        <v>3.0490813406307739E-2</v>
      </c>
      <c r="E715">
        <v>1350.5200199999999</v>
      </c>
      <c r="F715" s="111">
        <f t="shared" si="37"/>
        <v>-8.9090526857238742E-3</v>
      </c>
    </row>
    <row r="716" spans="2:6">
      <c r="B716" s="107">
        <v>41110</v>
      </c>
      <c r="C716">
        <v>37.63691</v>
      </c>
      <c r="D716" s="109">
        <f t="shared" si="36"/>
        <v>0.10319275068991858</v>
      </c>
      <c r="E716">
        <v>1362.66003</v>
      </c>
      <c r="F716" s="111">
        <f t="shared" si="37"/>
        <v>-1.006166311859945E-2</v>
      </c>
    </row>
    <row r="717" spans="2:6">
      <c r="B717" s="107">
        <v>41109</v>
      </c>
      <c r="C717">
        <v>34.116349999999997</v>
      </c>
      <c r="D717" s="109">
        <f t="shared" si="36"/>
        <v>2.3934785303343128E-2</v>
      </c>
      <c r="E717">
        <v>1376.51001</v>
      </c>
      <c r="F717" s="111">
        <f t="shared" si="37"/>
        <v>2.7170995487165333E-3</v>
      </c>
    </row>
    <row r="718" spans="2:6">
      <c r="B718" s="107">
        <v>41108</v>
      </c>
      <c r="C718">
        <v>33.318869999999997</v>
      </c>
      <c r="D718" s="109">
        <f t="shared" si="36"/>
        <v>2.7594563803388327E-2</v>
      </c>
      <c r="E718">
        <v>1372.7800299999999</v>
      </c>
      <c r="F718" s="111">
        <f t="shared" si="37"/>
        <v>6.6804943518447655E-3</v>
      </c>
    </row>
    <row r="719" spans="2:6">
      <c r="B719" s="107">
        <v>41107</v>
      </c>
      <c r="C719">
        <v>32.424140000000001</v>
      </c>
      <c r="D719" s="109">
        <f t="shared" si="36"/>
        <v>1.6153269749858333E-2</v>
      </c>
      <c r="E719">
        <v>1363.67004</v>
      </c>
      <c r="F719" s="111">
        <f t="shared" si="37"/>
        <v>7.4096731227676228E-3</v>
      </c>
    </row>
    <row r="720" spans="2:6">
      <c r="B720" s="107">
        <v>41106</v>
      </c>
      <c r="C720">
        <v>31.908709999999999</v>
      </c>
      <c r="D720" s="109">
        <f t="shared" si="36"/>
        <v>-1.8252443314939613E-2</v>
      </c>
      <c r="E720">
        <v>1353.6400100000001</v>
      </c>
      <c r="F720" s="111">
        <f t="shared" si="37"/>
        <v>-2.314317671671378E-3</v>
      </c>
    </row>
    <row r="721" spans="2:6">
      <c r="B721" s="107">
        <v>41103</v>
      </c>
      <c r="C721">
        <v>32.501950000000001</v>
      </c>
      <c r="D721" s="109">
        <f t="shared" si="36"/>
        <v>2.9945630061588817E-4</v>
      </c>
      <c r="E721">
        <v>1356.7800299999999</v>
      </c>
      <c r="F721" s="111">
        <f t="shared" si="37"/>
        <v>1.6497362698182673E-2</v>
      </c>
    </row>
    <row r="722" spans="2:6">
      <c r="B722" s="107">
        <v>41102</v>
      </c>
      <c r="C722">
        <v>32.492220000000003</v>
      </c>
      <c r="D722" s="109">
        <f t="shared" si="36"/>
        <v>-1.7063923386441547E-2</v>
      </c>
      <c r="E722">
        <v>1334.76001</v>
      </c>
      <c r="F722" s="111">
        <f t="shared" si="37"/>
        <v>-4.9870962386632306E-3</v>
      </c>
    </row>
    <row r="723" spans="2:6">
      <c r="B723" s="107">
        <v>41101</v>
      </c>
      <c r="C723">
        <v>33.056289999999997</v>
      </c>
      <c r="D723" s="109">
        <f t="shared" si="36"/>
        <v>-1.9330785759654547E-2</v>
      </c>
      <c r="E723">
        <v>1341.4499499999999</v>
      </c>
      <c r="F723" s="111">
        <f t="shared" si="37"/>
        <v>-1.492392707095686E-5</v>
      </c>
    </row>
    <row r="724" spans="2:6">
      <c r="B724" s="107">
        <v>41100</v>
      </c>
      <c r="C724">
        <v>33.707889999999999</v>
      </c>
      <c r="D724" s="109">
        <f t="shared" si="36"/>
        <v>-4.2276575221226395E-2</v>
      </c>
      <c r="E724">
        <v>1341.4699700000001</v>
      </c>
      <c r="F724" s="111">
        <f t="shared" si="37"/>
        <v>-8.1259263305656811E-3</v>
      </c>
    </row>
    <row r="725" spans="2:6">
      <c r="B725" s="107">
        <v>41099</v>
      </c>
      <c r="C725">
        <v>35.19585</v>
      </c>
      <c r="D725" s="109">
        <f t="shared" si="36"/>
        <v>-1.416520337901097E-2</v>
      </c>
      <c r="E725">
        <v>1352.4599599999999</v>
      </c>
      <c r="F725" s="111">
        <f t="shared" si="37"/>
        <v>-1.6388297738643362E-3</v>
      </c>
    </row>
    <row r="726" spans="2:6">
      <c r="B726" s="107">
        <v>41096</v>
      </c>
      <c r="C726">
        <v>35.701569999999997</v>
      </c>
      <c r="D726" s="109">
        <f t="shared" si="36"/>
        <v>2.4577385772575613E-3</v>
      </c>
      <c r="E726">
        <v>1354.6800499999999</v>
      </c>
      <c r="F726" s="111">
        <f t="shared" si="37"/>
        <v>-9.4326550383204578E-3</v>
      </c>
    </row>
    <row r="727" spans="2:6">
      <c r="B727" s="107">
        <v>41095</v>
      </c>
      <c r="C727">
        <v>35.614040000000003</v>
      </c>
      <c r="D727" s="109">
        <f t="shared" si="36"/>
        <v>-1.3469967432412562E-2</v>
      </c>
      <c r="E727">
        <v>1367.57996</v>
      </c>
      <c r="F727" s="111">
        <f t="shared" si="37"/>
        <v>-4.6870204991626713E-3</v>
      </c>
    </row>
    <row r="728" spans="2:6">
      <c r="B728" s="107">
        <v>41093</v>
      </c>
      <c r="C728">
        <v>36.10031</v>
      </c>
      <c r="D728" s="109">
        <f t="shared" si="36"/>
        <v>5.6894791854710204E-3</v>
      </c>
      <c r="E728">
        <v>1374.0200199999999</v>
      </c>
      <c r="F728" s="111">
        <f t="shared" si="37"/>
        <v>6.2321110337374723E-3</v>
      </c>
    </row>
    <row r="729" spans="2:6">
      <c r="B729" s="107">
        <v>41092</v>
      </c>
      <c r="C729">
        <v>35.896079999999998</v>
      </c>
      <c r="D729" s="109">
        <f t="shared" si="36"/>
        <v>1.1787341355418701E-2</v>
      </c>
      <c r="E729">
        <v>1365.51001</v>
      </c>
      <c r="F729" s="111">
        <f t="shared" si="37"/>
        <v>2.4593145637961198E-3</v>
      </c>
    </row>
    <row r="730" spans="2:6">
      <c r="B730" s="107">
        <v>41089</v>
      </c>
      <c r="C730">
        <v>35.477890000000002</v>
      </c>
      <c r="D730" s="109">
        <f t="shared" si="36"/>
        <v>5.1296730740909138E-2</v>
      </c>
      <c r="E730">
        <v>1362.16003</v>
      </c>
      <c r="F730" s="111">
        <f t="shared" si="37"/>
        <v>2.4920234908799223E-2</v>
      </c>
    </row>
    <row r="731" spans="2:6">
      <c r="B731" s="107">
        <v>41088</v>
      </c>
      <c r="C731">
        <v>33.746789999999997</v>
      </c>
      <c r="D731" s="109">
        <f t="shared" si="36"/>
        <v>-2.0050654407084534E-2</v>
      </c>
      <c r="E731">
        <v>1329.0400400000001</v>
      </c>
      <c r="F731" s="111">
        <f t="shared" si="37"/>
        <v>-2.1098021865795049E-3</v>
      </c>
    </row>
    <row r="732" spans="2:6">
      <c r="B732" s="107">
        <v>41087</v>
      </c>
      <c r="C732">
        <v>34.437280000000001</v>
      </c>
      <c r="D732" s="109">
        <f t="shared" si="36"/>
        <v>-2.371117712196575E-2</v>
      </c>
      <c r="E732">
        <v>1331.84998</v>
      </c>
      <c r="F732" s="111">
        <f t="shared" si="37"/>
        <v>8.9849090446511067E-3</v>
      </c>
    </row>
    <row r="733" spans="2:6">
      <c r="B733" s="107">
        <v>41086</v>
      </c>
      <c r="C733">
        <v>35.27366</v>
      </c>
      <c r="D733" s="109">
        <f t="shared" si="36"/>
        <v>1.115132300309732E-2</v>
      </c>
      <c r="E733">
        <v>1319.98999</v>
      </c>
      <c r="F733" s="111">
        <f t="shared" si="37"/>
        <v>4.7727218457369811E-3</v>
      </c>
    </row>
    <row r="734" spans="2:6">
      <c r="B734" s="107">
        <v>41085</v>
      </c>
      <c r="C734">
        <v>34.884650000000001</v>
      </c>
      <c r="D734" s="109">
        <f t="shared" si="36"/>
        <v>-1.3476356423525338E-2</v>
      </c>
      <c r="E734">
        <v>1313.7199700000001</v>
      </c>
      <c r="F734" s="111">
        <f t="shared" si="37"/>
        <v>-1.5954854369899133E-2</v>
      </c>
    </row>
    <row r="735" spans="2:6">
      <c r="B735" s="107">
        <v>41082</v>
      </c>
      <c r="C735">
        <v>35.361190000000001</v>
      </c>
      <c r="D735" s="109">
        <f t="shared" si="36"/>
        <v>9.9999771500907941E-3</v>
      </c>
      <c r="E735">
        <v>1335.0200199999999</v>
      </c>
      <c r="F735" s="111">
        <f t="shared" si="37"/>
        <v>7.1746044377288152E-3</v>
      </c>
    </row>
    <row r="736" spans="2:6">
      <c r="B736" s="107">
        <v>41081</v>
      </c>
      <c r="C736">
        <v>35.01108</v>
      </c>
      <c r="D736" s="109">
        <f t="shared" si="36"/>
        <v>-3.9231408836822558E-2</v>
      </c>
      <c r="E736">
        <v>1325.51001</v>
      </c>
      <c r="F736" s="111">
        <f t="shared" si="37"/>
        <v>-2.2261675851928217E-2</v>
      </c>
    </row>
    <row r="737" spans="2:6">
      <c r="B737" s="107">
        <v>41080</v>
      </c>
      <c r="C737">
        <v>36.4407</v>
      </c>
      <c r="D737" s="109">
        <f t="shared" si="36"/>
        <v>8.071331571916503E-3</v>
      </c>
      <c r="E737">
        <v>1355.68994</v>
      </c>
      <c r="F737" s="111">
        <f t="shared" si="37"/>
        <v>-1.6863577031526562E-3</v>
      </c>
    </row>
    <row r="738" spans="2:6">
      <c r="B738" s="107">
        <v>41079</v>
      </c>
      <c r="C738">
        <v>36.14893</v>
      </c>
      <c r="D738" s="109">
        <f t="shared" si="36"/>
        <v>9.2313198735393918E-3</v>
      </c>
      <c r="E738">
        <v>1357.9799800000001</v>
      </c>
      <c r="F738" s="111">
        <f t="shared" si="37"/>
        <v>9.8156945415081541E-3</v>
      </c>
    </row>
    <row r="739" spans="2:6">
      <c r="B739" s="107">
        <v>41078</v>
      </c>
      <c r="C739">
        <v>35.818280000000001</v>
      </c>
      <c r="D739" s="109">
        <f t="shared" si="36"/>
        <v>-5.4272410668865126E-4</v>
      </c>
      <c r="E739">
        <v>1344.7800299999999</v>
      </c>
      <c r="F739" s="111">
        <f t="shared" si="37"/>
        <v>1.4447440077315415E-3</v>
      </c>
    </row>
    <row r="740" spans="2:6">
      <c r="B740" s="107">
        <v>41075</v>
      </c>
      <c r="C740">
        <v>35.837730000000001</v>
      </c>
      <c r="D740" s="109">
        <f t="shared" si="36"/>
        <v>3.656824429388579E-2</v>
      </c>
      <c r="E740">
        <v>1342.83997</v>
      </c>
      <c r="F740" s="111">
        <f t="shared" si="37"/>
        <v>1.0337815218385629E-2</v>
      </c>
    </row>
    <row r="741" spans="2:6">
      <c r="B741" s="107">
        <v>41074</v>
      </c>
      <c r="C741">
        <v>34.573439999999998</v>
      </c>
      <c r="D741" s="109">
        <f t="shared" si="36"/>
        <v>-1.3048332411756285E-2</v>
      </c>
      <c r="E741">
        <v>1329.09998</v>
      </c>
      <c r="F741" s="111">
        <f t="shared" si="37"/>
        <v>1.0814659892917871E-2</v>
      </c>
    </row>
    <row r="742" spans="2:6">
      <c r="B742" s="107">
        <v>41073</v>
      </c>
      <c r="C742">
        <v>35.030529999999999</v>
      </c>
      <c r="D742" s="109">
        <f t="shared" si="36"/>
        <v>1.9472319588587734E-3</v>
      </c>
      <c r="E742">
        <v>1314.88</v>
      </c>
      <c r="F742" s="111">
        <f t="shared" si="37"/>
        <v>-7.0232518606512979E-3</v>
      </c>
    </row>
    <row r="743" spans="2:6">
      <c r="B743" s="107">
        <v>41072</v>
      </c>
      <c r="C743">
        <v>34.962449999999997</v>
      </c>
      <c r="D743" s="109">
        <f t="shared" si="36"/>
        <v>3.8417261229772903E-2</v>
      </c>
      <c r="E743">
        <v>1324.1800499999999</v>
      </c>
      <c r="F743" s="111">
        <f t="shared" si="37"/>
        <v>1.1650737180340539E-2</v>
      </c>
    </row>
    <row r="744" spans="2:6">
      <c r="B744" s="107">
        <v>41071</v>
      </c>
      <c r="C744">
        <v>33.668979999999998</v>
      </c>
      <c r="D744" s="109">
        <f t="shared" si="36"/>
        <v>-2.286200692869006E-2</v>
      </c>
      <c r="E744">
        <v>1308.9300499999999</v>
      </c>
      <c r="F744" s="111">
        <f t="shared" si="37"/>
        <v>-1.262011346906195E-2</v>
      </c>
    </row>
    <row r="745" spans="2:6">
      <c r="B745" s="107">
        <v>41068</v>
      </c>
      <c r="C745">
        <v>34.45673</v>
      </c>
      <c r="D745" s="109">
        <f t="shared" si="36"/>
        <v>8.5397411442188764E-3</v>
      </c>
      <c r="E745">
        <v>1325.66003</v>
      </c>
      <c r="F745" s="111">
        <f t="shared" si="37"/>
        <v>8.1141606256637522E-3</v>
      </c>
    </row>
    <row r="746" spans="2:6">
      <c r="B746" s="107">
        <v>41067</v>
      </c>
      <c r="C746">
        <v>34.164969999999997</v>
      </c>
      <c r="D746" s="109">
        <f t="shared" si="36"/>
        <v>1.139597633246918E-3</v>
      </c>
      <c r="E746">
        <v>1314.98999</v>
      </c>
      <c r="F746" s="111">
        <f t="shared" si="37"/>
        <v>-1.0646095823232288E-4</v>
      </c>
    </row>
    <row r="747" spans="2:6">
      <c r="B747" s="107">
        <v>41066</v>
      </c>
      <c r="C747">
        <v>34.126080000000002</v>
      </c>
      <c r="D747" s="109">
        <f t="shared" si="36"/>
        <v>5.0284652756875291E-2</v>
      </c>
      <c r="E747">
        <v>1315.13</v>
      </c>
      <c r="F747" s="111">
        <f t="shared" si="37"/>
        <v>2.3049397121742598E-2</v>
      </c>
    </row>
    <row r="748" spans="2:6">
      <c r="B748" s="107">
        <v>41065</v>
      </c>
      <c r="C748">
        <v>32.492220000000003</v>
      </c>
      <c r="D748" s="109">
        <f t="shared" si="36"/>
        <v>5.5274550751373157E-2</v>
      </c>
      <c r="E748">
        <v>1285.5</v>
      </c>
      <c r="F748" s="111">
        <f t="shared" si="37"/>
        <v>5.726853583734203E-3</v>
      </c>
    </row>
    <row r="749" spans="2:6">
      <c r="B749" s="107">
        <v>41064</v>
      </c>
      <c r="C749">
        <v>30.790299999999998</v>
      </c>
      <c r="D749" s="109">
        <f t="shared" si="36"/>
        <v>1.3768882043427315E-2</v>
      </c>
      <c r="E749">
        <v>1278.1800499999999</v>
      </c>
      <c r="F749" s="111">
        <f t="shared" si="37"/>
        <v>1.0955055836892826E-4</v>
      </c>
    </row>
    <row r="750" spans="2:6">
      <c r="B750" s="107">
        <v>41061</v>
      </c>
      <c r="C750">
        <v>30.372109999999999</v>
      </c>
      <c r="D750" s="109">
        <f t="shared" si="36"/>
        <v>-4.4954158154289089E-2</v>
      </c>
      <c r="E750">
        <v>1278.0400400000001</v>
      </c>
      <c r="F750" s="111">
        <f t="shared" si="37"/>
        <v>-2.4642586970994647E-2</v>
      </c>
    </row>
    <row r="751" spans="2:6">
      <c r="B751" s="107">
        <v>41060</v>
      </c>
      <c r="C751">
        <v>31.801729999999999</v>
      </c>
      <c r="D751" s="109">
        <f t="shared" si="36"/>
        <v>-2.7364438647009066E-2</v>
      </c>
      <c r="E751">
        <v>1310.32996</v>
      </c>
      <c r="F751" s="111">
        <f t="shared" si="37"/>
        <v>-2.2766653320084218E-3</v>
      </c>
    </row>
    <row r="752" spans="2:6">
      <c r="B752" s="107">
        <v>41059</v>
      </c>
      <c r="C752">
        <v>32.696449999999999</v>
      </c>
      <c r="D752" s="109">
        <f t="shared" si="36"/>
        <v>-2.4092897341036028E-2</v>
      </c>
      <c r="E752">
        <v>1313.3199500000001</v>
      </c>
      <c r="F752" s="111">
        <f t="shared" si="37"/>
        <v>-1.433488646718336E-2</v>
      </c>
    </row>
    <row r="753" spans="2:6">
      <c r="B753" s="107">
        <v>41058</v>
      </c>
      <c r="C753">
        <v>33.50365</v>
      </c>
      <c r="D753" s="109">
        <f t="shared" si="36"/>
        <v>2.1345938519234168E-2</v>
      </c>
      <c r="E753">
        <v>1332.42004</v>
      </c>
      <c r="F753" s="111">
        <f t="shared" si="37"/>
        <v>1.1078971751793489E-2</v>
      </c>
    </row>
    <row r="754" spans="2:6">
      <c r="B754" s="107">
        <v>41054</v>
      </c>
      <c r="C754">
        <v>32.803429999999999</v>
      </c>
      <c r="D754" s="109">
        <f t="shared" si="36"/>
        <v>4.589133623835405E-2</v>
      </c>
      <c r="E754">
        <v>1317.8199500000001</v>
      </c>
      <c r="F754" s="111">
        <f t="shared" si="37"/>
        <v>-2.1656267163268463E-3</v>
      </c>
    </row>
    <row r="755" spans="2:6">
      <c r="B755" s="107">
        <v>41053</v>
      </c>
      <c r="C755">
        <v>31.364090000000001</v>
      </c>
      <c r="D755" s="109">
        <f t="shared" si="36"/>
        <v>-2.0352214914691871E-2</v>
      </c>
      <c r="E755">
        <v>1320.6800499999999</v>
      </c>
      <c r="F755" s="111">
        <f t="shared" si="37"/>
        <v>1.380025183719473E-3</v>
      </c>
    </row>
    <row r="756" spans="2:6">
      <c r="B756" s="107">
        <v>41052</v>
      </c>
      <c r="C756">
        <v>32.015680000000003</v>
      </c>
      <c r="D756" s="109">
        <f t="shared" si="36"/>
        <v>9.1968457870276934E-3</v>
      </c>
      <c r="E756">
        <v>1318.8599899999999</v>
      </c>
      <c r="F756" s="111">
        <f t="shared" si="37"/>
        <v>1.6937104577594434E-3</v>
      </c>
    </row>
    <row r="757" spans="2:6">
      <c r="B757" s="107">
        <v>41051</v>
      </c>
      <c r="C757">
        <v>31.72392</v>
      </c>
      <c r="D757" s="109">
        <f t="shared" si="36"/>
        <v>1.8423790121640333E-3</v>
      </c>
      <c r="E757">
        <v>1316.63</v>
      </c>
      <c r="F757" s="111">
        <f t="shared" si="37"/>
        <v>4.8633348647285287E-4</v>
      </c>
    </row>
    <row r="758" spans="2:6">
      <c r="B758" s="107">
        <v>41050</v>
      </c>
      <c r="C758">
        <v>31.665579999999999</v>
      </c>
      <c r="D758" s="109">
        <f t="shared" si="36"/>
        <v>3.2995216959275216E-2</v>
      </c>
      <c r="E758">
        <v>1315.98999</v>
      </c>
      <c r="F758" s="111">
        <f t="shared" si="37"/>
        <v>1.6035901608280431E-2</v>
      </c>
    </row>
    <row r="759" spans="2:6">
      <c r="B759" s="107">
        <v>41047</v>
      </c>
      <c r="C759">
        <v>30.654140000000002</v>
      </c>
      <c r="D759" s="109">
        <f t="shared" si="36"/>
        <v>-2.5656885561771946E-2</v>
      </c>
      <c r="E759">
        <v>1295.2199700000001</v>
      </c>
      <c r="F759" s="111">
        <f t="shared" si="37"/>
        <v>-7.3877811212525743E-3</v>
      </c>
    </row>
    <row r="760" spans="2:6">
      <c r="B760" s="107">
        <v>41046</v>
      </c>
      <c r="C760">
        <v>31.46134</v>
      </c>
      <c r="D760" s="109">
        <f t="shared" si="36"/>
        <v>-3.3173995147637483E-2</v>
      </c>
      <c r="E760">
        <v>1304.8599899999999</v>
      </c>
      <c r="F760" s="111">
        <f t="shared" si="37"/>
        <v>-1.5051373224208535E-2</v>
      </c>
    </row>
    <row r="761" spans="2:6">
      <c r="B761" s="107">
        <v>41045</v>
      </c>
      <c r="C761">
        <v>32.540849999999999</v>
      </c>
      <c r="D761" s="109">
        <f t="shared" si="36"/>
        <v>-4.5363695490121397E-2</v>
      </c>
      <c r="E761">
        <v>1324.8000500000001</v>
      </c>
      <c r="F761" s="111">
        <f t="shared" si="37"/>
        <v>-4.4038145490850507E-3</v>
      </c>
    </row>
    <row r="762" spans="2:6">
      <c r="B762" s="107">
        <v>41044</v>
      </c>
      <c r="C762">
        <v>34.08717</v>
      </c>
      <c r="D762" s="109">
        <f t="shared" si="36"/>
        <v>-2.0676389848549834E-2</v>
      </c>
      <c r="E762">
        <v>1330.66003</v>
      </c>
      <c r="F762" s="111">
        <f t="shared" si="37"/>
        <v>-5.7458438487068631E-3</v>
      </c>
    </row>
    <row r="763" spans="2:6">
      <c r="B763" s="107">
        <v>41043</v>
      </c>
      <c r="C763">
        <v>34.806849999999997</v>
      </c>
      <c r="D763" s="109">
        <f t="shared" si="36"/>
        <v>2.5210747215093465E-3</v>
      </c>
      <c r="E763">
        <v>1338.34998</v>
      </c>
      <c r="F763" s="111">
        <f t="shared" si="37"/>
        <v>-1.1112857261300542E-2</v>
      </c>
    </row>
    <row r="764" spans="2:6">
      <c r="B764" s="107">
        <v>41040</v>
      </c>
      <c r="C764">
        <v>34.719320000000003</v>
      </c>
      <c r="D764" s="109">
        <f t="shared" si="36"/>
        <v>3.3725769898349193E-3</v>
      </c>
      <c r="E764">
        <v>1353.3900100000001</v>
      </c>
      <c r="F764" s="111">
        <f t="shared" si="37"/>
        <v>-3.3873445561995339E-3</v>
      </c>
    </row>
    <row r="765" spans="2:6">
      <c r="B765" s="107">
        <v>41039</v>
      </c>
      <c r="C765">
        <v>34.602620000000002</v>
      </c>
      <c r="D765" s="109">
        <f t="shared" si="36"/>
        <v>-1.1940903691520455E-2</v>
      </c>
      <c r="E765">
        <v>1357.98999</v>
      </c>
      <c r="F765" s="111">
        <f t="shared" si="37"/>
        <v>2.5174076840764766E-3</v>
      </c>
    </row>
    <row r="766" spans="2:6">
      <c r="B766" s="107">
        <v>41038</v>
      </c>
      <c r="C766">
        <v>35.020800000000001</v>
      </c>
      <c r="D766" s="109">
        <f t="shared" si="36"/>
        <v>1.522395294013967E-2</v>
      </c>
      <c r="E766">
        <v>1354.57996</v>
      </c>
      <c r="F766" s="111">
        <f t="shared" si="37"/>
        <v>-6.7022630753145558E-3</v>
      </c>
    </row>
    <row r="767" spans="2:6">
      <c r="B767" s="107">
        <v>41037</v>
      </c>
      <c r="C767">
        <v>34.495640000000002</v>
      </c>
      <c r="D767" s="109">
        <f t="shared" si="36"/>
        <v>-1.1702350153706815E-2</v>
      </c>
      <c r="E767">
        <v>1363.7199700000001</v>
      </c>
      <c r="F767" s="111">
        <f t="shared" si="37"/>
        <v>-4.2786767995640976E-3</v>
      </c>
    </row>
    <row r="768" spans="2:6">
      <c r="B768" s="107">
        <v>41036</v>
      </c>
      <c r="C768">
        <v>34.9041</v>
      </c>
      <c r="D768" s="109">
        <f t="shared" si="36"/>
        <v>-1.3910219290515777E-3</v>
      </c>
      <c r="E768">
        <v>1369.57996</v>
      </c>
      <c r="F768" s="111">
        <f t="shared" si="37"/>
        <v>3.5058067855648403E-4</v>
      </c>
    </row>
    <row r="769" spans="2:6">
      <c r="B769" s="107">
        <v>41033</v>
      </c>
      <c r="C769">
        <v>34.952719999999999</v>
      </c>
      <c r="D769" s="109">
        <f t="shared" si="36"/>
        <v>-1.8837141605169836E-2</v>
      </c>
      <c r="E769">
        <v>1369.09998</v>
      </c>
      <c r="F769" s="111">
        <f t="shared" si="37"/>
        <v>-1.6147208410184556E-2</v>
      </c>
    </row>
    <row r="770" spans="2:6">
      <c r="B770" s="107">
        <v>41032</v>
      </c>
      <c r="C770">
        <v>35.62377</v>
      </c>
      <c r="D770" s="109">
        <f t="shared" si="36"/>
        <v>-2.1634636510642857E-2</v>
      </c>
      <c r="E770">
        <v>1391.5699500000001</v>
      </c>
      <c r="F770" s="111">
        <f t="shared" si="37"/>
        <v>-7.6588696796484213E-3</v>
      </c>
    </row>
    <row r="771" spans="2:6">
      <c r="B771" s="107">
        <v>41031</v>
      </c>
      <c r="C771">
        <v>36.411520000000003</v>
      </c>
      <c r="D771" s="109">
        <f t="shared" si="36"/>
        <v>1.0694857835373218E-3</v>
      </c>
      <c r="E771">
        <v>1402.31006</v>
      </c>
      <c r="F771" s="111">
        <f t="shared" si="37"/>
        <v>-2.4966852974308987E-3</v>
      </c>
    </row>
    <row r="772" spans="2:6">
      <c r="B772" s="107">
        <v>41030</v>
      </c>
      <c r="C772">
        <v>36.372619999999998</v>
      </c>
      <c r="D772" s="109">
        <f t="shared" si="36"/>
        <v>1.0811036138685262E-2</v>
      </c>
      <c r="E772">
        <v>1405.8199500000001</v>
      </c>
      <c r="F772" s="111">
        <f t="shared" si="37"/>
        <v>5.658389903676459E-3</v>
      </c>
    </row>
    <row r="773" spans="2:6">
      <c r="B773" s="107">
        <v>41029</v>
      </c>
      <c r="C773">
        <v>35.983600000000003</v>
      </c>
      <c r="D773" s="109">
        <f t="shared" si="36"/>
        <v>-1.5434085008952608E-2</v>
      </c>
      <c r="E773">
        <v>1397.91003</v>
      </c>
      <c r="F773" s="111">
        <f t="shared" si="37"/>
        <v>-3.8835081795369694E-3</v>
      </c>
    </row>
    <row r="774" spans="2:6">
      <c r="B774" s="107">
        <v>41026</v>
      </c>
      <c r="C774">
        <v>36.54768</v>
      </c>
      <c r="D774" s="109">
        <f t="shared" si="36"/>
        <v>4.8129609579953825E-3</v>
      </c>
      <c r="E774">
        <v>1403.3599899999999</v>
      </c>
      <c r="F774" s="111">
        <f t="shared" si="37"/>
        <v>2.4143273820243175E-3</v>
      </c>
    </row>
    <row r="775" spans="2:6">
      <c r="B775" s="107">
        <v>41025</v>
      </c>
      <c r="C775">
        <v>36.372619999999998</v>
      </c>
      <c r="D775" s="109">
        <f t="shared" si="36"/>
        <v>-5.0545170061329168E-3</v>
      </c>
      <c r="E775">
        <v>1399.9799800000001</v>
      </c>
      <c r="F775" s="111">
        <f t="shared" si="37"/>
        <v>6.6801662489915543E-3</v>
      </c>
    </row>
    <row r="776" spans="2:6">
      <c r="B776" s="107">
        <v>41024</v>
      </c>
      <c r="C776">
        <v>36.557400000000001</v>
      </c>
      <c r="D776" s="109">
        <f t="shared" si="36"/>
        <v>3.0145160481317188E-2</v>
      </c>
      <c r="E776">
        <v>1390.68994</v>
      </c>
      <c r="F776" s="111">
        <f t="shared" si="37"/>
        <v>1.3644591652395914E-2</v>
      </c>
    </row>
    <row r="777" spans="2:6">
      <c r="B777" s="107">
        <v>41023</v>
      </c>
      <c r="C777">
        <v>35.48762</v>
      </c>
      <c r="D777" s="109">
        <f t="shared" ref="D777:D840" si="38">(C777-C778)/C778</f>
        <v>2.7482060086418607E-3</v>
      </c>
      <c r="E777">
        <v>1371.9699700000001</v>
      </c>
      <c r="F777" s="111">
        <f t="shared" ref="F777:F840" si="39">(E777-E778)/E778</f>
        <v>3.6797739628561328E-3</v>
      </c>
    </row>
    <row r="778" spans="2:6">
      <c r="B778" s="107">
        <v>41022</v>
      </c>
      <c r="C778">
        <v>35.390360000000001</v>
      </c>
      <c r="D778" s="109">
        <f t="shared" si="38"/>
        <v>1.3366625099682089E-2</v>
      </c>
      <c r="E778">
        <v>1366.93994</v>
      </c>
      <c r="F778" s="111">
        <f t="shared" si="39"/>
        <v>-8.4075716507966969E-3</v>
      </c>
    </row>
    <row r="779" spans="2:6">
      <c r="B779" s="107">
        <v>41019</v>
      </c>
      <c r="C779">
        <v>34.923549999999999</v>
      </c>
      <c r="D779" s="109">
        <f t="shared" si="38"/>
        <v>-0.11267590961800164</v>
      </c>
      <c r="E779">
        <v>1378.5300299999999</v>
      </c>
      <c r="F779" s="111">
        <f t="shared" si="39"/>
        <v>1.1692690593710332E-3</v>
      </c>
    </row>
    <row r="780" spans="2:6">
      <c r="B780" s="107">
        <v>41018</v>
      </c>
      <c r="C780">
        <v>39.358280000000001</v>
      </c>
      <c r="D780" s="109">
        <f t="shared" si="38"/>
        <v>-7.1149778811069649E-3</v>
      </c>
      <c r="E780">
        <v>1376.92004</v>
      </c>
      <c r="F780" s="111">
        <f t="shared" si="39"/>
        <v>-5.9343964802519153E-3</v>
      </c>
    </row>
    <row r="781" spans="2:6">
      <c r="B781" s="107">
        <v>41017</v>
      </c>
      <c r="C781">
        <v>39.640320000000003</v>
      </c>
      <c r="D781" s="109">
        <f t="shared" si="38"/>
        <v>-1.3075154815738479E-2</v>
      </c>
      <c r="E781">
        <v>1385.1400100000001</v>
      </c>
      <c r="F781" s="111">
        <f t="shared" si="39"/>
        <v>-4.0552926259660362E-3</v>
      </c>
    </row>
    <row r="782" spans="2:6">
      <c r="B782" s="107">
        <v>41016</v>
      </c>
      <c r="C782">
        <v>40.165489999999998</v>
      </c>
      <c r="D782" s="109">
        <f t="shared" si="38"/>
        <v>8.5471222922227259E-3</v>
      </c>
      <c r="E782">
        <v>1390.7800299999999</v>
      </c>
      <c r="F782" s="111">
        <f t="shared" si="39"/>
        <v>1.5486671564310996E-2</v>
      </c>
    </row>
    <row r="783" spans="2:6">
      <c r="B783" s="107">
        <v>41015</v>
      </c>
      <c r="C783">
        <v>39.825099999999999</v>
      </c>
      <c r="D783" s="109">
        <f t="shared" si="38"/>
        <v>-3.8921269782353266E-3</v>
      </c>
      <c r="E783">
        <v>1369.5699500000001</v>
      </c>
      <c r="F783" s="111">
        <f t="shared" si="39"/>
        <v>-5.035978536656726E-4</v>
      </c>
    </row>
    <row r="784" spans="2:6">
      <c r="B784" s="107">
        <v>41012</v>
      </c>
      <c r="C784">
        <v>39.980710000000002</v>
      </c>
      <c r="D784" s="109">
        <f t="shared" si="38"/>
        <v>-2.4904967725854356E-2</v>
      </c>
      <c r="E784">
        <v>1370.26001</v>
      </c>
      <c r="F784" s="111">
        <f t="shared" si="39"/>
        <v>-1.2475003512435604E-2</v>
      </c>
    </row>
    <row r="785" spans="2:6">
      <c r="B785" s="107">
        <v>41011</v>
      </c>
      <c r="C785">
        <v>41.001860000000001</v>
      </c>
      <c r="D785" s="109">
        <f t="shared" si="38"/>
        <v>4.7665432820313269E-3</v>
      </c>
      <c r="E785">
        <v>1387.5699500000001</v>
      </c>
      <c r="F785" s="111">
        <f t="shared" si="39"/>
        <v>1.3779391215944797E-2</v>
      </c>
    </row>
    <row r="786" spans="2:6">
      <c r="B786" s="107">
        <v>41010</v>
      </c>
      <c r="C786">
        <v>40.80735</v>
      </c>
      <c r="D786" s="109">
        <f t="shared" si="38"/>
        <v>-7.0989371789316981E-3</v>
      </c>
      <c r="E786">
        <v>1368.7099599999999</v>
      </c>
      <c r="F786" s="111">
        <f t="shared" si="39"/>
        <v>7.448892030315752E-3</v>
      </c>
    </row>
    <row r="787" spans="2:6">
      <c r="B787" s="107">
        <v>41009</v>
      </c>
      <c r="C787">
        <v>41.099110000000003</v>
      </c>
      <c r="D787" s="109">
        <f t="shared" si="38"/>
        <v>-3.2952105857095917E-2</v>
      </c>
      <c r="E787">
        <v>1358.58997</v>
      </c>
      <c r="F787" s="111">
        <f t="shared" si="39"/>
        <v>-1.7081450480446011E-2</v>
      </c>
    </row>
    <row r="788" spans="2:6">
      <c r="B788" s="107">
        <v>41008</v>
      </c>
      <c r="C788">
        <v>42.499560000000002</v>
      </c>
      <c r="D788" s="109">
        <f t="shared" si="38"/>
        <v>-8.8453885412943609E-3</v>
      </c>
      <c r="E788">
        <v>1382.1999499999999</v>
      </c>
      <c r="F788" s="111">
        <f t="shared" si="39"/>
        <v>-1.1358441901992561E-2</v>
      </c>
    </row>
    <row r="789" spans="2:6">
      <c r="B789" s="107">
        <v>41004</v>
      </c>
      <c r="C789">
        <v>42.878839999999997</v>
      </c>
      <c r="D789" s="109">
        <f t="shared" si="38"/>
        <v>-9.4360239608385164E-3</v>
      </c>
      <c r="E789">
        <v>1398.07996</v>
      </c>
      <c r="F789" s="111">
        <f t="shared" si="39"/>
        <v>-6.2903873245942065E-4</v>
      </c>
    </row>
    <row r="790" spans="2:6">
      <c r="B790" s="107">
        <v>41003</v>
      </c>
      <c r="C790">
        <v>43.287300000000002</v>
      </c>
      <c r="D790" s="109">
        <f t="shared" si="38"/>
        <v>-0.11068940353922081</v>
      </c>
      <c r="E790">
        <v>1398.9599599999999</v>
      </c>
      <c r="F790" s="111">
        <f t="shared" si="39"/>
        <v>-1.0202521614852481E-2</v>
      </c>
    </row>
    <row r="791" spans="2:6">
      <c r="B791" s="107">
        <v>41002</v>
      </c>
      <c r="C791">
        <v>48.67512</v>
      </c>
      <c r="D791" s="109">
        <f t="shared" si="38"/>
        <v>9.0726132459656231E-3</v>
      </c>
      <c r="E791">
        <v>1413.38</v>
      </c>
      <c r="F791" s="111">
        <f t="shared" si="39"/>
        <v>-3.9886400950321184E-3</v>
      </c>
    </row>
    <row r="792" spans="2:6">
      <c r="B792" s="107">
        <v>41001</v>
      </c>
      <c r="C792">
        <v>48.237479999999998</v>
      </c>
      <c r="D792" s="109">
        <f t="shared" si="38"/>
        <v>2.0154367526077096E-4</v>
      </c>
      <c r="E792">
        <v>1419.0400400000001</v>
      </c>
      <c r="F792" s="111">
        <f t="shared" si="39"/>
        <v>7.5046470461844397E-3</v>
      </c>
    </row>
    <row r="793" spans="2:6">
      <c r="B793" s="107">
        <v>40998</v>
      </c>
      <c r="C793">
        <v>48.227760000000004</v>
      </c>
      <c r="D793" s="109">
        <f t="shared" si="38"/>
        <v>-1.2544724710767275E-2</v>
      </c>
      <c r="E793">
        <v>1408.4699700000001</v>
      </c>
      <c r="F793" s="111">
        <f t="shared" si="39"/>
        <v>3.6984350158536829E-3</v>
      </c>
    </row>
    <row r="794" spans="2:6">
      <c r="B794" s="107">
        <v>40997</v>
      </c>
      <c r="C794">
        <v>48.840449999999997</v>
      </c>
      <c r="D794" s="109">
        <f t="shared" si="38"/>
        <v>-2.581949268566963E-3</v>
      </c>
      <c r="E794">
        <v>1403.2800299999999</v>
      </c>
      <c r="F794" s="111">
        <f t="shared" si="39"/>
        <v>-1.607930002478046E-3</v>
      </c>
    </row>
    <row r="795" spans="2:6">
      <c r="B795" s="107">
        <v>40996</v>
      </c>
      <c r="C795">
        <v>48.966880000000003</v>
      </c>
      <c r="D795" s="109">
        <f t="shared" si="38"/>
        <v>4.5889477916920031E-3</v>
      </c>
      <c r="E795">
        <v>1405.5400400000001</v>
      </c>
      <c r="F795" s="111">
        <f t="shared" si="39"/>
        <v>-4.9415087228284679E-3</v>
      </c>
    </row>
    <row r="796" spans="2:6">
      <c r="B796" s="107">
        <v>40995</v>
      </c>
      <c r="C796">
        <v>48.743200000000002</v>
      </c>
      <c r="D796" s="109">
        <f t="shared" si="38"/>
        <v>-7.9176165696596794E-3</v>
      </c>
      <c r="E796">
        <v>1412.5200199999999</v>
      </c>
      <c r="F796" s="111">
        <f t="shared" si="39"/>
        <v>-2.8167750117064363E-3</v>
      </c>
    </row>
    <row r="797" spans="2:6">
      <c r="B797" s="107">
        <v>40994</v>
      </c>
      <c r="C797">
        <v>49.132210000000001</v>
      </c>
      <c r="D797" s="109">
        <f t="shared" si="38"/>
        <v>2.2671990788248369E-2</v>
      </c>
      <c r="E797">
        <v>1416.51001</v>
      </c>
      <c r="F797" s="111">
        <f t="shared" si="39"/>
        <v>1.3885821545088259E-2</v>
      </c>
    </row>
    <row r="798" spans="2:6">
      <c r="B798" s="107">
        <v>40991</v>
      </c>
      <c r="C798">
        <v>48.04298</v>
      </c>
      <c r="D798" s="109">
        <f t="shared" si="38"/>
        <v>-2.9469451294367868E-2</v>
      </c>
      <c r="E798">
        <v>1397.1099899999999</v>
      </c>
      <c r="F798" s="111">
        <f t="shared" si="39"/>
        <v>3.1088613468991427E-3</v>
      </c>
    </row>
    <row r="799" spans="2:6">
      <c r="B799" s="107">
        <v>40990</v>
      </c>
      <c r="C799">
        <v>49.50177</v>
      </c>
      <c r="D799" s="109">
        <f t="shared" si="38"/>
        <v>-7.6038881290814084E-3</v>
      </c>
      <c r="E799">
        <v>1392.7800299999999</v>
      </c>
      <c r="F799" s="111">
        <f t="shared" si="39"/>
        <v>-7.2065378810418478E-3</v>
      </c>
    </row>
    <row r="800" spans="2:6">
      <c r="B800" s="107">
        <v>40989</v>
      </c>
      <c r="C800">
        <v>49.881059999999998</v>
      </c>
      <c r="D800" s="109">
        <f t="shared" si="38"/>
        <v>2.6621406824252843E-2</v>
      </c>
      <c r="E800">
        <v>1402.8900100000001</v>
      </c>
      <c r="F800" s="111">
        <f t="shared" si="39"/>
        <v>-1.8712006677783619E-3</v>
      </c>
    </row>
    <row r="801" spans="2:6">
      <c r="B801" s="107">
        <v>40988</v>
      </c>
      <c r="C801">
        <v>48.587589999999999</v>
      </c>
      <c r="D801" s="109">
        <f t="shared" si="38"/>
        <v>-5.3752115908706115E-3</v>
      </c>
      <c r="E801">
        <v>1405.5200199999999</v>
      </c>
      <c r="F801" s="111">
        <f t="shared" si="39"/>
        <v>-3.0005178223089686E-3</v>
      </c>
    </row>
    <row r="802" spans="2:6">
      <c r="B802" s="107">
        <v>40987</v>
      </c>
      <c r="C802">
        <v>48.850169999999999</v>
      </c>
      <c r="D802" s="109">
        <f t="shared" si="38"/>
        <v>-3.9820231910907148E-4</v>
      </c>
      <c r="E802">
        <v>1409.75</v>
      </c>
      <c r="F802" s="111">
        <f t="shared" si="39"/>
        <v>3.9738492070376524E-3</v>
      </c>
    </row>
    <row r="803" spans="2:6">
      <c r="B803" s="107">
        <v>40984</v>
      </c>
      <c r="C803">
        <v>48.869630000000001</v>
      </c>
      <c r="D803" s="109">
        <f t="shared" si="38"/>
        <v>1.106636758571587E-2</v>
      </c>
      <c r="E803">
        <v>1404.17004</v>
      </c>
      <c r="F803" s="111">
        <f t="shared" si="39"/>
        <v>1.1193925726421387E-3</v>
      </c>
    </row>
    <row r="804" spans="2:6">
      <c r="B804" s="107">
        <v>40983</v>
      </c>
      <c r="C804">
        <v>48.334739999999996</v>
      </c>
      <c r="D804" s="109">
        <f t="shared" si="38"/>
        <v>6.0407124976910847E-4</v>
      </c>
      <c r="E804">
        <v>1402.59998</v>
      </c>
      <c r="F804" s="111">
        <f t="shared" si="39"/>
        <v>5.9672015814499352E-3</v>
      </c>
    </row>
    <row r="805" spans="2:6">
      <c r="B805" s="107">
        <v>40982</v>
      </c>
      <c r="C805">
        <v>48.30556</v>
      </c>
      <c r="D805" s="109">
        <f t="shared" si="38"/>
        <v>-2.0894900402217982E-2</v>
      </c>
      <c r="E805">
        <v>1394.2800299999999</v>
      </c>
      <c r="F805" s="111">
        <f t="shared" si="39"/>
        <v>-1.196260653900985E-3</v>
      </c>
    </row>
    <row r="806" spans="2:6">
      <c r="B806" s="107">
        <v>40981</v>
      </c>
      <c r="C806">
        <v>49.336440000000003</v>
      </c>
      <c r="D806" s="109">
        <f t="shared" si="38"/>
        <v>1.7653036956424527E-2</v>
      </c>
      <c r="E806">
        <v>1395.9499499999999</v>
      </c>
      <c r="F806" s="111">
        <f t="shared" si="39"/>
        <v>1.8131545371891204E-2</v>
      </c>
    </row>
    <row r="807" spans="2:6">
      <c r="B807" s="107">
        <v>40980</v>
      </c>
      <c r="C807">
        <v>48.480609999999999</v>
      </c>
      <c r="D807" s="109">
        <f t="shared" si="38"/>
        <v>-7.960363113041824E-3</v>
      </c>
      <c r="E807">
        <v>1371.08997</v>
      </c>
      <c r="F807" s="111">
        <f t="shared" si="39"/>
        <v>1.6046014574693665E-4</v>
      </c>
    </row>
    <row r="808" spans="2:6">
      <c r="B808" s="107">
        <v>40977</v>
      </c>
      <c r="C808">
        <v>48.869630000000001</v>
      </c>
      <c r="D808" s="109">
        <f t="shared" si="38"/>
        <v>2.0926541199199858E-2</v>
      </c>
      <c r="E808">
        <v>1370.87</v>
      </c>
      <c r="F808" s="111">
        <f t="shared" si="39"/>
        <v>3.631256738044368E-3</v>
      </c>
    </row>
    <row r="809" spans="2:6">
      <c r="B809" s="107">
        <v>40976</v>
      </c>
      <c r="C809">
        <v>47.867919999999998</v>
      </c>
      <c r="D809" s="109">
        <f t="shared" si="38"/>
        <v>1.5263981165790899E-2</v>
      </c>
      <c r="E809">
        <v>1365.91003</v>
      </c>
      <c r="F809" s="111">
        <f t="shared" si="39"/>
        <v>9.8179324722946371E-3</v>
      </c>
    </row>
    <row r="810" spans="2:6">
      <c r="B810" s="107">
        <v>40975</v>
      </c>
      <c r="C810">
        <v>47.148249999999997</v>
      </c>
      <c r="D810" s="109">
        <f t="shared" si="38"/>
        <v>-1.4416625437985392E-3</v>
      </c>
      <c r="E810">
        <v>1352.63</v>
      </c>
      <c r="F810" s="111">
        <f t="shared" si="39"/>
        <v>6.9006149274999503E-3</v>
      </c>
    </row>
    <row r="811" spans="2:6">
      <c r="B811" s="107">
        <v>40974</v>
      </c>
      <c r="C811">
        <v>47.216320000000003</v>
      </c>
      <c r="D811" s="109">
        <f t="shared" si="38"/>
        <v>-3.3638627995554636E-2</v>
      </c>
      <c r="E811">
        <v>1343.3599899999999</v>
      </c>
      <c r="F811" s="111">
        <f t="shared" si="39"/>
        <v>-1.5370160162722002E-2</v>
      </c>
    </row>
    <row r="812" spans="2:6">
      <c r="B812" s="107">
        <v>40973</v>
      </c>
      <c r="C812">
        <v>48.859900000000003</v>
      </c>
      <c r="D812" s="109">
        <f t="shared" si="38"/>
        <v>-1.3160578855417325E-2</v>
      </c>
      <c r="E812">
        <v>1364.32996</v>
      </c>
      <c r="F812" s="111">
        <f t="shared" si="39"/>
        <v>-3.8696874338325538E-3</v>
      </c>
    </row>
    <row r="813" spans="2:6">
      <c r="B813" s="107">
        <v>40970</v>
      </c>
      <c r="C813">
        <v>49.511499999999998</v>
      </c>
      <c r="D813" s="109">
        <f t="shared" si="38"/>
        <v>7.520461650570011E-3</v>
      </c>
      <c r="E813">
        <v>1369.63</v>
      </c>
      <c r="F813" s="111">
        <f t="shared" si="39"/>
        <v>-3.2457627210537637E-3</v>
      </c>
    </row>
    <row r="814" spans="2:6">
      <c r="B814" s="107">
        <v>40969</v>
      </c>
      <c r="C814">
        <v>49.141930000000002</v>
      </c>
      <c r="D814" s="109">
        <f t="shared" si="38"/>
        <v>2.1220562093964366E-2</v>
      </c>
      <c r="E814">
        <v>1374.08997</v>
      </c>
      <c r="F814" s="111">
        <f t="shared" si="39"/>
        <v>6.1580455832243117E-3</v>
      </c>
    </row>
    <row r="815" spans="2:6">
      <c r="B815" s="107">
        <v>40968</v>
      </c>
      <c r="C815">
        <v>48.120780000000003</v>
      </c>
      <c r="D815" s="109">
        <f t="shared" si="38"/>
        <v>-5.8267278284049803E-3</v>
      </c>
      <c r="E815">
        <v>1365.6800499999999</v>
      </c>
      <c r="F815" s="111">
        <f t="shared" si="39"/>
        <v>-4.7369876861276337E-3</v>
      </c>
    </row>
    <row r="816" spans="2:6">
      <c r="B816" s="107">
        <v>40967</v>
      </c>
      <c r="C816">
        <v>48.402810000000002</v>
      </c>
      <c r="D816" s="109">
        <f t="shared" si="38"/>
        <v>1.1790859920044E-2</v>
      </c>
      <c r="E816">
        <v>1372.1800499999999</v>
      </c>
      <c r="F816" s="111">
        <f t="shared" si="39"/>
        <v>3.3563276279365692E-3</v>
      </c>
    </row>
    <row r="817" spans="2:6">
      <c r="B817" s="107">
        <v>40966</v>
      </c>
      <c r="C817">
        <v>47.838749999999997</v>
      </c>
      <c r="D817" s="109">
        <f t="shared" si="38"/>
        <v>1.0175743438182565E-3</v>
      </c>
      <c r="E817">
        <v>1367.58997</v>
      </c>
      <c r="F817" s="111">
        <f t="shared" si="39"/>
        <v>1.3545623717146624E-3</v>
      </c>
    </row>
    <row r="818" spans="2:6">
      <c r="B818" s="107">
        <v>40963</v>
      </c>
      <c r="C818">
        <v>47.790120000000002</v>
      </c>
      <c r="D818" s="109">
        <f t="shared" si="38"/>
        <v>5.9366743509736046E-3</v>
      </c>
      <c r="E818">
        <v>1365.73999</v>
      </c>
      <c r="F818" s="111">
        <f t="shared" si="39"/>
        <v>1.6722383252091425E-3</v>
      </c>
    </row>
    <row r="819" spans="2:6">
      <c r="B819" s="107">
        <v>40962</v>
      </c>
      <c r="C819">
        <v>47.50808</v>
      </c>
      <c r="D819" s="109">
        <f t="shared" si="38"/>
        <v>2.8854125068325982E-2</v>
      </c>
      <c r="E819">
        <v>1363.4599599999999</v>
      </c>
      <c r="F819" s="111">
        <f t="shared" si="39"/>
        <v>4.2720046785202212E-3</v>
      </c>
    </row>
    <row r="820" spans="2:6">
      <c r="B820" s="107">
        <v>40961</v>
      </c>
      <c r="C820">
        <v>46.175719999999998</v>
      </c>
      <c r="D820" s="109">
        <f t="shared" si="38"/>
        <v>-2.7305427501746497E-3</v>
      </c>
      <c r="E820">
        <v>1357.66003</v>
      </c>
      <c r="F820" s="111">
        <f t="shared" si="39"/>
        <v>-3.340109185517851E-3</v>
      </c>
    </row>
    <row r="821" spans="2:6">
      <c r="B821" s="107">
        <v>40960</v>
      </c>
      <c r="C821">
        <v>46.302149999999997</v>
      </c>
      <c r="D821" s="109">
        <f t="shared" si="38"/>
        <v>-3.7663628617904243E-3</v>
      </c>
      <c r="E821">
        <v>1362.2099599999999</v>
      </c>
      <c r="F821" s="111">
        <f t="shared" si="39"/>
        <v>7.1992243368004664E-4</v>
      </c>
    </row>
    <row r="822" spans="2:6">
      <c r="B822" s="107">
        <v>40956</v>
      </c>
      <c r="C822">
        <v>46.477200000000003</v>
      </c>
      <c r="D822" s="109">
        <f t="shared" si="38"/>
        <v>-9.1230978622374968E-3</v>
      </c>
      <c r="E822">
        <v>1361.2299800000001</v>
      </c>
      <c r="F822" s="111">
        <f t="shared" si="39"/>
        <v>2.3489292701561128E-3</v>
      </c>
    </row>
    <row r="823" spans="2:6">
      <c r="B823" s="107">
        <v>40955</v>
      </c>
      <c r="C823">
        <v>46.905119999999997</v>
      </c>
      <c r="D823" s="109">
        <f t="shared" si="38"/>
        <v>1.1535420793776549E-2</v>
      </c>
      <c r="E823">
        <v>1358.0400400000001</v>
      </c>
      <c r="F823" s="111">
        <f t="shared" si="39"/>
        <v>1.1025706856245139E-2</v>
      </c>
    </row>
    <row r="824" spans="2:6">
      <c r="B824" s="107">
        <v>40954</v>
      </c>
      <c r="C824">
        <v>46.370220000000003</v>
      </c>
      <c r="D824" s="109">
        <f t="shared" si="38"/>
        <v>1.4683852095376876E-2</v>
      </c>
      <c r="E824">
        <v>1343.2299800000001</v>
      </c>
      <c r="F824" s="111">
        <f t="shared" si="39"/>
        <v>-5.3832062199184981E-3</v>
      </c>
    </row>
    <row r="825" spans="2:6">
      <c r="B825" s="107">
        <v>40953</v>
      </c>
      <c r="C825">
        <v>45.699179999999998</v>
      </c>
      <c r="D825" s="109">
        <f t="shared" si="38"/>
        <v>7.7203347279227738E-3</v>
      </c>
      <c r="E825">
        <v>1350.5</v>
      </c>
      <c r="F825" s="111">
        <f t="shared" si="39"/>
        <v>-9.3952372164603215E-4</v>
      </c>
    </row>
    <row r="826" spans="2:6">
      <c r="B826" s="107">
        <v>40952</v>
      </c>
      <c r="C826">
        <v>45.349069999999998</v>
      </c>
      <c r="D826" s="109">
        <f t="shared" si="38"/>
        <v>4.0912853938365112E-3</v>
      </c>
      <c r="E826">
        <v>1351.7700199999999</v>
      </c>
      <c r="F826" s="111">
        <f t="shared" si="39"/>
        <v>6.8000431478277305E-3</v>
      </c>
    </row>
    <row r="827" spans="2:6">
      <c r="B827" s="107">
        <v>40949</v>
      </c>
      <c r="C827">
        <v>45.164290000000001</v>
      </c>
      <c r="D827" s="109">
        <f t="shared" si="38"/>
        <v>-1.6101636022247578E-2</v>
      </c>
      <c r="E827">
        <v>1342.6400100000001</v>
      </c>
      <c r="F827" s="111">
        <f t="shared" si="39"/>
        <v>-6.886305221580037E-3</v>
      </c>
    </row>
    <row r="828" spans="2:6">
      <c r="B828" s="107">
        <v>40948</v>
      </c>
      <c r="C828">
        <v>45.903410000000001</v>
      </c>
      <c r="D828" s="109">
        <f t="shared" si="38"/>
        <v>7.6857220003819877E-3</v>
      </c>
      <c r="E828">
        <v>1351.9499499999999</v>
      </c>
      <c r="F828" s="111">
        <f t="shared" si="39"/>
        <v>1.4741103876888574E-3</v>
      </c>
    </row>
    <row r="829" spans="2:6">
      <c r="B829" s="107">
        <v>40947</v>
      </c>
      <c r="C829">
        <v>45.5533</v>
      </c>
      <c r="D829" s="109">
        <f t="shared" si="38"/>
        <v>2.0256960705594813E-2</v>
      </c>
      <c r="E829">
        <v>1349.9599599999999</v>
      </c>
      <c r="F829" s="111">
        <f t="shared" si="39"/>
        <v>2.1602092661663569E-3</v>
      </c>
    </row>
    <row r="830" spans="2:6">
      <c r="B830" s="107">
        <v>40946</v>
      </c>
      <c r="C830">
        <v>44.648850000000003</v>
      </c>
      <c r="D830" s="109">
        <f t="shared" si="38"/>
        <v>-3.4692927154517078E-2</v>
      </c>
      <c r="E830">
        <v>1347.0500500000001</v>
      </c>
      <c r="F830" s="111">
        <f t="shared" si="39"/>
        <v>2.0233797363260636E-3</v>
      </c>
    </row>
    <row r="831" spans="2:6">
      <c r="B831" s="107">
        <v>40945</v>
      </c>
      <c r="C831">
        <v>46.253520000000002</v>
      </c>
      <c r="D831" s="109">
        <f t="shared" si="38"/>
        <v>4.2068543824930573E-4</v>
      </c>
      <c r="E831">
        <v>1344.32996</v>
      </c>
      <c r="F831" s="111">
        <f t="shared" si="39"/>
        <v>-4.2386793926883293E-4</v>
      </c>
    </row>
    <row r="832" spans="2:6">
      <c r="B832" s="107">
        <v>40942</v>
      </c>
      <c r="C832">
        <v>46.234070000000003</v>
      </c>
      <c r="D832" s="109">
        <f t="shared" si="38"/>
        <v>2.148689593858287E-2</v>
      </c>
      <c r="E832">
        <v>1344.90002</v>
      </c>
      <c r="F832" s="111">
        <f t="shared" si="39"/>
        <v>1.4605352849243202E-2</v>
      </c>
    </row>
    <row r="833" spans="2:6">
      <c r="B833" s="107">
        <v>40941</v>
      </c>
      <c r="C833">
        <v>45.261539999999997</v>
      </c>
      <c r="D833" s="109">
        <f t="shared" si="38"/>
        <v>1.2908381023551045E-3</v>
      </c>
      <c r="E833">
        <v>1325.5400400000001</v>
      </c>
      <c r="F833" s="111">
        <f t="shared" si="39"/>
        <v>1.0951446146821096E-3</v>
      </c>
    </row>
    <row r="834" spans="2:6">
      <c r="B834" s="107">
        <v>40940</v>
      </c>
      <c r="C834">
        <v>45.203189999999999</v>
      </c>
      <c r="D834" s="109">
        <f t="shared" si="38"/>
        <v>1.3077640421813967E-2</v>
      </c>
      <c r="E834">
        <v>1324.08997</v>
      </c>
      <c r="F834" s="111">
        <f t="shared" si="39"/>
        <v>8.8996119604480527E-3</v>
      </c>
    </row>
    <row r="835" spans="2:6">
      <c r="B835" s="107">
        <v>40939</v>
      </c>
      <c r="C835">
        <v>44.619669999999999</v>
      </c>
      <c r="D835" s="109">
        <f t="shared" si="38"/>
        <v>-8.8572652832475344E-3</v>
      </c>
      <c r="E835">
        <v>1312.41003</v>
      </c>
      <c r="F835" s="111">
        <f t="shared" si="39"/>
        <v>-4.5695005782930744E-4</v>
      </c>
    </row>
    <row r="836" spans="2:6">
      <c r="B836" s="107">
        <v>40938</v>
      </c>
      <c r="C836">
        <v>45.018410000000003</v>
      </c>
      <c r="D836" s="109">
        <f t="shared" si="38"/>
        <v>-8.7792846489233023E-3</v>
      </c>
      <c r="E836">
        <v>1313.01001</v>
      </c>
      <c r="F836" s="111">
        <f t="shared" si="39"/>
        <v>-2.5221259873170875E-3</v>
      </c>
    </row>
    <row r="837" spans="2:6">
      <c r="B837" s="107">
        <v>40935</v>
      </c>
      <c r="C837">
        <v>45.417140000000003</v>
      </c>
      <c r="D837" s="109">
        <f t="shared" si="38"/>
        <v>6.6823803530748549E-3</v>
      </c>
      <c r="E837">
        <v>1316.32996</v>
      </c>
      <c r="F837" s="111">
        <f t="shared" si="39"/>
        <v>-1.5928717644139781E-3</v>
      </c>
    </row>
    <row r="838" spans="2:6">
      <c r="B838" s="107">
        <v>40934</v>
      </c>
      <c r="C838">
        <v>45.115659999999998</v>
      </c>
      <c r="D838" s="109">
        <f t="shared" si="38"/>
        <v>-0.11367974003486291</v>
      </c>
      <c r="E838">
        <v>1318.4300499999999</v>
      </c>
      <c r="F838" s="111">
        <f t="shared" si="39"/>
        <v>-5.7538947368643949E-3</v>
      </c>
    </row>
    <row r="839" spans="2:6">
      <c r="B839" s="107">
        <v>40933</v>
      </c>
      <c r="C839">
        <v>50.902209999999997</v>
      </c>
      <c r="D839" s="109">
        <f t="shared" si="38"/>
        <v>2.2465340130725202E-2</v>
      </c>
      <c r="E839">
        <v>1326.06006</v>
      </c>
      <c r="F839" s="111">
        <f t="shared" si="39"/>
        <v>8.6791464088670379E-3</v>
      </c>
    </row>
    <row r="840" spans="2:6">
      <c r="B840" s="107">
        <v>40932</v>
      </c>
      <c r="C840">
        <v>49.783799999999999</v>
      </c>
      <c r="D840" s="109">
        <f t="shared" si="38"/>
        <v>-1.1776195708164683E-2</v>
      </c>
      <c r="E840">
        <v>1314.65002</v>
      </c>
      <c r="F840" s="111">
        <f t="shared" si="39"/>
        <v>-1.0258206686929784E-3</v>
      </c>
    </row>
    <row r="841" spans="2:6">
      <c r="B841" s="107">
        <v>40931</v>
      </c>
      <c r="C841">
        <v>50.377049999999997</v>
      </c>
      <c r="D841" s="109">
        <f t="shared" ref="D841:D904" si="40">(C841-C842)/C842</f>
        <v>-1.3145445178175114E-2</v>
      </c>
      <c r="E841">
        <v>1316</v>
      </c>
      <c r="F841" s="111">
        <f t="shared" ref="F841:F904" si="41">(E841-E842)/E842</f>
        <v>4.7134668308769392E-4</v>
      </c>
    </row>
    <row r="842" spans="2:6">
      <c r="B842" s="107">
        <v>40928</v>
      </c>
      <c r="C842">
        <v>51.048099999999998</v>
      </c>
      <c r="D842" s="109">
        <f t="shared" si="40"/>
        <v>-3.6066682177539793E-3</v>
      </c>
      <c r="E842">
        <v>1315.38</v>
      </c>
      <c r="F842" s="111">
        <f t="shared" si="41"/>
        <v>6.6945606694568968E-4</v>
      </c>
    </row>
    <row r="843" spans="2:6">
      <c r="B843" s="107">
        <v>40927</v>
      </c>
      <c r="C843">
        <v>51.232880000000002</v>
      </c>
      <c r="D843" s="109">
        <f t="shared" si="40"/>
        <v>1.1715132989715856E-2</v>
      </c>
      <c r="E843">
        <v>1314.5</v>
      </c>
      <c r="F843" s="111">
        <f t="shared" si="41"/>
        <v>4.9386561591798902E-3</v>
      </c>
    </row>
    <row r="844" spans="2:6">
      <c r="B844" s="107">
        <v>40926</v>
      </c>
      <c r="C844">
        <v>50.639629999999997</v>
      </c>
      <c r="D844" s="109">
        <f t="shared" si="40"/>
        <v>4.2233829667205104E-2</v>
      </c>
      <c r="E844">
        <v>1308.0400400000001</v>
      </c>
      <c r="F844" s="111">
        <f t="shared" si="41"/>
        <v>1.1107932900726463E-2</v>
      </c>
    </row>
    <row r="845" spans="2:6">
      <c r="B845" s="107">
        <v>40925</v>
      </c>
      <c r="C845">
        <v>48.587589999999999</v>
      </c>
      <c r="D845" s="109">
        <f t="shared" si="40"/>
        <v>1.4029405072432445E-3</v>
      </c>
      <c r="E845">
        <v>1293.67004</v>
      </c>
      <c r="F845" s="111">
        <f t="shared" si="41"/>
        <v>3.5529482864566681E-3</v>
      </c>
    </row>
    <row r="846" spans="2:6">
      <c r="B846" s="107">
        <v>40921</v>
      </c>
      <c r="C846">
        <v>48.51952</v>
      </c>
      <c r="D846" s="109">
        <f t="shared" si="40"/>
        <v>-1.1687743197596627E-2</v>
      </c>
      <c r="E846">
        <v>1289.08997</v>
      </c>
      <c r="F846" s="111">
        <f t="shared" si="41"/>
        <v>-4.9479197221150182E-3</v>
      </c>
    </row>
    <row r="847" spans="2:6">
      <c r="B847" s="107">
        <v>40920</v>
      </c>
      <c r="C847">
        <v>49.093310000000002</v>
      </c>
      <c r="D847" s="109">
        <f t="shared" si="40"/>
        <v>-1.3846234584952404E-3</v>
      </c>
      <c r="E847">
        <v>1295.5</v>
      </c>
      <c r="F847" s="111">
        <f t="shared" si="41"/>
        <v>2.3366087264267963E-3</v>
      </c>
    </row>
    <row r="848" spans="2:6">
      <c r="B848" s="107">
        <v>40919</v>
      </c>
      <c r="C848">
        <v>49.161380000000001</v>
      </c>
      <c r="D848" s="109">
        <f t="shared" si="40"/>
        <v>-4.5295065897445873E-3</v>
      </c>
      <c r="E848">
        <v>1292.4799800000001</v>
      </c>
      <c r="F848" s="111">
        <f t="shared" si="41"/>
        <v>3.0959384278356927E-4</v>
      </c>
    </row>
    <row r="849" spans="2:6">
      <c r="B849" s="107">
        <v>40918</v>
      </c>
      <c r="C849">
        <v>49.385069999999999</v>
      </c>
      <c r="D849" s="109">
        <f t="shared" si="40"/>
        <v>-9.8374186030992703E-4</v>
      </c>
      <c r="E849">
        <v>1292.07996</v>
      </c>
      <c r="F849" s="111">
        <f t="shared" si="41"/>
        <v>8.8857737520799344E-3</v>
      </c>
    </row>
    <row r="850" spans="2:6">
      <c r="B850" s="107">
        <v>40917</v>
      </c>
      <c r="C850">
        <v>49.433700000000002</v>
      </c>
      <c r="D850" s="109">
        <f t="shared" si="40"/>
        <v>1.8025298187214569E-2</v>
      </c>
      <c r="E850">
        <v>1280.6999499999999</v>
      </c>
      <c r="F850" s="111">
        <f t="shared" si="41"/>
        <v>2.2615959057325961E-3</v>
      </c>
    </row>
    <row r="851" spans="2:6">
      <c r="B851" s="107">
        <v>40914</v>
      </c>
      <c r="C851">
        <v>48.558419999999998</v>
      </c>
      <c r="D851" s="109">
        <f t="shared" si="40"/>
        <v>1.669732630890431E-2</v>
      </c>
      <c r="E851">
        <v>1277.81006</v>
      </c>
      <c r="F851" s="111">
        <f t="shared" si="41"/>
        <v>-2.5369614598709758E-3</v>
      </c>
    </row>
    <row r="852" spans="2:6">
      <c r="B852" s="107">
        <v>40913</v>
      </c>
      <c r="C852">
        <v>47.760939999999998</v>
      </c>
      <c r="D852" s="109">
        <f t="shared" si="40"/>
        <v>1.6770204450666338E-2</v>
      </c>
      <c r="E852">
        <v>1281.06006</v>
      </c>
      <c r="F852" s="111">
        <f t="shared" si="41"/>
        <v>2.9437171007704616E-3</v>
      </c>
    </row>
    <row r="853" spans="2:6">
      <c r="B853" s="107">
        <v>40912</v>
      </c>
      <c r="C853">
        <v>46.973190000000002</v>
      </c>
      <c r="D853" s="109">
        <f t="shared" si="40"/>
        <v>1.4918965401759276E-2</v>
      </c>
      <c r="E853">
        <v>1277.3000500000001</v>
      </c>
      <c r="F853" s="111">
        <f t="shared" si="41"/>
        <v>1.8792381620644713E-4</v>
      </c>
    </row>
    <row r="854" spans="2:6">
      <c r="B854" s="107">
        <v>40911</v>
      </c>
      <c r="C854">
        <v>46.282699999999998</v>
      </c>
      <c r="D854" s="109">
        <f t="shared" si="40"/>
        <v>-3.2920168330609977E-2</v>
      </c>
      <c r="E854">
        <v>1277.06006</v>
      </c>
      <c r="F854" s="111">
        <f t="shared" si="41"/>
        <v>1.5473982434382721E-2</v>
      </c>
    </row>
    <row r="855" spans="2:6">
      <c r="B855" s="107">
        <v>40907</v>
      </c>
      <c r="C855">
        <v>47.858199999999997</v>
      </c>
      <c r="D855" s="109">
        <f t="shared" si="40"/>
        <v>-4.4506018557523242E-3</v>
      </c>
      <c r="E855">
        <v>1257.59998</v>
      </c>
      <c r="F855" s="111">
        <f t="shared" si="41"/>
        <v>-4.2913334026169845E-3</v>
      </c>
    </row>
    <row r="856" spans="2:6">
      <c r="B856" s="107">
        <v>40906</v>
      </c>
      <c r="C856">
        <v>48.072150000000001</v>
      </c>
      <c r="D856" s="109">
        <f t="shared" si="40"/>
        <v>6.3109853807785813E-3</v>
      </c>
      <c r="E856">
        <v>1263.0200199999999</v>
      </c>
      <c r="F856" s="111">
        <f t="shared" si="41"/>
        <v>1.0707091556711484E-2</v>
      </c>
    </row>
    <row r="857" spans="2:6">
      <c r="B857" s="107">
        <v>40905</v>
      </c>
      <c r="C857">
        <v>47.770670000000003</v>
      </c>
      <c r="D857" s="109">
        <f t="shared" si="40"/>
        <v>-1.9560891762230942E-2</v>
      </c>
      <c r="E857">
        <v>1249.6400100000001</v>
      </c>
      <c r="F857" s="111">
        <f t="shared" si="41"/>
        <v>-1.2478003031459434E-2</v>
      </c>
    </row>
    <row r="858" spans="2:6">
      <c r="B858" s="107">
        <v>40904</v>
      </c>
      <c r="C858">
        <v>48.723750000000003</v>
      </c>
      <c r="D858" s="109">
        <f t="shared" si="40"/>
        <v>-8.3134872215192036E-3</v>
      </c>
      <c r="E858">
        <v>1265.4300499999999</v>
      </c>
      <c r="F858" s="111">
        <f t="shared" si="41"/>
        <v>7.9101896867998922E-5</v>
      </c>
    </row>
    <row r="859" spans="2:6">
      <c r="B859" s="107">
        <v>40900</v>
      </c>
      <c r="C859">
        <v>49.132210000000001</v>
      </c>
      <c r="D859" s="109">
        <f t="shared" si="40"/>
        <v>1.7317851251339885E-2</v>
      </c>
      <c r="E859">
        <v>1265.32996</v>
      </c>
      <c r="F859" s="111">
        <f t="shared" si="41"/>
        <v>9.0350558213716341E-3</v>
      </c>
    </row>
    <row r="860" spans="2:6">
      <c r="B860" s="107">
        <v>40899</v>
      </c>
      <c r="C860">
        <v>48.295830000000002</v>
      </c>
      <c r="D860" s="109">
        <f t="shared" si="40"/>
        <v>3.157445737809228E-2</v>
      </c>
      <c r="E860">
        <v>1254</v>
      </c>
      <c r="F860" s="111">
        <f t="shared" si="41"/>
        <v>8.2655503231968651E-3</v>
      </c>
    </row>
    <row r="861" spans="2:6">
      <c r="B861" s="107">
        <v>40898</v>
      </c>
      <c r="C861">
        <v>46.817590000000003</v>
      </c>
      <c r="D861" s="109">
        <f t="shared" si="40"/>
        <v>-1.4332494848243086E-2</v>
      </c>
      <c r="E861">
        <v>1243.7199700000001</v>
      </c>
      <c r="F861" s="111">
        <f t="shared" si="41"/>
        <v>1.9495044731530039E-3</v>
      </c>
    </row>
    <row r="862" spans="2:6">
      <c r="B862" s="107">
        <v>40897</v>
      </c>
      <c r="C862">
        <v>47.498359999999998</v>
      </c>
      <c r="D862" s="109">
        <f t="shared" si="40"/>
        <v>4.1364651355519935E-2</v>
      </c>
      <c r="E862">
        <v>1241.3000500000001</v>
      </c>
      <c r="F862" s="111">
        <f t="shared" si="41"/>
        <v>2.9825420497372968E-2</v>
      </c>
    </row>
    <row r="863" spans="2:6">
      <c r="B863" s="107">
        <v>40896</v>
      </c>
      <c r="C863">
        <v>45.611649999999997</v>
      </c>
      <c r="D863" s="109">
        <f t="shared" si="40"/>
        <v>-2.1081295817414844E-2</v>
      </c>
      <c r="E863">
        <v>1205.34998</v>
      </c>
      <c r="F863" s="111">
        <f t="shared" si="41"/>
        <v>-1.1732818693747015E-2</v>
      </c>
    </row>
    <row r="864" spans="2:6">
      <c r="B864" s="107">
        <v>40893</v>
      </c>
      <c r="C864">
        <v>46.593910000000001</v>
      </c>
      <c r="D864" s="109">
        <f t="shared" si="40"/>
        <v>-8.3417662371189209E-4</v>
      </c>
      <c r="E864">
        <v>1219.66003</v>
      </c>
      <c r="F864" s="111">
        <f t="shared" si="41"/>
        <v>3.2161464116800377E-3</v>
      </c>
    </row>
    <row r="865" spans="2:6">
      <c r="B865" s="107">
        <v>40892</v>
      </c>
      <c r="C865">
        <v>46.632809999999999</v>
      </c>
      <c r="D865" s="109">
        <f t="shared" si="40"/>
        <v>-8.2729677413592023E-3</v>
      </c>
      <c r="E865">
        <v>1215.75</v>
      </c>
      <c r="F865" s="111">
        <f t="shared" si="41"/>
        <v>3.2430972934551351E-3</v>
      </c>
    </row>
    <row r="866" spans="2:6">
      <c r="B866" s="107">
        <v>40891</v>
      </c>
      <c r="C866">
        <v>47.021819999999998</v>
      </c>
      <c r="D866" s="109">
        <f t="shared" si="40"/>
        <v>-2.9895675528136559E-2</v>
      </c>
      <c r="E866">
        <v>1211.8199500000001</v>
      </c>
      <c r="F866" s="111">
        <f t="shared" si="41"/>
        <v>-1.1348364017334392E-2</v>
      </c>
    </row>
    <row r="867" spans="2:6">
      <c r="B867" s="107">
        <v>40890</v>
      </c>
      <c r="C867">
        <v>48.470889999999997</v>
      </c>
      <c r="D867" s="109">
        <f t="shared" si="40"/>
        <v>-3.9968848504276363E-3</v>
      </c>
      <c r="E867">
        <v>1225.7299800000001</v>
      </c>
      <c r="F867" s="111">
        <f t="shared" si="41"/>
        <v>-8.6860095761161372E-3</v>
      </c>
    </row>
    <row r="868" spans="2:6">
      <c r="B868" s="107">
        <v>40889</v>
      </c>
      <c r="C868">
        <v>48.665399999999998</v>
      </c>
      <c r="D868" s="109">
        <f t="shared" si="40"/>
        <v>-6.945711301809771E-3</v>
      </c>
      <c r="E868">
        <v>1236.4699700000001</v>
      </c>
      <c r="F868" s="111">
        <f t="shared" si="41"/>
        <v>-1.4914053565470637E-2</v>
      </c>
    </row>
    <row r="869" spans="2:6">
      <c r="B869" s="107">
        <v>40886</v>
      </c>
      <c r="C869">
        <v>49.005780000000001</v>
      </c>
      <c r="D869" s="109">
        <f t="shared" si="40"/>
        <v>9.8196468768107625E-3</v>
      </c>
      <c r="E869">
        <v>1255.18994</v>
      </c>
      <c r="F869" s="111">
        <f t="shared" si="41"/>
        <v>1.6883347784394195E-2</v>
      </c>
    </row>
    <row r="870" spans="2:6">
      <c r="B870" s="107">
        <v>40885</v>
      </c>
      <c r="C870">
        <v>48.529240000000001</v>
      </c>
      <c r="D870" s="109">
        <f t="shared" si="40"/>
        <v>-9.3309704972795639E-3</v>
      </c>
      <c r="E870">
        <v>1234.34998</v>
      </c>
      <c r="F870" s="111">
        <f t="shared" si="41"/>
        <v>-2.114180679660109E-2</v>
      </c>
    </row>
    <row r="871" spans="2:6">
      <c r="B871" s="107">
        <v>40884</v>
      </c>
      <c r="C871">
        <v>48.986330000000002</v>
      </c>
      <c r="D871" s="109">
        <f t="shared" si="40"/>
        <v>0</v>
      </c>
      <c r="E871">
        <v>1261.01001</v>
      </c>
      <c r="F871" s="111">
        <f t="shared" si="41"/>
        <v>2.0183556704176757E-3</v>
      </c>
    </row>
    <row r="872" spans="2:6">
      <c r="B872" s="107">
        <v>40883</v>
      </c>
      <c r="C872">
        <v>48.986330000000002</v>
      </c>
      <c r="D872" s="109">
        <f t="shared" si="40"/>
        <v>-1.080122824114586E-2</v>
      </c>
      <c r="E872">
        <v>1258.4699700000001</v>
      </c>
      <c r="F872" s="111">
        <f t="shared" si="41"/>
        <v>1.105745095164889E-3</v>
      </c>
    </row>
    <row r="873" spans="2:6">
      <c r="B873" s="107">
        <v>40882</v>
      </c>
      <c r="C873">
        <v>49.52122</v>
      </c>
      <c r="D873" s="109">
        <f t="shared" si="40"/>
        <v>1.192373160160776E-2</v>
      </c>
      <c r="E873">
        <v>1257.07996</v>
      </c>
      <c r="F873" s="111">
        <f t="shared" si="41"/>
        <v>1.0287017143560628E-2</v>
      </c>
    </row>
    <row r="874" spans="2:6">
      <c r="B874" s="107">
        <v>40879</v>
      </c>
      <c r="C874">
        <v>48.9377</v>
      </c>
      <c r="D874" s="109">
        <f t="shared" si="40"/>
        <v>9.2257550679165409E-3</v>
      </c>
      <c r="E874">
        <v>1244.2800299999999</v>
      </c>
      <c r="F874" s="111">
        <f t="shared" si="41"/>
        <v>-2.4098893573710705E-4</v>
      </c>
    </row>
    <row r="875" spans="2:6">
      <c r="B875" s="107">
        <v>40878</v>
      </c>
      <c r="C875">
        <v>48.490340000000003</v>
      </c>
      <c r="D875" s="109">
        <f t="shared" si="40"/>
        <v>1.1153893874418952E-2</v>
      </c>
      <c r="E875">
        <v>1244.57996</v>
      </c>
      <c r="F875" s="111">
        <f t="shared" si="41"/>
        <v>-1.9086418781240433E-3</v>
      </c>
    </row>
    <row r="876" spans="2:6">
      <c r="B876" s="107">
        <v>40877</v>
      </c>
      <c r="C876">
        <v>47.955449999999999</v>
      </c>
      <c r="D876" s="109">
        <f t="shared" si="40"/>
        <v>6.8472264988438558E-2</v>
      </c>
      <c r="E876">
        <v>1246.9599599999999</v>
      </c>
      <c r="F876" s="111">
        <f t="shared" si="41"/>
        <v>4.3315307690759121E-2</v>
      </c>
    </row>
    <row r="877" spans="2:6">
      <c r="B877" s="107">
        <v>40876</v>
      </c>
      <c r="C877">
        <v>44.882260000000002</v>
      </c>
      <c r="D877" s="109">
        <f t="shared" si="40"/>
        <v>-3.3305347697474154E-2</v>
      </c>
      <c r="E877">
        <v>1195.18994</v>
      </c>
      <c r="F877" s="111">
        <f t="shared" si="41"/>
        <v>2.2136513264159629E-3</v>
      </c>
    </row>
    <row r="878" spans="2:6">
      <c r="B878" s="107">
        <v>40875</v>
      </c>
      <c r="C878">
        <v>46.428579999999997</v>
      </c>
      <c r="D878" s="109">
        <f t="shared" si="40"/>
        <v>4.7849101503414926E-2</v>
      </c>
      <c r="E878">
        <v>1192.5500500000001</v>
      </c>
      <c r="F878" s="111">
        <f t="shared" si="41"/>
        <v>2.9240429829358566E-2</v>
      </c>
    </row>
    <row r="879" spans="2:6">
      <c r="B879" s="107">
        <v>40872</v>
      </c>
      <c r="C879">
        <v>44.308459999999997</v>
      </c>
      <c r="D879" s="109">
        <f t="shared" si="40"/>
        <v>-5.022889086399209E-3</v>
      </c>
      <c r="E879">
        <v>1158.67004</v>
      </c>
      <c r="F879" s="111">
        <f t="shared" si="41"/>
        <v>-2.6855110584354104E-3</v>
      </c>
    </row>
    <row r="880" spans="2:6">
      <c r="B880" s="107">
        <v>40870</v>
      </c>
      <c r="C880">
        <v>44.532139999999998</v>
      </c>
      <c r="D880" s="109">
        <f t="shared" si="40"/>
        <v>-4.2250570740042653E-2</v>
      </c>
      <c r="E880">
        <v>1161.7900400000001</v>
      </c>
      <c r="F880" s="111">
        <f t="shared" si="41"/>
        <v>-2.2095214905383152E-2</v>
      </c>
    </row>
    <row r="881" spans="2:6">
      <c r="B881" s="107">
        <v>40869</v>
      </c>
      <c r="C881">
        <v>46.496650000000002</v>
      </c>
      <c r="D881" s="109">
        <f t="shared" si="40"/>
        <v>7.5866993307193006E-3</v>
      </c>
      <c r="E881">
        <v>1188.0400400000001</v>
      </c>
      <c r="F881" s="111">
        <f t="shared" si="41"/>
        <v>-4.1408406535036564E-3</v>
      </c>
    </row>
    <row r="882" spans="2:6">
      <c r="B882" s="107">
        <v>40868</v>
      </c>
      <c r="C882">
        <v>46.146549999999998</v>
      </c>
      <c r="D882" s="109">
        <f t="shared" si="40"/>
        <v>-2.606725893520824E-2</v>
      </c>
      <c r="E882">
        <v>1192.9799800000001</v>
      </c>
      <c r="F882" s="111">
        <f t="shared" si="41"/>
        <v>-1.8648492269181201E-2</v>
      </c>
    </row>
    <row r="883" spans="2:6">
      <c r="B883" s="107">
        <v>40865</v>
      </c>
      <c r="C883">
        <v>47.381659999999997</v>
      </c>
      <c r="D883" s="109">
        <f t="shared" si="40"/>
        <v>-1.6155007674469701E-2</v>
      </c>
      <c r="E883">
        <v>1215.65002</v>
      </c>
      <c r="F883" s="111">
        <f t="shared" si="41"/>
        <v>-3.946782005213823E-4</v>
      </c>
    </row>
    <row r="884" spans="2:6">
      <c r="B884" s="107">
        <v>40864</v>
      </c>
      <c r="C884">
        <v>48.159680000000002</v>
      </c>
      <c r="D884" s="109">
        <f t="shared" si="40"/>
        <v>-3.0350473452244973E-2</v>
      </c>
      <c r="E884">
        <v>1216.1300000000001</v>
      </c>
      <c r="F884" s="111">
        <f t="shared" si="41"/>
        <v>-1.6799952701491067E-2</v>
      </c>
    </row>
    <row r="885" spans="2:6">
      <c r="B885" s="107">
        <v>40863</v>
      </c>
      <c r="C885">
        <v>49.667099999999998</v>
      </c>
      <c r="D885" s="109">
        <f t="shared" si="40"/>
        <v>-4.4833935248156402E-3</v>
      </c>
      <c r="E885">
        <v>1236.91003</v>
      </c>
      <c r="F885" s="111">
        <f t="shared" si="41"/>
        <v>-1.661620515262854E-2</v>
      </c>
    </row>
    <row r="886" spans="2:6">
      <c r="B886" s="107">
        <v>40862</v>
      </c>
      <c r="C886">
        <v>49.890779999999999</v>
      </c>
      <c r="D886" s="109">
        <f t="shared" si="40"/>
        <v>4.3068368090314326E-3</v>
      </c>
      <c r="E886">
        <v>1257.81006</v>
      </c>
      <c r="F886" s="111">
        <f t="shared" si="41"/>
        <v>4.8171642425068285E-3</v>
      </c>
    </row>
    <row r="887" spans="2:6">
      <c r="B887" s="107">
        <v>40861</v>
      </c>
      <c r="C887">
        <v>49.676830000000002</v>
      </c>
      <c r="D887" s="109">
        <f t="shared" si="40"/>
        <v>-1.1227110029300789E-2</v>
      </c>
      <c r="E887">
        <v>1251.7800299999999</v>
      </c>
      <c r="F887" s="111">
        <f t="shared" si="41"/>
        <v>-9.5501445511753397E-3</v>
      </c>
    </row>
    <row r="888" spans="2:6">
      <c r="B888" s="107">
        <v>40858</v>
      </c>
      <c r="C888">
        <v>50.24089</v>
      </c>
      <c r="D888" s="109">
        <f t="shared" si="40"/>
        <v>4.5325849176966061E-2</v>
      </c>
      <c r="E888">
        <v>1263.84998</v>
      </c>
      <c r="F888" s="111">
        <f t="shared" si="41"/>
        <v>1.9480544465618487E-2</v>
      </c>
    </row>
    <row r="889" spans="2:6">
      <c r="B889" s="107">
        <v>40857</v>
      </c>
      <c r="C889">
        <v>48.062420000000003</v>
      </c>
      <c r="D889" s="109">
        <f t="shared" si="40"/>
        <v>7.1325534281435421E-3</v>
      </c>
      <c r="E889">
        <v>1239.6999499999999</v>
      </c>
      <c r="F889" s="111">
        <f t="shared" si="41"/>
        <v>8.6241722988230664E-3</v>
      </c>
    </row>
    <row r="890" spans="2:6">
      <c r="B890" s="107">
        <v>40856</v>
      </c>
      <c r="C890">
        <v>47.72204</v>
      </c>
      <c r="D890" s="109">
        <f t="shared" si="40"/>
        <v>-4.7554383078327517E-2</v>
      </c>
      <c r="E890">
        <v>1229.09998</v>
      </c>
      <c r="F890" s="111">
        <f t="shared" si="41"/>
        <v>-3.6695136475793588E-2</v>
      </c>
    </row>
    <row r="891" spans="2:6">
      <c r="B891" s="107">
        <v>40855</v>
      </c>
      <c r="C891">
        <v>50.10474</v>
      </c>
      <c r="D891" s="109">
        <f t="shared" si="40"/>
        <v>-5.7892909229808331E-3</v>
      </c>
      <c r="E891">
        <v>1275.92004</v>
      </c>
      <c r="F891" s="111">
        <f t="shared" si="41"/>
        <v>1.1735631819335259E-2</v>
      </c>
    </row>
    <row r="892" spans="2:6">
      <c r="B892" s="107">
        <v>40854</v>
      </c>
      <c r="C892">
        <v>50.396500000000003</v>
      </c>
      <c r="D892" s="109">
        <f t="shared" si="40"/>
        <v>9.939577771850552E-3</v>
      </c>
      <c r="E892">
        <v>1261.1199999999999</v>
      </c>
      <c r="F892" s="111">
        <f t="shared" si="41"/>
        <v>6.2957478881887439E-3</v>
      </c>
    </row>
    <row r="893" spans="2:6">
      <c r="B893" s="107">
        <v>40851</v>
      </c>
      <c r="C893">
        <v>49.900509999999997</v>
      </c>
      <c r="D893" s="109">
        <f t="shared" si="40"/>
        <v>1.7853664327530876E-2</v>
      </c>
      <c r="E893">
        <v>1253.2299800000001</v>
      </c>
      <c r="F893" s="111">
        <f t="shared" si="41"/>
        <v>-6.2800141730957361E-3</v>
      </c>
    </row>
    <row r="894" spans="2:6">
      <c r="B894" s="107">
        <v>40850</v>
      </c>
      <c r="C894">
        <v>49.025230000000001</v>
      </c>
      <c r="D894" s="109">
        <f t="shared" si="40"/>
        <v>2.5427126828373475E-2</v>
      </c>
      <c r="E894">
        <v>1261.15002</v>
      </c>
      <c r="F894" s="111">
        <f t="shared" si="41"/>
        <v>1.8781807597030332E-2</v>
      </c>
    </row>
    <row r="895" spans="2:6">
      <c r="B895" s="107">
        <v>40849</v>
      </c>
      <c r="C895">
        <v>47.809570000000001</v>
      </c>
      <c r="D895" s="109">
        <f t="shared" si="40"/>
        <v>2.8558890887207308E-3</v>
      </c>
      <c r="E895">
        <v>1237.90002</v>
      </c>
      <c r="F895" s="111">
        <f t="shared" si="41"/>
        <v>1.6104663555882259E-2</v>
      </c>
    </row>
    <row r="896" spans="2:6">
      <c r="B896" s="107">
        <v>40848</v>
      </c>
      <c r="C896">
        <v>47.67342</v>
      </c>
      <c r="D896" s="109">
        <f t="shared" si="40"/>
        <v>-3.256355918015489E-2</v>
      </c>
      <c r="E896">
        <v>1218.2800299999999</v>
      </c>
      <c r="F896" s="111">
        <f t="shared" si="41"/>
        <v>-2.7942247349308058E-2</v>
      </c>
    </row>
    <row r="897" spans="2:6">
      <c r="B897" s="107">
        <v>40847</v>
      </c>
      <c r="C897">
        <v>49.278089999999999</v>
      </c>
      <c r="D897" s="109">
        <f t="shared" si="40"/>
        <v>-5.076815057311513E-2</v>
      </c>
      <c r="E897">
        <v>1253.3000500000001</v>
      </c>
      <c r="F897" s="111">
        <f t="shared" si="41"/>
        <v>-2.4737505343691957E-2</v>
      </c>
    </row>
    <row r="898" spans="2:6">
      <c r="B898" s="107">
        <v>40844</v>
      </c>
      <c r="C898">
        <v>51.913649999999997</v>
      </c>
      <c r="D898" s="109">
        <f t="shared" si="40"/>
        <v>2.6341168115951146E-2</v>
      </c>
      <c r="E898">
        <v>1285.08997</v>
      </c>
      <c r="F898" s="111">
        <f t="shared" si="41"/>
        <v>3.8922925733259463E-4</v>
      </c>
    </row>
    <row r="899" spans="2:6">
      <c r="B899" s="107">
        <v>40843</v>
      </c>
      <c r="C899">
        <v>50.58128</v>
      </c>
      <c r="D899" s="109">
        <f t="shared" si="40"/>
        <v>3.3790481438228222E-2</v>
      </c>
      <c r="E899">
        <v>1284.58997</v>
      </c>
      <c r="F899" s="111">
        <f t="shared" si="41"/>
        <v>3.4291441223832521E-2</v>
      </c>
    </row>
    <row r="900" spans="2:6">
      <c r="B900" s="107">
        <v>40842</v>
      </c>
      <c r="C900">
        <v>48.927979999999998</v>
      </c>
      <c r="D900" s="109">
        <f t="shared" si="40"/>
        <v>9.4301961445313037E-3</v>
      </c>
      <c r="E900">
        <v>1242</v>
      </c>
      <c r="F900" s="111">
        <f t="shared" si="41"/>
        <v>1.0536552193297534E-2</v>
      </c>
    </row>
    <row r="901" spans="2:6">
      <c r="B901" s="107">
        <v>40841</v>
      </c>
      <c r="C901">
        <v>48.470889999999997</v>
      </c>
      <c r="D901" s="109">
        <f t="shared" si="40"/>
        <v>-2.159397521268892E-2</v>
      </c>
      <c r="E901">
        <v>1229.0500500000001</v>
      </c>
      <c r="F901" s="111">
        <f t="shared" si="41"/>
        <v>-2.0044723050481432E-2</v>
      </c>
    </row>
    <row r="902" spans="2:6">
      <c r="B902" s="107">
        <v>40840</v>
      </c>
      <c r="C902">
        <v>49.540669999999999</v>
      </c>
      <c r="D902" s="109">
        <f t="shared" si="40"/>
        <v>2.3713716152450645E-2</v>
      </c>
      <c r="E902">
        <v>1254.18994</v>
      </c>
      <c r="F902" s="111">
        <f t="shared" si="41"/>
        <v>1.2872957803351487E-2</v>
      </c>
    </row>
    <row r="903" spans="2:6">
      <c r="B903" s="107">
        <v>40837</v>
      </c>
      <c r="C903">
        <v>48.393090000000001</v>
      </c>
      <c r="D903" s="109">
        <f t="shared" si="40"/>
        <v>9.3626433922989152E-2</v>
      </c>
      <c r="E903">
        <v>1238.25</v>
      </c>
      <c r="F903" s="111">
        <f t="shared" si="41"/>
        <v>1.8808769046900365E-2</v>
      </c>
    </row>
    <row r="904" spans="2:6">
      <c r="B904" s="107">
        <v>40836</v>
      </c>
      <c r="C904">
        <v>44.250109999999999</v>
      </c>
      <c r="D904" s="109">
        <f t="shared" si="40"/>
        <v>7.0827899651562205E-3</v>
      </c>
      <c r="E904">
        <v>1215.3900100000001</v>
      </c>
      <c r="F904" s="111">
        <f t="shared" si="41"/>
        <v>4.5541789268356905E-3</v>
      </c>
    </row>
    <row r="905" spans="2:6">
      <c r="B905" s="107">
        <v>40835</v>
      </c>
      <c r="C905">
        <v>43.938899999999997</v>
      </c>
      <c r="D905" s="109">
        <f t="shared" ref="D905:D968" si="42">(C905-C906)/C906</f>
        <v>-3.6879200059270568E-2</v>
      </c>
      <c r="E905">
        <v>1209.8800000000001</v>
      </c>
      <c r="F905" s="111">
        <f t="shared" ref="F905:F968" si="43">(E905-E906)/E906</f>
        <v>-1.2649137410435945E-2</v>
      </c>
    </row>
    <row r="906" spans="2:6">
      <c r="B906" s="107">
        <v>40834</v>
      </c>
      <c r="C906">
        <v>45.621380000000002</v>
      </c>
      <c r="D906" s="109">
        <f t="shared" si="42"/>
        <v>2.0448160475270243E-2</v>
      </c>
      <c r="E906">
        <v>1225.3800000000001</v>
      </c>
      <c r="F906" s="111">
        <f t="shared" si="43"/>
        <v>2.0418708429115192E-2</v>
      </c>
    </row>
    <row r="907" spans="2:6">
      <c r="B907" s="107">
        <v>40833</v>
      </c>
      <c r="C907">
        <v>44.7072</v>
      </c>
      <c r="D907" s="109">
        <f t="shared" si="42"/>
        <v>-1.7525014465548196E-2</v>
      </c>
      <c r="E907">
        <v>1200.8599899999999</v>
      </c>
      <c r="F907" s="111">
        <f t="shared" si="43"/>
        <v>-1.9369882551401627E-2</v>
      </c>
    </row>
    <row r="908" spans="2:6">
      <c r="B908" s="107">
        <v>40830</v>
      </c>
      <c r="C908">
        <v>45.504669999999997</v>
      </c>
      <c r="D908" s="109">
        <f t="shared" si="42"/>
        <v>1.8724016808340481E-2</v>
      </c>
      <c r="E908">
        <v>1224.57996</v>
      </c>
      <c r="F908" s="111">
        <f t="shared" si="43"/>
        <v>1.7380264757981555E-2</v>
      </c>
    </row>
    <row r="909" spans="2:6">
      <c r="B909" s="107">
        <v>40829</v>
      </c>
      <c r="C909">
        <v>44.668300000000002</v>
      </c>
      <c r="D909" s="109">
        <f t="shared" si="42"/>
        <v>3.3295974109942637E-2</v>
      </c>
      <c r="E909">
        <v>1203.66003</v>
      </c>
      <c r="F909" s="111">
        <f t="shared" si="43"/>
        <v>-2.97367570925657E-3</v>
      </c>
    </row>
    <row r="910" spans="2:6">
      <c r="B910" s="107">
        <v>40828</v>
      </c>
      <c r="C910">
        <v>43.228949999999998</v>
      </c>
      <c r="D910" s="109">
        <f t="shared" si="42"/>
        <v>-2.2502999629046676E-4</v>
      </c>
      <c r="E910">
        <v>1207.25</v>
      </c>
      <c r="F910" s="111">
        <f t="shared" si="43"/>
        <v>9.7947033208523153E-3</v>
      </c>
    </row>
    <row r="911" spans="2:6">
      <c r="B911" s="107">
        <v>40827</v>
      </c>
      <c r="C911">
        <v>43.238680000000002</v>
      </c>
      <c r="D911" s="109">
        <f t="shared" si="42"/>
        <v>-1.0240342223740038E-2</v>
      </c>
      <c r="E911">
        <v>1195.5400400000001</v>
      </c>
      <c r="F911" s="111">
        <f t="shared" si="43"/>
        <v>5.440082305148866E-4</v>
      </c>
    </row>
    <row r="912" spans="2:6">
      <c r="B912" s="107">
        <v>40826</v>
      </c>
      <c r="C912">
        <v>43.686039999999998</v>
      </c>
      <c r="D912" s="109">
        <f t="shared" si="42"/>
        <v>4.126093375416573E-2</v>
      </c>
      <c r="E912">
        <v>1194.8900100000001</v>
      </c>
      <c r="F912" s="111">
        <f t="shared" si="43"/>
        <v>3.4124981708583108E-2</v>
      </c>
    </row>
    <row r="913" spans="2:6">
      <c r="B913" s="107">
        <v>40823</v>
      </c>
      <c r="C913">
        <v>41.954940000000001</v>
      </c>
      <c r="D913" s="109">
        <f t="shared" si="42"/>
        <v>-1.1683842968811262E-2</v>
      </c>
      <c r="E913">
        <v>1155.4599599999999</v>
      </c>
      <c r="F913" s="111">
        <f t="shared" si="43"/>
        <v>-8.1633091366296699E-3</v>
      </c>
    </row>
    <row r="914" spans="2:6">
      <c r="B914" s="107">
        <v>40822</v>
      </c>
      <c r="C914">
        <v>42.45093</v>
      </c>
      <c r="D914" s="109">
        <f t="shared" si="42"/>
        <v>2.0098013772102897E-2</v>
      </c>
      <c r="E914">
        <v>1164.9699700000001</v>
      </c>
      <c r="F914" s="111">
        <f t="shared" si="43"/>
        <v>1.8303662885492795E-2</v>
      </c>
    </row>
    <row r="915" spans="2:6">
      <c r="B915" s="107">
        <v>40821</v>
      </c>
      <c r="C915">
        <v>41.614559999999997</v>
      </c>
      <c r="D915" s="109">
        <f t="shared" si="42"/>
        <v>5.2644679149295118E-2</v>
      </c>
      <c r="E915">
        <v>1144.0300299999999</v>
      </c>
      <c r="F915" s="111">
        <f t="shared" si="43"/>
        <v>1.7865635387056118E-2</v>
      </c>
    </row>
    <row r="916" spans="2:6">
      <c r="B916" s="107">
        <v>40820</v>
      </c>
      <c r="C916">
        <v>39.533340000000003</v>
      </c>
      <c r="D916" s="109">
        <f t="shared" si="42"/>
        <v>4.4450244987828687E-2</v>
      </c>
      <c r="E916">
        <v>1123.9499499999999</v>
      </c>
      <c r="F916" s="111">
        <f t="shared" si="43"/>
        <v>2.2488442318503606E-2</v>
      </c>
    </row>
    <row r="917" spans="2:6">
      <c r="B917" s="107">
        <v>40819</v>
      </c>
      <c r="C917">
        <v>37.850859999999997</v>
      </c>
      <c r="D917" s="109">
        <f t="shared" si="42"/>
        <v>-3.5679063959903487E-2</v>
      </c>
      <c r="E917">
        <v>1099.2299800000001</v>
      </c>
      <c r="F917" s="111">
        <f t="shared" si="43"/>
        <v>-2.8451025138285426E-2</v>
      </c>
    </row>
    <row r="918" spans="2:6">
      <c r="B918" s="107">
        <v>40816</v>
      </c>
      <c r="C918">
        <v>39.251309999999997</v>
      </c>
      <c r="D918" s="109">
        <f t="shared" si="42"/>
        <v>-6.4005917351489632E-3</v>
      </c>
      <c r="E918">
        <v>1131.42004</v>
      </c>
      <c r="F918" s="111">
        <f t="shared" si="43"/>
        <v>-2.4974129180039197E-2</v>
      </c>
    </row>
    <row r="919" spans="2:6">
      <c r="B919" s="107">
        <v>40815</v>
      </c>
      <c r="C919">
        <v>39.504159999999999</v>
      </c>
      <c r="D919" s="109">
        <f t="shared" si="42"/>
        <v>-2.7997132032315405E-2</v>
      </c>
      <c r="E919">
        <v>1160.40002</v>
      </c>
      <c r="F919" s="111">
        <f t="shared" si="43"/>
        <v>8.1142247260321231E-3</v>
      </c>
    </row>
    <row r="920" spans="2:6">
      <c r="B920" s="107">
        <v>40814</v>
      </c>
      <c r="C920">
        <v>40.642020000000002</v>
      </c>
      <c r="D920" s="109">
        <f t="shared" si="42"/>
        <v>-3.3310364495711106E-2</v>
      </c>
      <c r="E920">
        <v>1151.06006</v>
      </c>
      <c r="F920" s="111">
        <f t="shared" si="43"/>
        <v>-2.0691129677210846E-2</v>
      </c>
    </row>
    <row r="921" spans="2:6">
      <c r="B921" s="107">
        <v>40813</v>
      </c>
      <c r="C921">
        <v>42.042470000000002</v>
      </c>
      <c r="D921" s="109">
        <f t="shared" si="42"/>
        <v>8.3974617891623502E-3</v>
      </c>
      <c r="E921">
        <v>1175.3800000000001</v>
      </c>
      <c r="F921" s="111">
        <f t="shared" si="43"/>
        <v>1.0688379151656669E-2</v>
      </c>
    </row>
    <row r="922" spans="2:6">
      <c r="B922" s="107">
        <v>40812</v>
      </c>
      <c r="C922">
        <v>41.692360000000001</v>
      </c>
      <c r="D922" s="109">
        <f t="shared" si="42"/>
        <v>1.5876898965808673E-2</v>
      </c>
      <c r="E922">
        <v>1162.9499499999999</v>
      </c>
      <c r="F922" s="111">
        <f t="shared" si="43"/>
        <v>2.3336148142157988E-2</v>
      </c>
    </row>
    <row r="923" spans="2:6">
      <c r="B923" s="107">
        <v>40809</v>
      </c>
      <c r="C923">
        <v>41.040759999999999</v>
      </c>
      <c r="D923" s="109">
        <f t="shared" si="42"/>
        <v>1.8831652110188727E-2</v>
      </c>
      <c r="E923">
        <v>1136.4300499999999</v>
      </c>
      <c r="F923" s="111">
        <f t="shared" si="43"/>
        <v>6.0820050595626722E-3</v>
      </c>
    </row>
    <row r="924" spans="2:6">
      <c r="B924" s="107">
        <v>40808</v>
      </c>
      <c r="C924">
        <v>40.282179999999997</v>
      </c>
      <c r="D924" s="109">
        <f t="shared" si="42"/>
        <v>-2.9294770692939585E-2</v>
      </c>
      <c r="E924">
        <v>1129.56006</v>
      </c>
      <c r="F924" s="111">
        <f t="shared" si="43"/>
        <v>-3.1883120505647039E-2</v>
      </c>
    </row>
    <row r="925" spans="2:6">
      <c r="B925" s="107">
        <v>40807</v>
      </c>
      <c r="C925">
        <v>41.49785</v>
      </c>
      <c r="D925" s="109">
        <f t="shared" si="42"/>
        <v>4.6891876253662339E-4</v>
      </c>
      <c r="E925">
        <v>1166.76001</v>
      </c>
      <c r="F925" s="111">
        <f t="shared" si="43"/>
        <v>-2.9390445708485553E-2</v>
      </c>
    </row>
    <row r="926" spans="2:6">
      <c r="B926" s="107">
        <v>40806</v>
      </c>
      <c r="C926">
        <v>41.478400000000001</v>
      </c>
      <c r="D926" s="109">
        <f t="shared" si="42"/>
        <v>-2.3356984326488205E-2</v>
      </c>
      <c r="E926">
        <v>1202.08997</v>
      </c>
      <c r="F926" s="111">
        <f t="shared" si="43"/>
        <v>-1.6610054479566838E-3</v>
      </c>
    </row>
    <row r="927" spans="2:6">
      <c r="B927" s="107">
        <v>40805</v>
      </c>
      <c r="C927">
        <v>42.470379999999999</v>
      </c>
      <c r="D927" s="109">
        <f t="shared" si="42"/>
        <v>2.0804074911494625E-2</v>
      </c>
      <c r="E927">
        <v>1204.08997</v>
      </c>
      <c r="F927" s="111">
        <f t="shared" si="43"/>
        <v>-9.8025837797173828E-3</v>
      </c>
    </row>
    <row r="928" spans="2:6">
      <c r="B928" s="107">
        <v>40802</v>
      </c>
      <c r="C928">
        <v>41.60483</v>
      </c>
      <c r="D928" s="109">
        <f t="shared" si="42"/>
        <v>-6.9638125680396316E-3</v>
      </c>
      <c r="E928">
        <v>1216.01001</v>
      </c>
      <c r="F928" s="111">
        <f t="shared" si="43"/>
        <v>5.7066934001596004E-3</v>
      </c>
    </row>
    <row r="929" spans="2:6">
      <c r="B929" s="107">
        <v>40801</v>
      </c>
      <c r="C929">
        <v>41.896590000000003</v>
      </c>
      <c r="D929" s="109">
        <f t="shared" si="42"/>
        <v>9.8454690161906885E-3</v>
      </c>
      <c r="E929">
        <v>1209.1099899999999</v>
      </c>
      <c r="F929" s="111">
        <f t="shared" si="43"/>
        <v>1.7187080745571518E-2</v>
      </c>
    </row>
    <row r="930" spans="2:6">
      <c r="B930" s="107">
        <v>40800</v>
      </c>
      <c r="C930">
        <v>41.488120000000002</v>
      </c>
      <c r="D930" s="109">
        <f t="shared" si="42"/>
        <v>4.1758087236441414E-2</v>
      </c>
      <c r="E930">
        <v>1188.6800499999999</v>
      </c>
      <c r="F930" s="111">
        <f t="shared" si="43"/>
        <v>1.3479797420003962E-2</v>
      </c>
    </row>
    <row r="931" spans="2:6">
      <c r="B931" s="107">
        <v>40799</v>
      </c>
      <c r="C931">
        <v>39.825099999999999</v>
      </c>
      <c r="D931" s="109">
        <f t="shared" si="42"/>
        <v>2.3238306657262842E-2</v>
      </c>
      <c r="E931">
        <v>1172.8699999999999</v>
      </c>
      <c r="F931" s="111">
        <f t="shared" si="43"/>
        <v>9.1200666089623142E-3</v>
      </c>
    </row>
    <row r="932" spans="2:6">
      <c r="B932" s="107">
        <v>40798</v>
      </c>
      <c r="C932">
        <v>38.920650000000002</v>
      </c>
      <c r="D932" s="109">
        <f t="shared" si="42"/>
        <v>3.3307686916185623E-2</v>
      </c>
      <c r="E932">
        <v>1162.2700199999999</v>
      </c>
      <c r="F932" s="111">
        <f t="shared" si="43"/>
        <v>6.9657175253755423E-3</v>
      </c>
    </row>
    <row r="933" spans="2:6">
      <c r="B933" s="107">
        <v>40795</v>
      </c>
      <c r="C933">
        <v>37.666080000000001</v>
      </c>
      <c r="D933" s="109">
        <f t="shared" si="42"/>
        <v>5.4516795086201721E-3</v>
      </c>
      <c r="E933">
        <v>1154.2299800000001</v>
      </c>
      <c r="F933" s="111">
        <f t="shared" si="43"/>
        <v>-2.6705489051260807E-2</v>
      </c>
    </row>
    <row r="934" spans="2:6">
      <c r="B934" s="107">
        <v>40794</v>
      </c>
      <c r="C934">
        <v>37.461849999999998</v>
      </c>
      <c r="D934" s="109">
        <f t="shared" si="42"/>
        <v>2.3651298082046517E-2</v>
      </c>
      <c r="E934">
        <v>1185.90002</v>
      </c>
      <c r="F934" s="111">
        <f t="shared" si="43"/>
        <v>-1.0612187348784311E-2</v>
      </c>
    </row>
    <row r="935" spans="2:6">
      <c r="B935" s="107">
        <v>40793</v>
      </c>
      <c r="C935">
        <v>36.596299999999999</v>
      </c>
      <c r="D935" s="109">
        <f t="shared" si="42"/>
        <v>5.7913923930611247E-2</v>
      </c>
      <c r="E935">
        <v>1198.6199999999999</v>
      </c>
      <c r="F935" s="111">
        <f t="shared" si="43"/>
        <v>2.8646467926319502E-2</v>
      </c>
    </row>
    <row r="936" spans="2:6">
      <c r="B936" s="107">
        <v>40792</v>
      </c>
      <c r="C936">
        <v>34.592889999999997</v>
      </c>
      <c r="D936" s="109">
        <f t="shared" si="42"/>
        <v>1.8031093999180015E-2</v>
      </c>
      <c r="E936">
        <v>1165.23999</v>
      </c>
      <c r="F936" s="111">
        <f t="shared" si="43"/>
        <v>-7.4362890219415645E-3</v>
      </c>
    </row>
    <row r="937" spans="2:6">
      <c r="B937" s="107">
        <v>40788</v>
      </c>
      <c r="C937">
        <v>33.98019</v>
      </c>
      <c r="D937" s="109">
        <f t="shared" si="42"/>
        <v>-3.6669571572669216E-2</v>
      </c>
      <c r="E937">
        <v>1173.9699700000001</v>
      </c>
      <c r="F937" s="111">
        <f t="shared" si="43"/>
        <v>-2.5281935694128659E-2</v>
      </c>
    </row>
    <row r="938" spans="2:6">
      <c r="B938" s="107">
        <v>40787</v>
      </c>
      <c r="C938">
        <v>35.27366</v>
      </c>
      <c r="D938" s="109">
        <f t="shared" si="42"/>
        <v>-1.0368311280518424E-2</v>
      </c>
      <c r="E938">
        <v>1204.42004</v>
      </c>
      <c r="F938" s="111">
        <f t="shared" si="43"/>
        <v>-1.1871432107315493E-2</v>
      </c>
    </row>
    <row r="939" spans="2:6">
      <c r="B939" s="107">
        <v>40786</v>
      </c>
      <c r="C939">
        <v>35.643219999999999</v>
      </c>
      <c r="D939" s="109">
        <f t="shared" si="42"/>
        <v>-1.186294967748438E-2</v>
      </c>
      <c r="E939">
        <v>1218.8900100000001</v>
      </c>
      <c r="F939" s="111">
        <f t="shared" si="43"/>
        <v>4.9219815017650321E-3</v>
      </c>
    </row>
    <row r="940" spans="2:6">
      <c r="B940" s="107">
        <v>40785</v>
      </c>
      <c r="C940">
        <v>36.071129999999997</v>
      </c>
      <c r="D940" s="109">
        <f t="shared" si="42"/>
        <v>-8.0235646836652307E-3</v>
      </c>
      <c r="E940">
        <v>1212.92004</v>
      </c>
      <c r="F940" s="111">
        <f t="shared" si="43"/>
        <v>2.3470184565323629E-3</v>
      </c>
    </row>
    <row r="941" spans="2:6">
      <c r="B941" s="107">
        <v>40784</v>
      </c>
      <c r="C941">
        <v>36.36289</v>
      </c>
      <c r="D941" s="109">
        <f t="shared" si="42"/>
        <v>7.4425216374877243E-2</v>
      </c>
      <c r="E941">
        <v>1210.07996</v>
      </c>
      <c r="F941" s="111">
        <f t="shared" si="43"/>
        <v>2.8280003897008646E-2</v>
      </c>
    </row>
    <row r="942" spans="2:6">
      <c r="B942" s="107">
        <v>40781</v>
      </c>
      <c r="C942">
        <v>33.84404</v>
      </c>
      <c r="D942" s="109">
        <f t="shared" si="42"/>
        <v>2.6851510238162214E-2</v>
      </c>
      <c r="E942">
        <v>1176.8000500000001</v>
      </c>
      <c r="F942" s="111">
        <f t="shared" si="43"/>
        <v>1.5121610752946173E-2</v>
      </c>
    </row>
    <row r="943" spans="2:6">
      <c r="B943" s="107">
        <v>40780</v>
      </c>
      <c r="C943">
        <v>32.959040000000002</v>
      </c>
      <c r="D943" s="109">
        <f t="shared" si="42"/>
        <v>-2.9495823707021682E-2</v>
      </c>
      <c r="E943">
        <v>1159.2700199999999</v>
      </c>
      <c r="F943" s="111">
        <f t="shared" si="43"/>
        <v>-1.5565523362186223E-2</v>
      </c>
    </row>
    <row r="944" spans="2:6">
      <c r="B944" s="107">
        <v>40779</v>
      </c>
      <c r="C944">
        <v>33.960740000000001</v>
      </c>
      <c r="D944" s="109">
        <f t="shared" si="42"/>
        <v>1.659382633267887E-2</v>
      </c>
      <c r="E944">
        <v>1177.59998</v>
      </c>
      <c r="F944" s="111">
        <f t="shared" si="43"/>
        <v>1.3119972695315054E-2</v>
      </c>
    </row>
    <row r="945" spans="2:6">
      <c r="B945" s="107">
        <v>40778</v>
      </c>
      <c r="C945">
        <v>33.406399999999998</v>
      </c>
      <c r="D945" s="109">
        <f t="shared" si="42"/>
        <v>6.1167778826389012E-2</v>
      </c>
      <c r="E945">
        <v>1162.34998</v>
      </c>
      <c r="F945" s="111">
        <f t="shared" si="43"/>
        <v>3.4284878107031194E-2</v>
      </c>
    </row>
    <row r="946" spans="2:6">
      <c r="B946" s="107">
        <v>40777</v>
      </c>
      <c r="C946">
        <v>31.480789999999999</v>
      </c>
      <c r="D946" s="109">
        <f t="shared" si="42"/>
        <v>-4.0000354349418489E-3</v>
      </c>
      <c r="E946">
        <v>1123.8199500000001</v>
      </c>
      <c r="F946" s="111">
        <f t="shared" si="43"/>
        <v>2.5804383706607792E-4</v>
      </c>
    </row>
    <row r="947" spans="2:6">
      <c r="B947" s="107">
        <v>40774</v>
      </c>
      <c r="C947">
        <v>31.607220000000002</v>
      </c>
      <c r="D947" s="109">
        <f t="shared" si="42"/>
        <v>-3.3888109451367568E-2</v>
      </c>
      <c r="E947">
        <v>1123.5300299999999</v>
      </c>
      <c r="F947" s="111">
        <f t="shared" si="43"/>
        <v>-1.5008977074317802E-2</v>
      </c>
    </row>
    <row r="948" spans="2:6">
      <c r="B948" s="107">
        <v>40773</v>
      </c>
      <c r="C948">
        <v>32.715899999999998</v>
      </c>
      <c r="D948" s="109">
        <f t="shared" si="42"/>
        <v>-7.2255985081640189E-2</v>
      </c>
      <c r="E948">
        <v>1140.65002</v>
      </c>
      <c r="F948" s="111">
        <f t="shared" si="43"/>
        <v>-4.4593714290313925E-2</v>
      </c>
    </row>
    <row r="949" spans="2:6">
      <c r="B949" s="107">
        <v>40772</v>
      </c>
      <c r="C949">
        <v>35.263930000000002</v>
      </c>
      <c r="D949" s="109">
        <f t="shared" si="42"/>
        <v>-2.0794007016397994E-2</v>
      </c>
      <c r="E949">
        <v>1193.8900100000001</v>
      </c>
      <c r="F949" s="111">
        <f t="shared" si="43"/>
        <v>9.4738253339002299E-4</v>
      </c>
    </row>
    <row r="950" spans="2:6">
      <c r="B950" s="107">
        <v>40771</v>
      </c>
      <c r="C950">
        <v>36.012779999999999</v>
      </c>
      <c r="D950" s="109">
        <f t="shared" si="42"/>
        <v>-3.0628274506172795E-2</v>
      </c>
      <c r="E950">
        <v>1192.76001</v>
      </c>
      <c r="F950" s="111">
        <f t="shared" si="43"/>
        <v>-9.7385450251853637E-3</v>
      </c>
    </row>
    <row r="951" spans="2:6">
      <c r="B951" s="107">
        <v>40770</v>
      </c>
      <c r="C951">
        <v>37.150640000000003</v>
      </c>
      <c r="D951" s="109">
        <f t="shared" si="42"/>
        <v>2.8879435779293966E-3</v>
      </c>
      <c r="E951">
        <v>1204.48999</v>
      </c>
      <c r="F951" s="111">
        <f t="shared" si="43"/>
        <v>2.1784620670780509E-2</v>
      </c>
    </row>
    <row r="952" spans="2:6">
      <c r="B952" s="107">
        <v>40767</v>
      </c>
      <c r="C952">
        <v>37.043660000000003</v>
      </c>
      <c r="D952" s="109">
        <f t="shared" si="42"/>
        <v>-5.4829951441543526E-3</v>
      </c>
      <c r="E952">
        <v>1178.81006</v>
      </c>
      <c r="F952" s="111">
        <f t="shared" si="43"/>
        <v>5.2616744673413844E-3</v>
      </c>
    </row>
    <row r="953" spans="2:6">
      <c r="B953" s="107">
        <v>40766</v>
      </c>
      <c r="C953">
        <v>37.247889999999998</v>
      </c>
      <c r="D953" s="109">
        <f t="shared" si="42"/>
        <v>4.9027714488329793E-2</v>
      </c>
      <c r="E953">
        <v>1172.6400100000001</v>
      </c>
      <c r="F953" s="111">
        <f t="shared" si="43"/>
        <v>4.6290017075109692E-2</v>
      </c>
    </row>
    <row r="954" spans="2:6">
      <c r="B954" s="107">
        <v>40765</v>
      </c>
      <c r="C954">
        <v>35.507060000000003</v>
      </c>
      <c r="D954" s="109">
        <f t="shared" si="42"/>
        <v>-3.7437588206048249E-2</v>
      </c>
      <c r="E954">
        <v>1120.76001</v>
      </c>
      <c r="F954" s="111">
        <f t="shared" si="43"/>
        <v>-4.4152404352492305E-2</v>
      </c>
    </row>
    <row r="955" spans="2:6">
      <c r="B955" s="107">
        <v>40764</v>
      </c>
      <c r="C955">
        <v>36.888060000000003</v>
      </c>
      <c r="D955" s="109">
        <f t="shared" si="42"/>
        <v>5.1857985715764589E-2</v>
      </c>
      <c r="E955">
        <v>1172.5300299999999</v>
      </c>
      <c r="F955" s="111">
        <f t="shared" si="43"/>
        <v>4.7406849638463165E-2</v>
      </c>
    </row>
    <row r="956" spans="2:6">
      <c r="B956" s="107">
        <v>40763</v>
      </c>
      <c r="C956">
        <v>35.069429999999997</v>
      </c>
      <c r="D956" s="109">
        <f t="shared" si="42"/>
        <v>-8.2909517498485935E-2</v>
      </c>
      <c r="E956">
        <v>1119.4599599999999</v>
      </c>
      <c r="F956" s="111">
        <f t="shared" si="43"/>
        <v>-6.6634461138254927E-2</v>
      </c>
    </row>
    <row r="957" spans="2:6">
      <c r="B957" s="107">
        <v>40760</v>
      </c>
      <c r="C957">
        <v>38.239879999999999</v>
      </c>
      <c r="D957" s="109">
        <f t="shared" si="42"/>
        <v>-7.8222460234926329E-3</v>
      </c>
      <c r="E957">
        <v>1199.3800000000001</v>
      </c>
      <c r="F957" s="111">
        <f t="shared" si="43"/>
        <v>-5.7492482000732819E-4</v>
      </c>
    </row>
    <row r="958" spans="2:6">
      <c r="B958" s="107">
        <v>40759</v>
      </c>
      <c r="C958">
        <v>38.541359999999997</v>
      </c>
      <c r="D958" s="109">
        <f t="shared" si="42"/>
        <v>-6.8406160581386932E-2</v>
      </c>
      <c r="E958">
        <v>1200.0699500000001</v>
      </c>
      <c r="F958" s="111">
        <f t="shared" si="43"/>
        <v>-4.7820446414946226E-2</v>
      </c>
    </row>
    <row r="959" spans="2:6">
      <c r="B959" s="107">
        <v>40758</v>
      </c>
      <c r="C959">
        <v>41.371420000000001</v>
      </c>
      <c r="D959" s="109">
        <f t="shared" si="42"/>
        <v>4.5979815836000415E-2</v>
      </c>
      <c r="E959">
        <v>1260.33997</v>
      </c>
      <c r="F959" s="111">
        <f t="shared" si="43"/>
        <v>5.0156849800372305E-3</v>
      </c>
    </row>
    <row r="960" spans="2:6">
      <c r="B960" s="107">
        <v>40757</v>
      </c>
      <c r="C960">
        <v>39.552790000000002</v>
      </c>
      <c r="D960" s="109">
        <f t="shared" si="42"/>
        <v>-3.4196317556315428E-2</v>
      </c>
      <c r="E960">
        <v>1254.0500500000001</v>
      </c>
      <c r="F960" s="111">
        <f t="shared" si="43"/>
        <v>-2.5556662729730745E-2</v>
      </c>
    </row>
    <row r="961" spans="2:6">
      <c r="B961" s="107">
        <v>40756</v>
      </c>
      <c r="C961">
        <v>40.953240000000001</v>
      </c>
      <c r="D961" s="109">
        <f t="shared" si="42"/>
        <v>-9.8750800559648782E-3</v>
      </c>
      <c r="E961">
        <v>1286.93994</v>
      </c>
      <c r="F961" s="111">
        <f t="shared" si="43"/>
        <v>-4.1323009533776661E-3</v>
      </c>
    </row>
    <row r="962" spans="2:6">
      <c r="B962" s="107">
        <v>40753</v>
      </c>
      <c r="C962">
        <v>41.361690000000003</v>
      </c>
      <c r="D962" s="109">
        <f t="shared" si="42"/>
        <v>6.3889461353299325E-3</v>
      </c>
      <c r="E962">
        <v>1292.2800299999999</v>
      </c>
      <c r="F962" s="111">
        <f t="shared" si="43"/>
        <v>-6.4505291441940759E-3</v>
      </c>
    </row>
    <row r="963" spans="2:6">
      <c r="B963" s="107">
        <v>40752</v>
      </c>
      <c r="C963">
        <v>41.099110000000003</v>
      </c>
      <c r="D963" s="109">
        <f t="shared" si="42"/>
        <v>6.1902852305205482E-3</v>
      </c>
      <c r="E963">
        <v>1300.67004</v>
      </c>
      <c r="F963" s="111">
        <f t="shared" si="43"/>
        <v>-3.233966056648792E-3</v>
      </c>
    </row>
    <row r="964" spans="2:6">
      <c r="B964" s="107">
        <v>40751</v>
      </c>
      <c r="C964">
        <v>40.846260000000001</v>
      </c>
      <c r="D964" s="109">
        <f t="shared" si="42"/>
        <v>-4.2189270412029981E-2</v>
      </c>
      <c r="E964">
        <v>1304.8900100000001</v>
      </c>
      <c r="F964" s="111">
        <f t="shared" si="43"/>
        <v>-2.0308670975059059E-2</v>
      </c>
    </row>
    <row r="965" spans="2:6">
      <c r="B965" s="107">
        <v>40750</v>
      </c>
      <c r="C965">
        <v>42.645440000000001</v>
      </c>
      <c r="D965" s="109">
        <f t="shared" si="42"/>
        <v>-6.8354461821679407E-4</v>
      </c>
      <c r="E965">
        <v>1331.93994</v>
      </c>
      <c r="F965" s="111">
        <f t="shared" si="43"/>
        <v>-4.1049698262723786E-3</v>
      </c>
    </row>
    <row r="966" spans="2:6">
      <c r="B966" s="107">
        <v>40749</v>
      </c>
      <c r="C966">
        <v>42.674610000000001</v>
      </c>
      <c r="D966" s="109">
        <f t="shared" si="42"/>
        <v>-3.7085900845679844E-2</v>
      </c>
      <c r="E966">
        <v>1337.4300499999999</v>
      </c>
      <c r="F966" s="111">
        <f t="shared" si="43"/>
        <v>-5.6430163768119929E-3</v>
      </c>
    </row>
    <row r="967" spans="2:6">
      <c r="B967" s="107">
        <v>40746</v>
      </c>
      <c r="C967">
        <v>44.318190000000001</v>
      </c>
      <c r="D967" s="109">
        <f t="shared" si="42"/>
        <v>9.6223242910185997E-2</v>
      </c>
      <c r="E967">
        <v>1345.0200199999999</v>
      </c>
      <c r="F967" s="111">
        <f t="shared" si="43"/>
        <v>9.0785083688594561E-4</v>
      </c>
    </row>
    <row r="968" spans="2:6">
      <c r="B968" s="107">
        <v>40745</v>
      </c>
      <c r="C968">
        <v>40.428069999999998</v>
      </c>
      <c r="D968" s="109">
        <f t="shared" si="42"/>
        <v>2.4115558303936511E-3</v>
      </c>
      <c r="E968">
        <v>1343.8000500000001</v>
      </c>
      <c r="F968" s="111">
        <f t="shared" si="43"/>
        <v>1.3546189891982259E-2</v>
      </c>
    </row>
    <row r="969" spans="2:6">
      <c r="B969" s="107">
        <v>40744</v>
      </c>
      <c r="C969">
        <v>40.33081</v>
      </c>
      <c r="D969" s="109">
        <f t="shared" ref="D969:D1032" si="44">(C969-C970)/C970</f>
        <v>-1.2148879621013794E-2</v>
      </c>
      <c r="E969">
        <v>1325.83997</v>
      </c>
      <c r="F969" s="111">
        <f t="shared" ref="F969:F1032" si="45">(E969-E970)/E970</f>
        <v>-6.7082979462036035E-4</v>
      </c>
    </row>
    <row r="970" spans="2:6">
      <c r="B970" s="107">
        <v>40743</v>
      </c>
      <c r="C970">
        <v>40.826810000000002</v>
      </c>
      <c r="D970" s="109">
        <f t="shared" si="44"/>
        <v>3.6543356692713989E-2</v>
      </c>
      <c r="E970">
        <v>1326.7299800000001</v>
      </c>
      <c r="F970" s="111">
        <f t="shared" si="45"/>
        <v>1.6308708924594486E-2</v>
      </c>
    </row>
    <row r="971" spans="2:6">
      <c r="B971" s="107">
        <v>40742</v>
      </c>
      <c r="C971">
        <v>39.387459999999997</v>
      </c>
      <c r="D971" s="109">
        <f t="shared" si="44"/>
        <v>-2.6910056133542557E-2</v>
      </c>
      <c r="E971">
        <v>1305.43994</v>
      </c>
      <c r="F971" s="111">
        <f t="shared" si="45"/>
        <v>-8.1298873362265576E-3</v>
      </c>
    </row>
    <row r="972" spans="2:6">
      <c r="B972" s="107">
        <v>40739</v>
      </c>
      <c r="C972">
        <v>40.476689999999998</v>
      </c>
      <c r="D972" s="109">
        <f t="shared" si="44"/>
        <v>1.1175805340733811E-2</v>
      </c>
      <c r="E972">
        <v>1316.1400100000001</v>
      </c>
      <c r="F972" s="111">
        <f t="shared" si="45"/>
        <v>5.5544171690085223E-3</v>
      </c>
    </row>
    <row r="973" spans="2:6">
      <c r="B973" s="107">
        <v>40738</v>
      </c>
      <c r="C973">
        <v>40.029330000000002</v>
      </c>
      <c r="D973" s="109">
        <f t="shared" si="44"/>
        <v>-1.719194049529154E-2</v>
      </c>
      <c r="E973">
        <v>1308.8699999999999</v>
      </c>
      <c r="F973" s="111">
        <f t="shared" si="45"/>
        <v>-6.7161234567919706E-3</v>
      </c>
    </row>
    <row r="974" spans="2:6">
      <c r="B974" s="107">
        <v>40737</v>
      </c>
      <c r="C974">
        <v>40.729550000000003</v>
      </c>
      <c r="D974" s="109">
        <f t="shared" si="44"/>
        <v>1.6998520304488739E-2</v>
      </c>
      <c r="E974">
        <v>1317.7199700000001</v>
      </c>
      <c r="F974" s="111">
        <f t="shared" si="45"/>
        <v>3.1058432819810566E-3</v>
      </c>
    </row>
    <row r="975" spans="2:6">
      <c r="B975" s="107">
        <v>40736</v>
      </c>
      <c r="C975">
        <v>40.048780000000001</v>
      </c>
      <c r="D975" s="109">
        <f t="shared" si="44"/>
        <v>-1.4124906425172076E-2</v>
      </c>
      <c r="E975">
        <v>1313.6400100000001</v>
      </c>
      <c r="F975" s="111">
        <f t="shared" si="45"/>
        <v>-4.4335160132590009E-3</v>
      </c>
    </row>
    <row r="976" spans="2:6">
      <c r="B976" s="107">
        <v>40735</v>
      </c>
      <c r="C976">
        <v>40.622570000000003</v>
      </c>
      <c r="D976" s="109">
        <f t="shared" si="44"/>
        <v>-2.9507600634435274E-2</v>
      </c>
      <c r="E976">
        <v>1319.48999</v>
      </c>
      <c r="F976" s="111">
        <f t="shared" si="45"/>
        <v>-1.8090533632589178E-2</v>
      </c>
    </row>
    <row r="977" spans="2:6">
      <c r="B977" s="107">
        <v>40732</v>
      </c>
      <c r="C977">
        <v>41.857689999999998</v>
      </c>
      <c r="D977" s="109">
        <f t="shared" si="44"/>
        <v>-1.329648116826875E-2</v>
      </c>
      <c r="E977">
        <v>1343.8000500000001</v>
      </c>
      <c r="F977" s="111">
        <f t="shared" si="45"/>
        <v>-6.9611151245425728E-3</v>
      </c>
    </row>
    <row r="978" spans="2:6">
      <c r="B978" s="107">
        <v>40731</v>
      </c>
      <c r="C978">
        <v>42.421750000000003</v>
      </c>
      <c r="D978" s="109">
        <f t="shared" si="44"/>
        <v>1.4182671101600356E-2</v>
      </c>
      <c r="E978">
        <v>1353.2199700000001</v>
      </c>
      <c r="F978" s="111">
        <f t="shared" si="45"/>
        <v>1.0453846502901237E-2</v>
      </c>
    </row>
    <row r="979" spans="2:6">
      <c r="B979" s="107">
        <v>40730</v>
      </c>
      <c r="C979">
        <v>41.828510000000001</v>
      </c>
      <c r="D979" s="109">
        <f t="shared" si="44"/>
        <v>-1.0126508587334116E-2</v>
      </c>
      <c r="E979">
        <v>1339.2199700000001</v>
      </c>
      <c r="F979" s="111">
        <f t="shared" si="45"/>
        <v>1.0015621729900991E-3</v>
      </c>
    </row>
    <row r="980" spans="2:6">
      <c r="B980" s="107">
        <v>40729</v>
      </c>
      <c r="C980">
        <v>42.256419999999999</v>
      </c>
      <c r="D980" s="109">
        <f t="shared" si="44"/>
        <v>1.5186809237300914E-2</v>
      </c>
      <c r="E980">
        <v>1337.88</v>
      </c>
      <c r="F980" s="111">
        <f t="shared" si="45"/>
        <v>-1.3361797655785917E-3</v>
      </c>
    </row>
    <row r="981" spans="2:6">
      <c r="B981" s="107">
        <v>40725</v>
      </c>
      <c r="C981">
        <v>41.624279999999999</v>
      </c>
      <c r="D981" s="109">
        <f t="shared" si="44"/>
        <v>3.1325329862569223E-2</v>
      </c>
      <c r="E981">
        <v>1339.67004</v>
      </c>
      <c r="F981" s="111">
        <f t="shared" si="45"/>
        <v>1.4409702762223519E-2</v>
      </c>
    </row>
    <row r="982" spans="2:6">
      <c r="B982" s="107">
        <v>40724</v>
      </c>
      <c r="C982">
        <v>40.359990000000003</v>
      </c>
      <c r="D982" s="109">
        <f t="shared" si="44"/>
        <v>2.4944295939787312E-2</v>
      </c>
      <c r="E982">
        <v>1320.6400100000001</v>
      </c>
      <c r="F982" s="111">
        <f t="shared" si="45"/>
        <v>1.0119227859985187E-2</v>
      </c>
    </row>
    <row r="983" spans="2:6">
      <c r="B983" s="107">
        <v>40723</v>
      </c>
      <c r="C983">
        <v>39.377740000000003</v>
      </c>
      <c r="D983" s="109">
        <f t="shared" si="44"/>
        <v>-6.8675844967620268E-3</v>
      </c>
      <c r="E983">
        <v>1307.41003</v>
      </c>
      <c r="F983" s="111">
        <f t="shared" si="45"/>
        <v>8.2827470896142813E-3</v>
      </c>
    </row>
    <row r="984" spans="2:6">
      <c r="B984" s="107">
        <v>40722</v>
      </c>
      <c r="C984">
        <v>39.650039999999997</v>
      </c>
      <c r="D984" s="109">
        <f t="shared" si="44"/>
        <v>1.0158387070393333E-2</v>
      </c>
      <c r="E984">
        <v>1296.67004</v>
      </c>
      <c r="F984" s="111">
        <f t="shared" si="45"/>
        <v>1.2944348300044511E-2</v>
      </c>
    </row>
    <row r="985" spans="2:6">
      <c r="B985" s="107">
        <v>40721</v>
      </c>
      <c r="C985">
        <v>39.251309999999997</v>
      </c>
      <c r="D985" s="109">
        <f t="shared" si="44"/>
        <v>3.6466561799995641E-2</v>
      </c>
      <c r="E985">
        <v>1280.09998</v>
      </c>
      <c r="F985" s="111">
        <f t="shared" si="45"/>
        <v>9.1844617125019529E-3</v>
      </c>
    </row>
    <row r="986" spans="2:6">
      <c r="B986" s="107">
        <v>40718</v>
      </c>
      <c r="C986">
        <v>37.870310000000003</v>
      </c>
      <c r="D986" s="109">
        <f t="shared" si="44"/>
        <v>-9.1884385622971285E-2</v>
      </c>
      <c r="E986">
        <v>1268.4499499999999</v>
      </c>
      <c r="F986" s="111">
        <f t="shared" si="45"/>
        <v>-1.1725788858589837E-2</v>
      </c>
    </row>
    <row r="987" spans="2:6">
      <c r="B987" s="107">
        <v>40717</v>
      </c>
      <c r="C987">
        <v>41.702080000000002</v>
      </c>
      <c r="D987" s="109">
        <f t="shared" si="44"/>
        <v>7.9924740315899662E-3</v>
      </c>
      <c r="E987">
        <v>1283.5</v>
      </c>
      <c r="F987" s="111">
        <f t="shared" si="45"/>
        <v>-2.8279829480244924E-3</v>
      </c>
    </row>
    <row r="988" spans="2:6">
      <c r="B988" s="107">
        <v>40716</v>
      </c>
      <c r="C988">
        <v>41.371420000000001</v>
      </c>
      <c r="D988" s="109">
        <f t="shared" si="44"/>
        <v>-7.4661795572880749E-3</v>
      </c>
      <c r="E988">
        <v>1287.1400100000001</v>
      </c>
      <c r="F988" s="111">
        <f t="shared" si="45"/>
        <v>-6.4684527221739556E-3</v>
      </c>
    </row>
    <row r="989" spans="2:6">
      <c r="B989" s="107">
        <v>40715</v>
      </c>
      <c r="C989">
        <v>41.682630000000003</v>
      </c>
      <c r="D989" s="109">
        <f t="shared" si="44"/>
        <v>2.5604288369524962E-2</v>
      </c>
      <c r="E989">
        <v>1295.5200199999999</v>
      </c>
      <c r="F989" s="111">
        <f t="shared" si="45"/>
        <v>1.3423472366340257E-2</v>
      </c>
    </row>
    <row r="990" spans="2:6">
      <c r="B990" s="107">
        <v>40714</v>
      </c>
      <c r="C990">
        <v>40.642020000000002</v>
      </c>
      <c r="D990" s="109">
        <f t="shared" si="44"/>
        <v>2.076208258268103E-2</v>
      </c>
      <c r="E990">
        <v>1278.3599899999999</v>
      </c>
      <c r="F990" s="111">
        <f t="shared" si="45"/>
        <v>5.3951946519857847E-3</v>
      </c>
    </row>
    <row r="991" spans="2:6">
      <c r="B991" s="107">
        <v>40711</v>
      </c>
      <c r="C991">
        <v>39.815370000000001</v>
      </c>
      <c r="D991" s="109">
        <f t="shared" si="44"/>
        <v>-3.0776544888638211E-2</v>
      </c>
      <c r="E991">
        <v>1271.5</v>
      </c>
      <c r="F991" s="111">
        <f t="shared" si="45"/>
        <v>3.04502064430731E-3</v>
      </c>
    </row>
    <row r="992" spans="2:6">
      <c r="B992" s="107">
        <v>40710</v>
      </c>
      <c r="C992">
        <v>41.079659999999997</v>
      </c>
      <c r="D992" s="109">
        <f t="shared" si="44"/>
        <v>1.4224314143063018E-3</v>
      </c>
      <c r="E992">
        <v>1267.6400100000001</v>
      </c>
      <c r="F992" s="111">
        <f t="shared" si="45"/>
        <v>1.7543344737926728E-3</v>
      </c>
    </row>
    <row r="993" spans="2:6">
      <c r="B993" s="107">
        <v>40709</v>
      </c>
      <c r="C993">
        <v>41.02131</v>
      </c>
      <c r="D993" s="109">
        <f t="shared" si="44"/>
        <v>-2.3611100201864653E-2</v>
      </c>
      <c r="E993">
        <v>1265.42004</v>
      </c>
      <c r="F993" s="111">
        <f t="shared" si="45"/>
        <v>-1.7431852593817639E-2</v>
      </c>
    </row>
    <row r="994" spans="2:6">
      <c r="B994" s="107">
        <v>40708</v>
      </c>
      <c r="C994">
        <v>42.013289999999998</v>
      </c>
      <c r="D994" s="109">
        <f t="shared" si="44"/>
        <v>1.7667908716935306E-2</v>
      </c>
      <c r="E994">
        <v>1287.8699999999999</v>
      </c>
      <c r="F994" s="111">
        <f t="shared" si="45"/>
        <v>1.2611780272891088E-2</v>
      </c>
    </row>
    <row r="995" spans="2:6">
      <c r="B995" s="107">
        <v>40707</v>
      </c>
      <c r="C995">
        <v>41.28389</v>
      </c>
      <c r="D995" s="109">
        <f t="shared" si="44"/>
        <v>-1.8809676297076696E-3</v>
      </c>
      <c r="E995">
        <v>1271.82996</v>
      </c>
      <c r="F995" s="111">
        <f t="shared" si="45"/>
        <v>6.6875955040610437E-4</v>
      </c>
    </row>
    <row r="996" spans="2:6">
      <c r="B996" s="107">
        <v>40704</v>
      </c>
      <c r="C996">
        <v>41.361690000000003</v>
      </c>
      <c r="D996" s="109">
        <f t="shared" si="44"/>
        <v>0</v>
      </c>
      <c r="E996">
        <v>1270.9799800000001</v>
      </c>
      <c r="F996" s="111">
        <f t="shared" si="45"/>
        <v>-1.3979844840961932E-2</v>
      </c>
    </row>
    <row r="997" spans="2:6">
      <c r="B997" s="107">
        <v>40703</v>
      </c>
      <c r="C997">
        <v>41.361690000000003</v>
      </c>
      <c r="D997" s="109">
        <f t="shared" si="44"/>
        <v>-2.5797789029645773E-3</v>
      </c>
      <c r="E997">
        <v>1289</v>
      </c>
      <c r="F997" s="111">
        <f t="shared" si="45"/>
        <v>7.3774887909520857E-3</v>
      </c>
    </row>
    <row r="998" spans="2:6">
      <c r="B998" s="107">
        <v>40702</v>
      </c>
      <c r="C998">
        <v>41.468670000000003</v>
      </c>
      <c r="D998" s="109">
        <f t="shared" si="44"/>
        <v>-9.5238754917009796E-3</v>
      </c>
      <c r="E998">
        <v>1279.56006</v>
      </c>
      <c r="F998" s="111">
        <f t="shared" si="45"/>
        <v>-4.1868727343006848E-3</v>
      </c>
    </row>
    <row r="999" spans="2:6">
      <c r="B999" s="107">
        <v>40701</v>
      </c>
      <c r="C999">
        <v>41.86741</v>
      </c>
      <c r="D999" s="109">
        <f t="shared" si="44"/>
        <v>-4.394063662320642E-3</v>
      </c>
      <c r="E999">
        <v>1284.93994</v>
      </c>
      <c r="F999" s="111">
        <f t="shared" si="45"/>
        <v>-9.5640542210110343E-4</v>
      </c>
    </row>
    <row r="1000" spans="2:6">
      <c r="B1000" s="107">
        <v>40700</v>
      </c>
      <c r="C1000">
        <v>42.052190000000003</v>
      </c>
      <c r="D1000" s="109">
        <f t="shared" si="44"/>
        <v>-2.3045629640436743E-2</v>
      </c>
      <c r="E1000">
        <v>1286.17004</v>
      </c>
      <c r="F1000" s="111">
        <f t="shared" si="45"/>
        <v>-1.0760206187849071E-2</v>
      </c>
    </row>
    <row r="1001" spans="2:6">
      <c r="B1001" s="107">
        <v>40697</v>
      </c>
      <c r="C1001">
        <v>43.044170000000001</v>
      </c>
      <c r="D1001" s="109">
        <f t="shared" si="44"/>
        <v>-2.4680621778375988E-2</v>
      </c>
      <c r="E1001">
        <v>1300.16003</v>
      </c>
      <c r="F1001" s="111">
        <f t="shared" si="45"/>
        <v>-9.7338115862329339E-3</v>
      </c>
    </row>
    <row r="1002" spans="2:6">
      <c r="B1002" s="107">
        <v>40696</v>
      </c>
      <c r="C1002">
        <v>44.133409999999998</v>
      </c>
      <c r="D1002" s="109">
        <f t="shared" si="44"/>
        <v>5.9855275100851972E-3</v>
      </c>
      <c r="E1002">
        <v>1312.93994</v>
      </c>
      <c r="F1002" s="111">
        <f t="shared" si="45"/>
        <v>-1.2248373502401653E-3</v>
      </c>
    </row>
    <row r="1003" spans="2:6">
      <c r="B1003" s="107">
        <v>40695</v>
      </c>
      <c r="C1003">
        <v>43.870820000000002</v>
      </c>
      <c r="D1003" s="109">
        <f t="shared" si="44"/>
        <v>-5.0715552783945746E-2</v>
      </c>
      <c r="E1003">
        <v>1314.5500500000001</v>
      </c>
      <c r="F1003" s="111">
        <f t="shared" si="45"/>
        <v>-2.2784642535854903E-2</v>
      </c>
    </row>
    <row r="1004" spans="2:6">
      <c r="B1004" s="107">
        <v>40694</v>
      </c>
      <c r="C1004">
        <v>46.214619999999996</v>
      </c>
      <c r="D1004" s="109">
        <f t="shared" si="44"/>
        <v>3.2145862627771263E-2</v>
      </c>
      <c r="E1004">
        <v>1345.1999499999999</v>
      </c>
      <c r="F1004" s="111">
        <f t="shared" si="45"/>
        <v>1.0592720465670795E-2</v>
      </c>
    </row>
    <row r="1005" spans="2:6">
      <c r="B1005" s="107">
        <v>40690</v>
      </c>
      <c r="C1005">
        <v>44.775280000000002</v>
      </c>
      <c r="D1005" s="109">
        <f t="shared" si="44"/>
        <v>8.5433391619379271E-3</v>
      </c>
      <c r="E1005">
        <v>1331.09998</v>
      </c>
      <c r="F1005" s="111">
        <f t="shared" si="45"/>
        <v>4.0809240809355322E-3</v>
      </c>
    </row>
    <row r="1006" spans="2:6">
      <c r="B1006" s="107">
        <v>40689</v>
      </c>
      <c r="C1006">
        <v>44.395989999999998</v>
      </c>
      <c r="D1006" s="109">
        <f t="shared" si="44"/>
        <v>5.2852437516105093E-3</v>
      </c>
      <c r="E1006">
        <v>1325.68994</v>
      </c>
      <c r="F1006" s="111">
        <f t="shared" si="45"/>
        <v>3.9531152684978326E-3</v>
      </c>
    </row>
    <row r="1007" spans="2:6">
      <c r="B1007" s="107">
        <v>40688</v>
      </c>
      <c r="C1007">
        <v>44.162579999999998</v>
      </c>
      <c r="D1007" s="109">
        <f t="shared" si="44"/>
        <v>7.5438173824008111E-3</v>
      </c>
      <c r="E1007">
        <v>1320.4699700000001</v>
      </c>
      <c r="F1007" s="111">
        <f t="shared" si="45"/>
        <v>3.1831676425268006E-3</v>
      </c>
    </row>
    <row r="1008" spans="2:6">
      <c r="B1008" s="107">
        <v>40687</v>
      </c>
      <c r="C1008">
        <v>43.831919999999997</v>
      </c>
      <c r="D1008" s="109">
        <f t="shared" si="44"/>
        <v>-1.2056084266594878E-2</v>
      </c>
      <c r="E1008">
        <v>1316.2800299999999</v>
      </c>
      <c r="F1008" s="111">
        <f t="shared" si="45"/>
        <v>-8.2738334712343081E-4</v>
      </c>
    </row>
    <row r="1009" spans="2:6">
      <c r="B1009" s="107">
        <v>40686</v>
      </c>
      <c r="C1009">
        <v>44.366810000000001</v>
      </c>
      <c r="D1009" s="109">
        <f t="shared" si="44"/>
        <v>-1.8080176629911539E-2</v>
      </c>
      <c r="E1009">
        <v>1317.37</v>
      </c>
      <c r="F1009" s="111">
        <f t="shared" si="45"/>
        <v>-1.1925581286227407E-2</v>
      </c>
    </row>
    <row r="1010" spans="2:6">
      <c r="B1010" s="107">
        <v>40683</v>
      </c>
      <c r="C1010">
        <v>45.18374</v>
      </c>
      <c r="D1010" s="109">
        <f t="shared" si="44"/>
        <v>-4.3027936745170149E-4</v>
      </c>
      <c r="E1010">
        <v>1333.2700199999999</v>
      </c>
      <c r="F1010" s="111">
        <f t="shared" si="45"/>
        <v>-7.6882704329900541E-3</v>
      </c>
    </row>
    <row r="1011" spans="2:6">
      <c r="B1011" s="107">
        <v>40682</v>
      </c>
      <c r="C1011">
        <v>45.203189999999999</v>
      </c>
      <c r="D1011" s="109">
        <f t="shared" si="44"/>
        <v>6.4572513139190592E-4</v>
      </c>
      <c r="E1011">
        <v>1343.59998</v>
      </c>
      <c r="F1011" s="111">
        <f t="shared" si="45"/>
        <v>2.1779469307386368E-3</v>
      </c>
    </row>
    <row r="1012" spans="2:6">
      <c r="B1012" s="107">
        <v>40681</v>
      </c>
      <c r="C1012">
        <v>45.174019999999999</v>
      </c>
      <c r="D1012" s="109">
        <f t="shared" si="44"/>
        <v>2.3737969034576061E-3</v>
      </c>
      <c r="E1012">
        <v>1340.6800499999999</v>
      </c>
      <c r="F1012" s="111">
        <f t="shared" si="45"/>
        <v>8.8037970293577093E-3</v>
      </c>
    </row>
    <row r="1013" spans="2:6">
      <c r="B1013" s="107">
        <v>40680</v>
      </c>
      <c r="C1013">
        <v>45.067039999999999</v>
      </c>
      <c r="D1013" s="109">
        <f t="shared" si="44"/>
        <v>-3.3576574090216749E-2</v>
      </c>
      <c r="E1013">
        <v>1328.9799800000001</v>
      </c>
      <c r="F1013" s="111">
        <f t="shared" si="45"/>
        <v>-3.6856041208665607E-4</v>
      </c>
    </row>
    <row r="1014" spans="2:6">
      <c r="B1014" s="107">
        <v>40679</v>
      </c>
      <c r="C1014">
        <v>46.632809999999999</v>
      </c>
      <c r="D1014" s="109">
        <f t="shared" si="44"/>
        <v>3.1404518885309825E-2</v>
      </c>
      <c r="E1014">
        <v>1329.4699700000001</v>
      </c>
      <c r="F1014" s="111">
        <f t="shared" si="45"/>
        <v>-6.2043922915837419E-3</v>
      </c>
    </row>
    <row r="1015" spans="2:6">
      <c r="B1015" s="107">
        <v>40676</v>
      </c>
      <c r="C1015">
        <v>45.212919999999997</v>
      </c>
      <c r="D1015" s="109">
        <f t="shared" si="44"/>
        <v>-1.8577022076141033E-2</v>
      </c>
      <c r="E1015">
        <v>1337.7700199999999</v>
      </c>
      <c r="F1015" s="111">
        <f t="shared" si="45"/>
        <v>-8.0673264662096018E-3</v>
      </c>
    </row>
    <row r="1016" spans="2:6">
      <c r="B1016" s="107">
        <v>40675</v>
      </c>
      <c r="C1016">
        <v>46.068739999999998</v>
      </c>
      <c r="D1016" s="109">
        <f t="shared" si="44"/>
        <v>-1.8963837415805263E-3</v>
      </c>
      <c r="E1016">
        <v>1348.65002</v>
      </c>
      <c r="F1016" s="111">
        <f t="shared" si="45"/>
        <v>4.8954311187241126E-3</v>
      </c>
    </row>
    <row r="1017" spans="2:6">
      <c r="B1017" s="107">
        <v>40674</v>
      </c>
      <c r="C1017">
        <v>46.156269999999999</v>
      </c>
      <c r="D1017" s="109">
        <f t="shared" si="44"/>
        <v>-8.771875193950401E-3</v>
      </c>
      <c r="E1017">
        <v>1342.07996</v>
      </c>
      <c r="F1017" s="111">
        <f t="shared" si="45"/>
        <v>-1.1111489925031153E-2</v>
      </c>
    </row>
    <row r="1018" spans="2:6">
      <c r="B1018" s="107">
        <v>40673</v>
      </c>
      <c r="C1018">
        <v>46.564729999999997</v>
      </c>
      <c r="D1018" s="109">
        <f t="shared" si="44"/>
        <v>1.2476152911856017E-2</v>
      </c>
      <c r="E1018">
        <v>1357.16003</v>
      </c>
      <c r="F1018" s="111">
        <f t="shared" si="45"/>
        <v>8.0740328436210637E-3</v>
      </c>
    </row>
    <row r="1019" spans="2:6">
      <c r="B1019" s="107">
        <v>40672</v>
      </c>
      <c r="C1019">
        <v>45.990940000000002</v>
      </c>
      <c r="D1019" s="109">
        <f t="shared" si="44"/>
        <v>2.9691554579140077E-3</v>
      </c>
      <c r="E1019">
        <v>1346.2900400000001</v>
      </c>
      <c r="F1019" s="111">
        <f t="shared" si="45"/>
        <v>4.5441652195257476E-3</v>
      </c>
    </row>
    <row r="1020" spans="2:6">
      <c r="B1020" s="107">
        <v>40669</v>
      </c>
      <c r="C1020">
        <v>45.854790000000001</v>
      </c>
      <c r="D1020" s="109">
        <f t="shared" si="44"/>
        <v>-4.0135040357674153E-3</v>
      </c>
      <c r="E1020">
        <v>1340.1999499999999</v>
      </c>
      <c r="F1020" s="111">
        <f t="shared" si="45"/>
        <v>3.8199161683756333E-3</v>
      </c>
    </row>
    <row r="1021" spans="2:6">
      <c r="B1021" s="107">
        <v>40668</v>
      </c>
      <c r="C1021">
        <v>46.039569999999998</v>
      </c>
      <c r="D1021" s="109">
        <f t="shared" si="44"/>
        <v>2.3290652671665167E-3</v>
      </c>
      <c r="E1021">
        <v>1335.09998</v>
      </c>
      <c r="F1021" s="111">
        <f t="shared" si="45"/>
        <v>-9.0698352681559437E-3</v>
      </c>
    </row>
    <row r="1022" spans="2:6">
      <c r="B1022" s="107">
        <v>40667</v>
      </c>
      <c r="C1022">
        <v>45.932589999999998</v>
      </c>
      <c r="D1022" s="109">
        <f t="shared" si="44"/>
        <v>-4.2166111064020082E-3</v>
      </c>
      <c r="E1022">
        <v>1347.3199500000001</v>
      </c>
      <c r="F1022" s="111">
        <f t="shared" si="45"/>
        <v>-6.8553095192462367E-3</v>
      </c>
    </row>
    <row r="1023" spans="2:6">
      <c r="B1023" s="107">
        <v>40666</v>
      </c>
      <c r="C1023">
        <v>46.127090000000003</v>
      </c>
      <c r="D1023" s="109">
        <f t="shared" si="44"/>
        <v>-2.5878053271972182E-2</v>
      </c>
      <c r="E1023">
        <v>1356.62</v>
      </c>
      <c r="F1023" s="111">
        <f t="shared" si="45"/>
        <v>-3.3792995264389281E-3</v>
      </c>
    </row>
    <row r="1024" spans="2:6">
      <c r="B1024" s="107">
        <v>40665</v>
      </c>
      <c r="C1024">
        <v>47.35248</v>
      </c>
      <c r="D1024" s="109">
        <f t="shared" si="44"/>
        <v>-1.2973867584924579E-2</v>
      </c>
      <c r="E1024">
        <v>1361.2199700000001</v>
      </c>
      <c r="F1024" s="111">
        <f t="shared" si="45"/>
        <v>-1.7527152320142669E-3</v>
      </c>
    </row>
    <row r="1025" spans="2:6">
      <c r="B1025" s="107">
        <v>40662</v>
      </c>
      <c r="C1025">
        <v>47.974899999999998</v>
      </c>
      <c r="D1025" s="109">
        <f t="shared" si="44"/>
        <v>-1.2147835093399748E-3</v>
      </c>
      <c r="E1025">
        <v>1363.6099899999999</v>
      </c>
      <c r="F1025" s="111">
        <f t="shared" si="45"/>
        <v>2.3006659752537162E-3</v>
      </c>
    </row>
    <row r="1026" spans="2:6">
      <c r="B1026" s="107">
        <v>40661</v>
      </c>
      <c r="C1026">
        <v>48.033250000000002</v>
      </c>
      <c r="D1026" s="109">
        <f t="shared" si="44"/>
        <v>-2.3334087014373908E-2</v>
      </c>
      <c r="E1026">
        <v>1360.4799800000001</v>
      </c>
      <c r="F1026" s="111">
        <f t="shared" si="45"/>
        <v>3.5554267982659802E-3</v>
      </c>
    </row>
    <row r="1027" spans="2:6">
      <c r="B1027" s="107">
        <v>40660</v>
      </c>
      <c r="C1027">
        <v>49.180840000000003</v>
      </c>
      <c r="D1027" s="109">
        <f t="shared" si="44"/>
        <v>4.1701547269513556E-3</v>
      </c>
      <c r="E1027">
        <v>1355.66003</v>
      </c>
      <c r="F1027" s="111">
        <f t="shared" si="45"/>
        <v>6.2498441721582001E-3</v>
      </c>
    </row>
    <row r="1028" spans="2:6">
      <c r="B1028" s="107">
        <v>40659</v>
      </c>
      <c r="C1028">
        <v>48.976599999999998</v>
      </c>
      <c r="D1028" s="109">
        <f t="shared" si="44"/>
        <v>1.1651113533807517E-2</v>
      </c>
      <c r="E1028">
        <v>1347.23999</v>
      </c>
      <c r="F1028" s="111">
        <f t="shared" si="45"/>
        <v>8.9795843475004942E-3</v>
      </c>
    </row>
    <row r="1029" spans="2:6">
      <c r="B1029" s="107">
        <v>40658</v>
      </c>
      <c r="C1029">
        <v>48.41254</v>
      </c>
      <c r="D1029" s="109">
        <f t="shared" si="44"/>
        <v>1.6125768823261666E-2</v>
      </c>
      <c r="E1029">
        <v>1335.25</v>
      </c>
      <c r="F1029" s="111">
        <f t="shared" si="45"/>
        <v>-1.592666257907333E-3</v>
      </c>
    </row>
    <row r="1030" spans="2:6">
      <c r="B1030" s="107">
        <v>40654</v>
      </c>
      <c r="C1030">
        <v>47.644240000000003</v>
      </c>
      <c r="D1030" s="109">
        <f t="shared" si="44"/>
        <v>1.1145593493250245E-2</v>
      </c>
      <c r="E1030">
        <v>1337.38</v>
      </c>
      <c r="F1030" s="111">
        <f t="shared" si="45"/>
        <v>5.2767747472623437E-3</v>
      </c>
    </row>
    <row r="1031" spans="2:6">
      <c r="B1031" s="107">
        <v>40653</v>
      </c>
      <c r="C1031">
        <v>47.119070000000001</v>
      </c>
      <c r="D1031" s="109">
        <f t="shared" si="44"/>
        <v>3.326943251512219E-2</v>
      </c>
      <c r="E1031">
        <v>1330.3599899999999</v>
      </c>
      <c r="F1031" s="111">
        <f t="shared" si="45"/>
        <v>1.3514947204827014E-2</v>
      </c>
    </row>
    <row r="1032" spans="2:6">
      <c r="B1032" s="107">
        <v>40652</v>
      </c>
      <c r="C1032">
        <v>45.60192</v>
      </c>
      <c r="D1032" s="109">
        <f t="shared" si="44"/>
        <v>1.2524129698879959E-2</v>
      </c>
      <c r="E1032">
        <v>1312.62</v>
      </c>
      <c r="F1032" s="111">
        <f t="shared" si="45"/>
        <v>5.7311782204882492E-3</v>
      </c>
    </row>
    <row r="1033" spans="2:6">
      <c r="B1033" s="107">
        <v>40651</v>
      </c>
      <c r="C1033">
        <v>45.037860000000002</v>
      </c>
      <c r="D1033" s="109">
        <f t="shared" ref="D1033:D1096" si="46">(C1033-C1034)/C1034</f>
        <v>-1.0047049177985707E-2</v>
      </c>
      <c r="E1033">
        <v>1305.1400100000001</v>
      </c>
      <c r="F1033" s="111">
        <f t="shared" ref="F1033:F1096" si="47">(E1033-E1034)/E1034</f>
        <v>-1.1017852395358909E-2</v>
      </c>
    </row>
    <row r="1034" spans="2:6">
      <c r="B1034" s="107">
        <v>40648</v>
      </c>
      <c r="C1034">
        <v>45.494950000000003</v>
      </c>
      <c r="D1034" s="109">
        <f t="shared" si="46"/>
        <v>2.1423997564635048E-3</v>
      </c>
      <c r="E1034">
        <v>1319.6800499999999</v>
      </c>
      <c r="F1034" s="111">
        <f t="shared" si="47"/>
        <v>3.9254099758785008E-3</v>
      </c>
    </row>
    <row r="1035" spans="2:6">
      <c r="B1035" s="107">
        <v>40647</v>
      </c>
      <c r="C1035">
        <v>45.397689999999997</v>
      </c>
      <c r="D1035" s="109">
        <f t="shared" si="46"/>
        <v>5.6008615824088672E-3</v>
      </c>
      <c r="E1035">
        <v>1314.5200199999999</v>
      </c>
      <c r="F1035" s="111">
        <f t="shared" si="47"/>
        <v>8.3680128338586406E-5</v>
      </c>
    </row>
    <row r="1036" spans="2:6">
      <c r="B1036" s="107">
        <v>40646</v>
      </c>
      <c r="C1036">
        <v>45.144840000000002</v>
      </c>
      <c r="D1036" s="109">
        <f t="shared" si="46"/>
        <v>8.9111676771831214E-3</v>
      </c>
      <c r="E1036">
        <v>1314.41003</v>
      </c>
      <c r="F1036" s="111">
        <f t="shared" si="47"/>
        <v>1.9023558340912255E-4</v>
      </c>
    </row>
    <row r="1037" spans="2:6">
      <c r="B1037" s="107">
        <v>40645</v>
      </c>
      <c r="C1037">
        <v>44.746099999999998</v>
      </c>
      <c r="D1037" s="109">
        <f t="shared" si="46"/>
        <v>-9.0458195141309775E-3</v>
      </c>
      <c r="E1037">
        <v>1314.16003</v>
      </c>
      <c r="F1037" s="111">
        <f t="shared" si="47"/>
        <v>-7.776701683001353E-3</v>
      </c>
    </row>
    <row r="1038" spans="2:6">
      <c r="B1038" s="107">
        <v>40644</v>
      </c>
      <c r="C1038">
        <v>45.154559999999996</v>
      </c>
      <c r="D1038" s="109">
        <f t="shared" si="46"/>
        <v>-7.2696141735711459E-3</v>
      </c>
      <c r="E1038">
        <v>1324.4599599999999</v>
      </c>
      <c r="F1038" s="111">
        <f t="shared" si="47"/>
        <v>-2.7933772696755468E-3</v>
      </c>
    </row>
    <row r="1039" spans="2:6">
      <c r="B1039" s="107">
        <v>40641</v>
      </c>
      <c r="C1039">
        <v>45.485219999999998</v>
      </c>
      <c r="D1039" s="109">
        <f t="shared" si="46"/>
        <v>-2.6841584012251684E-2</v>
      </c>
      <c r="E1039">
        <v>1328.17004</v>
      </c>
      <c r="F1039" s="111">
        <f t="shared" si="47"/>
        <v>-4.0044468807549439E-3</v>
      </c>
    </row>
    <row r="1040" spans="2:6">
      <c r="B1040" s="107">
        <v>40640</v>
      </c>
      <c r="C1040">
        <v>46.739789999999999</v>
      </c>
      <c r="D1040" s="109">
        <f t="shared" si="46"/>
        <v>1.0725545911019402E-2</v>
      </c>
      <c r="E1040">
        <v>1333.51001</v>
      </c>
      <c r="F1040" s="111">
        <f t="shared" si="47"/>
        <v>-1.5200068430745995E-3</v>
      </c>
    </row>
    <row r="1041" spans="2:6">
      <c r="B1041" s="107">
        <v>40639</v>
      </c>
      <c r="C1041">
        <v>46.2438</v>
      </c>
      <c r="D1041" s="109">
        <f t="shared" si="46"/>
        <v>-1.8890029466028127E-3</v>
      </c>
      <c r="E1041">
        <v>1335.5400400000001</v>
      </c>
      <c r="F1041" s="111">
        <f t="shared" si="47"/>
        <v>2.1836818921981199E-3</v>
      </c>
    </row>
    <row r="1042" spans="2:6">
      <c r="B1042" s="107">
        <v>40638</v>
      </c>
      <c r="C1042">
        <v>46.331319999999998</v>
      </c>
      <c r="D1042" s="109">
        <f t="shared" si="46"/>
        <v>2.231757402765093E-2</v>
      </c>
      <c r="E1042">
        <v>1332.63</v>
      </c>
      <c r="F1042" s="111">
        <f t="shared" si="47"/>
        <v>-1.8006257174351718E-4</v>
      </c>
    </row>
    <row r="1043" spans="2:6">
      <c r="B1043" s="107">
        <v>40637</v>
      </c>
      <c r="C1043">
        <v>45.319890000000001</v>
      </c>
      <c r="D1043" s="109">
        <f t="shared" si="46"/>
        <v>2.3950837587943741E-2</v>
      </c>
      <c r="E1043">
        <v>1332.87</v>
      </c>
      <c r="F1043" s="111">
        <f t="shared" si="47"/>
        <v>3.452165546966685E-4</v>
      </c>
    </row>
    <row r="1044" spans="2:6">
      <c r="B1044" s="107">
        <v>40634</v>
      </c>
      <c r="C1044">
        <v>44.259830000000001</v>
      </c>
      <c r="D1044" s="109">
        <f t="shared" si="46"/>
        <v>-1.2584134803084982E-2</v>
      </c>
      <c r="E1044">
        <v>1332.41003</v>
      </c>
      <c r="F1044" s="111">
        <f t="shared" si="47"/>
        <v>4.9629818291328839E-3</v>
      </c>
    </row>
    <row r="1045" spans="2:6">
      <c r="B1045" s="107">
        <v>40633</v>
      </c>
      <c r="C1045">
        <v>44.823900000000002</v>
      </c>
      <c r="D1045" s="109">
        <f t="shared" si="46"/>
        <v>1.4974668599524834E-2</v>
      </c>
      <c r="E1045">
        <v>1325.82996</v>
      </c>
      <c r="F1045" s="111">
        <f t="shared" si="47"/>
        <v>-1.8294987289423383E-3</v>
      </c>
    </row>
    <row r="1046" spans="2:6">
      <c r="B1046" s="107">
        <v>40632</v>
      </c>
      <c r="C1046">
        <v>44.162579999999998</v>
      </c>
      <c r="D1046" s="109">
        <f t="shared" si="46"/>
        <v>-9.8125076513075893E-3</v>
      </c>
      <c r="E1046">
        <v>1328.26001</v>
      </c>
      <c r="F1046" s="111">
        <f t="shared" si="47"/>
        <v>6.6847074524665267E-3</v>
      </c>
    </row>
    <row r="1047" spans="2:6">
      <c r="B1047" s="107">
        <v>40631</v>
      </c>
      <c r="C1047">
        <v>44.60022</v>
      </c>
      <c r="D1047" s="109">
        <f t="shared" si="46"/>
        <v>1.2585513105879674E-2</v>
      </c>
      <c r="E1047">
        <v>1319.43994</v>
      </c>
      <c r="F1047" s="111">
        <f t="shared" si="47"/>
        <v>7.0600450496513508E-3</v>
      </c>
    </row>
    <row r="1048" spans="2:6">
      <c r="B1048" s="107">
        <v>40630</v>
      </c>
      <c r="C1048">
        <v>44.045879999999997</v>
      </c>
      <c r="D1048" s="109">
        <f t="shared" si="46"/>
        <v>6.2208771183158559E-3</v>
      </c>
      <c r="E1048">
        <v>1310.18994</v>
      </c>
      <c r="F1048" s="111">
        <f t="shared" si="47"/>
        <v>-2.7478382269814018E-3</v>
      </c>
    </row>
    <row r="1049" spans="2:6">
      <c r="B1049" s="107">
        <v>40627</v>
      </c>
      <c r="C1049">
        <v>43.773569999999999</v>
      </c>
      <c r="D1049" s="109">
        <f t="shared" si="46"/>
        <v>7.160448719305686E-3</v>
      </c>
      <c r="E1049">
        <v>1313.8000500000001</v>
      </c>
      <c r="F1049" s="111">
        <f t="shared" si="47"/>
        <v>3.1611409871003314E-3</v>
      </c>
    </row>
    <row r="1050" spans="2:6">
      <c r="B1050" s="107">
        <v>40626</v>
      </c>
      <c r="C1050">
        <v>43.462359999999997</v>
      </c>
      <c r="D1050" s="109">
        <f t="shared" si="46"/>
        <v>2.8301844383744282E-2</v>
      </c>
      <c r="E1050">
        <v>1309.66003</v>
      </c>
      <c r="F1050" s="111">
        <f t="shared" si="47"/>
        <v>9.3407445060423068E-3</v>
      </c>
    </row>
    <row r="1051" spans="2:6">
      <c r="B1051" s="107">
        <v>40625</v>
      </c>
      <c r="C1051">
        <v>42.266150000000003</v>
      </c>
      <c r="D1051" s="109">
        <f t="shared" si="46"/>
        <v>-6.89910682810529E-4</v>
      </c>
      <c r="E1051">
        <v>1297.5400400000001</v>
      </c>
      <c r="F1051" s="111">
        <f t="shared" si="47"/>
        <v>2.9139800286917756E-3</v>
      </c>
    </row>
    <row r="1052" spans="2:6">
      <c r="B1052" s="107">
        <v>40624</v>
      </c>
      <c r="C1052">
        <v>42.29533</v>
      </c>
      <c r="D1052" s="109">
        <f t="shared" si="46"/>
        <v>-1.4725768837529902E-2</v>
      </c>
      <c r="E1052">
        <v>1293.7700199999999</v>
      </c>
      <c r="F1052" s="111">
        <f t="shared" si="47"/>
        <v>-3.5505630092886346E-3</v>
      </c>
    </row>
    <row r="1053" spans="2:6">
      <c r="B1053" s="107">
        <v>40623</v>
      </c>
      <c r="C1053">
        <v>42.92747</v>
      </c>
      <c r="D1053" s="109">
        <f t="shared" si="46"/>
        <v>1.9164169650384522E-2</v>
      </c>
      <c r="E1053">
        <v>1298.3800000000001</v>
      </c>
      <c r="F1053" s="111">
        <f t="shared" si="47"/>
        <v>1.4985843293465445E-2</v>
      </c>
    </row>
    <row r="1054" spans="2:6">
      <c r="B1054" s="107">
        <v>40620</v>
      </c>
      <c r="C1054">
        <v>42.120269999999998</v>
      </c>
      <c r="D1054" s="109">
        <f t="shared" si="46"/>
        <v>6.2731603201227736E-3</v>
      </c>
      <c r="E1054">
        <v>1279.2099599999999</v>
      </c>
      <c r="F1054" s="111">
        <f t="shared" si="47"/>
        <v>4.3102017156877951E-3</v>
      </c>
    </row>
    <row r="1055" spans="2:6">
      <c r="B1055" s="107">
        <v>40619</v>
      </c>
      <c r="C1055">
        <v>41.857689999999998</v>
      </c>
      <c r="D1055" s="109">
        <f t="shared" si="46"/>
        <v>2.2570844910975711E-2</v>
      </c>
      <c r="E1055">
        <v>1273.7199700000001</v>
      </c>
      <c r="F1055" s="111">
        <f t="shared" si="47"/>
        <v>1.3398232130354522E-2</v>
      </c>
    </row>
    <row r="1056" spans="2:6">
      <c r="B1056" s="107">
        <v>40618</v>
      </c>
      <c r="C1056">
        <v>40.933779999999999</v>
      </c>
      <c r="D1056" s="109">
        <f t="shared" si="46"/>
        <v>-3.7282853010923885E-2</v>
      </c>
      <c r="E1056">
        <v>1256.8800000000001</v>
      </c>
      <c r="F1056" s="111">
        <f t="shared" si="47"/>
        <v>-1.9494956586861213E-2</v>
      </c>
    </row>
    <row r="1057" spans="2:6">
      <c r="B1057" s="107">
        <v>40617</v>
      </c>
      <c r="C1057">
        <v>42.519010000000002</v>
      </c>
      <c r="D1057" s="109">
        <f t="shared" si="46"/>
        <v>-2.4542548669050035E-2</v>
      </c>
      <c r="E1057">
        <v>1281.8699999999999</v>
      </c>
      <c r="F1057" s="111">
        <f t="shared" si="47"/>
        <v>-1.1200340860386746E-2</v>
      </c>
    </row>
    <row r="1058" spans="2:6">
      <c r="B1058" s="107">
        <v>40616</v>
      </c>
      <c r="C1058">
        <v>43.588790000000003</v>
      </c>
      <c r="D1058" s="109">
        <f t="shared" si="46"/>
        <v>-5.5468708648855362E-3</v>
      </c>
      <c r="E1058">
        <v>1296.3900100000001</v>
      </c>
      <c r="F1058" s="111">
        <f t="shared" si="47"/>
        <v>-6.049329759346099E-3</v>
      </c>
    </row>
    <row r="1059" spans="2:6">
      <c r="B1059" s="107">
        <v>40613</v>
      </c>
      <c r="C1059">
        <v>43.831919999999997</v>
      </c>
      <c r="D1059" s="109">
        <f t="shared" si="46"/>
        <v>3.1158622447892219E-3</v>
      </c>
      <c r="E1059">
        <v>1304.2800299999999</v>
      </c>
      <c r="F1059" s="111">
        <f t="shared" si="47"/>
        <v>7.0805105904556973E-3</v>
      </c>
    </row>
    <row r="1060" spans="2:6">
      <c r="B1060" s="107">
        <v>40612</v>
      </c>
      <c r="C1060">
        <v>43.695770000000003</v>
      </c>
      <c r="D1060" s="109">
        <f t="shared" si="46"/>
        <v>-2.6224507510496833E-2</v>
      </c>
      <c r="E1060">
        <v>1295.1099899999999</v>
      </c>
      <c r="F1060" s="111">
        <f t="shared" si="47"/>
        <v>-1.8870948639097163E-2</v>
      </c>
    </row>
    <row r="1061" spans="2:6">
      <c r="B1061" s="107">
        <v>40611</v>
      </c>
      <c r="C1061">
        <v>44.872529999999998</v>
      </c>
      <c r="D1061" s="109">
        <f t="shared" si="46"/>
        <v>-1.6414453048110435E-2</v>
      </c>
      <c r="E1061">
        <v>1320.0200199999999</v>
      </c>
      <c r="F1061" s="111">
        <f t="shared" si="47"/>
        <v>-1.361705881349522E-3</v>
      </c>
    </row>
    <row r="1062" spans="2:6">
      <c r="B1062" s="107">
        <v>40610</v>
      </c>
      <c r="C1062">
        <v>45.621380000000002</v>
      </c>
      <c r="D1062" s="109">
        <f t="shared" si="46"/>
        <v>6.4002175810782896E-4</v>
      </c>
      <c r="E1062">
        <v>1321.8199500000001</v>
      </c>
      <c r="F1062" s="111">
        <f t="shared" si="47"/>
        <v>8.9227404914015811E-3</v>
      </c>
    </row>
    <row r="1063" spans="2:6">
      <c r="B1063" s="107">
        <v>40609</v>
      </c>
      <c r="C1063">
        <v>45.592199999999998</v>
      </c>
      <c r="D1063" s="109">
        <f t="shared" si="46"/>
        <v>-1.6984709987828847E-2</v>
      </c>
      <c r="E1063">
        <v>1310.1300000000001</v>
      </c>
      <c r="F1063" s="111">
        <f t="shared" si="47"/>
        <v>-8.3412328904176464E-3</v>
      </c>
    </row>
    <row r="1064" spans="2:6">
      <c r="B1064" s="107">
        <v>40606</v>
      </c>
      <c r="C1064">
        <v>46.379950000000001</v>
      </c>
      <c r="D1064" s="109">
        <f t="shared" si="46"/>
        <v>-1.0991272276443337E-2</v>
      </c>
      <c r="E1064">
        <v>1321.15002</v>
      </c>
      <c r="F1064" s="111">
        <f t="shared" si="47"/>
        <v>-7.3780402423354917E-3</v>
      </c>
    </row>
    <row r="1065" spans="2:6">
      <c r="B1065" s="107">
        <v>40605</v>
      </c>
      <c r="C1065">
        <v>46.895389999999999</v>
      </c>
      <c r="D1065" s="109">
        <f t="shared" si="46"/>
        <v>1.2387093710061883E-2</v>
      </c>
      <c r="E1065">
        <v>1330.9699700000001</v>
      </c>
      <c r="F1065" s="111">
        <f t="shared" si="47"/>
        <v>1.7219002042997957E-2</v>
      </c>
    </row>
    <row r="1066" spans="2:6">
      <c r="B1066" s="107">
        <v>40604</v>
      </c>
      <c r="C1066">
        <v>46.321599999999997</v>
      </c>
      <c r="D1066" s="109">
        <f t="shared" si="46"/>
        <v>-2.9306197566606362E-3</v>
      </c>
      <c r="E1066">
        <v>1308.43994</v>
      </c>
      <c r="F1066" s="111">
        <f t="shared" si="47"/>
        <v>1.6151968220953535E-3</v>
      </c>
    </row>
    <row r="1067" spans="2:6">
      <c r="B1067" s="107">
        <v>40603</v>
      </c>
      <c r="C1067">
        <v>46.457749999999997</v>
      </c>
      <c r="D1067" s="109">
        <f t="shared" si="46"/>
        <v>-3.6895169482319572E-2</v>
      </c>
      <c r="E1067">
        <v>1306.32996</v>
      </c>
      <c r="F1067" s="111">
        <f t="shared" si="47"/>
        <v>-1.5739674260627702E-2</v>
      </c>
    </row>
    <row r="1068" spans="2:6">
      <c r="B1068" s="107">
        <v>40602</v>
      </c>
      <c r="C1068">
        <v>48.237479999999998</v>
      </c>
      <c r="D1068" s="109">
        <f t="shared" si="46"/>
        <v>-1.1558444352689637E-2</v>
      </c>
      <c r="E1068">
        <v>1327.2199700000001</v>
      </c>
      <c r="F1068" s="111">
        <f t="shared" si="47"/>
        <v>5.5610888868684984E-3</v>
      </c>
    </row>
    <row r="1069" spans="2:6">
      <c r="B1069" s="107">
        <v>40599</v>
      </c>
      <c r="C1069">
        <v>48.801549999999999</v>
      </c>
      <c r="D1069" s="109">
        <f t="shared" si="46"/>
        <v>2.3663710302302597E-2</v>
      </c>
      <c r="E1069">
        <v>1319.88</v>
      </c>
      <c r="F1069" s="111">
        <f t="shared" si="47"/>
        <v>1.055050931093357E-2</v>
      </c>
    </row>
    <row r="1070" spans="2:6">
      <c r="B1070" s="107">
        <v>40598</v>
      </c>
      <c r="C1070">
        <v>47.67342</v>
      </c>
      <c r="D1070" s="109">
        <f t="shared" si="46"/>
        <v>1.8280095152270703E-2</v>
      </c>
      <c r="E1070">
        <v>1306.09998</v>
      </c>
      <c r="F1070" s="111">
        <f t="shared" si="47"/>
        <v>-9.9437049113712019E-4</v>
      </c>
    </row>
    <row r="1071" spans="2:6">
      <c r="B1071" s="107">
        <v>40597</v>
      </c>
      <c r="C1071">
        <v>46.817590000000003</v>
      </c>
      <c r="D1071" s="109">
        <f t="shared" si="46"/>
        <v>-1.453415924196467E-2</v>
      </c>
      <c r="E1071">
        <v>1307.40002</v>
      </c>
      <c r="F1071" s="111">
        <f t="shared" si="47"/>
        <v>-6.1119628160293954E-3</v>
      </c>
    </row>
    <row r="1072" spans="2:6">
      <c r="B1072" s="107">
        <v>40596</v>
      </c>
      <c r="C1072">
        <v>47.50808</v>
      </c>
      <c r="D1072" s="109">
        <f t="shared" si="46"/>
        <v>-4.9241133279926436E-2</v>
      </c>
      <c r="E1072">
        <v>1315.43994</v>
      </c>
      <c r="F1072" s="111">
        <f t="shared" si="47"/>
        <v>-2.05285662762856E-2</v>
      </c>
    </row>
    <row r="1073" spans="2:6">
      <c r="B1073" s="107">
        <v>40592</v>
      </c>
      <c r="C1073">
        <v>49.968589999999999</v>
      </c>
      <c r="D1073" s="109">
        <f t="shared" si="46"/>
        <v>-6.9578506598938529E-3</v>
      </c>
      <c r="E1073">
        <v>1343.01001</v>
      </c>
      <c r="F1073" s="111">
        <f t="shared" si="47"/>
        <v>1.9247255759448458E-3</v>
      </c>
    </row>
    <row r="1074" spans="2:6">
      <c r="B1074" s="107">
        <v>40591</v>
      </c>
      <c r="C1074">
        <v>50.3187</v>
      </c>
      <c r="D1074" s="109">
        <f t="shared" si="46"/>
        <v>7.3989276690105132E-3</v>
      </c>
      <c r="E1074">
        <v>1340.4300499999999</v>
      </c>
      <c r="F1074" s="111">
        <f t="shared" si="47"/>
        <v>3.0756855796397224E-3</v>
      </c>
    </row>
    <row r="1075" spans="2:6">
      <c r="B1075" s="107">
        <v>40590</v>
      </c>
      <c r="C1075">
        <v>49.949129999999997</v>
      </c>
      <c r="D1075" s="109">
        <f t="shared" si="46"/>
        <v>2.7332233486130229E-3</v>
      </c>
      <c r="E1075">
        <v>1336.3199500000001</v>
      </c>
      <c r="F1075" s="111">
        <f t="shared" si="47"/>
        <v>6.2574377733795074E-3</v>
      </c>
    </row>
    <row r="1076" spans="2:6">
      <c r="B1076" s="107">
        <v>40589</v>
      </c>
      <c r="C1076">
        <v>49.812980000000003</v>
      </c>
      <c r="D1076" s="109">
        <f t="shared" si="46"/>
        <v>-2.7529935195316841E-2</v>
      </c>
      <c r="E1076">
        <v>1328.01001</v>
      </c>
      <c r="F1076" s="111">
        <f t="shared" si="47"/>
        <v>-3.2349136556876572E-3</v>
      </c>
    </row>
    <row r="1077" spans="2:6">
      <c r="B1077" s="107">
        <v>40588</v>
      </c>
      <c r="C1077">
        <v>51.223149999999997</v>
      </c>
      <c r="D1077" s="109">
        <f t="shared" si="46"/>
        <v>3.2542646206566307E-2</v>
      </c>
      <c r="E1077">
        <v>1332.3199500000001</v>
      </c>
      <c r="F1077" s="111">
        <f t="shared" si="47"/>
        <v>2.3849301826742043E-3</v>
      </c>
    </row>
    <row r="1078" spans="2:6">
      <c r="B1078" s="107">
        <v>40585</v>
      </c>
      <c r="C1078">
        <v>49.608750000000001</v>
      </c>
      <c r="D1078" s="109">
        <f t="shared" si="46"/>
        <v>3.9361115467703729E-3</v>
      </c>
      <c r="E1078">
        <v>1329.15002</v>
      </c>
      <c r="F1078" s="111">
        <f t="shared" si="47"/>
        <v>5.5073645668637233E-3</v>
      </c>
    </row>
    <row r="1079" spans="2:6">
      <c r="B1079" s="107">
        <v>40584</v>
      </c>
      <c r="C1079">
        <v>49.414250000000003</v>
      </c>
      <c r="D1079" s="109">
        <f t="shared" si="46"/>
        <v>1.3564723186893659E-2</v>
      </c>
      <c r="E1079">
        <v>1321.87</v>
      </c>
      <c r="F1079" s="111">
        <f t="shared" si="47"/>
        <v>7.4950033311109389E-4</v>
      </c>
    </row>
    <row r="1080" spans="2:6">
      <c r="B1080" s="107">
        <v>40583</v>
      </c>
      <c r="C1080">
        <v>48.752929999999999</v>
      </c>
      <c r="D1080" s="109">
        <f t="shared" si="46"/>
        <v>6.6266118736810157E-3</v>
      </c>
      <c r="E1080">
        <v>1320.88</v>
      </c>
      <c r="F1080" s="111">
        <f t="shared" si="47"/>
        <v>-2.785772091538052E-3</v>
      </c>
    </row>
    <row r="1081" spans="2:6">
      <c r="B1081" s="107">
        <v>40582</v>
      </c>
      <c r="C1081">
        <v>48.431989999999999</v>
      </c>
      <c r="D1081" s="109">
        <f t="shared" si="46"/>
        <v>4.1841007784338476E-2</v>
      </c>
      <c r="E1081">
        <v>1324.5699500000001</v>
      </c>
      <c r="F1081" s="111">
        <f t="shared" si="47"/>
        <v>4.1847540205165127E-3</v>
      </c>
    </row>
    <row r="1082" spans="2:6">
      <c r="B1082" s="107">
        <v>40581</v>
      </c>
      <c r="C1082">
        <v>46.486930000000001</v>
      </c>
      <c r="D1082" s="109">
        <f t="shared" si="46"/>
        <v>-4.7886336744478748E-3</v>
      </c>
      <c r="E1082">
        <v>1319.0500500000001</v>
      </c>
      <c r="F1082" s="111">
        <f t="shared" si="47"/>
        <v>6.2401687428960658E-3</v>
      </c>
    </row>
    <row r="1083" spans="2:6">
      <c r="B1083" s="107">
        <v>40578</v>
      </c>
      <c r="C1083">
        <v>46.710610000000003</v>
      </c>
      <c r="D1083" s="109">
        <f t="shared" si="46"/>
        <v>9.0336603703155445E-3</v>
      </c>
      <c r="E1083">
        <v>1310.87</v>
      </c>
      <c r="F1083" s="111">
        <f t="shared" si="47"/>
        <v>2.8842629161389259E-3</v>
      </c>
    </row>
    <row r="1084" spans="2:6">
      <c r="B1084" s="107">
        <v>40577</v>
      </c>
      <c r="C1084">
        <v>46.29242</v>
      </c>
      <c r="D1084" s="109">
        <f t="shared" si="46"/>
        <v>-7.7132383297186117E-3</v>
      </c>
      <c r="E1084">
        <v>1307.09998</v>
      </c>
      <c r="F1084" s="111">
        <f t="shared" si="47"/>
        <v>2.3542019197211762E-3</v>
      </c>
    </row>
    <row r="1085" spans="2:6">
      <c r="B1085" s="107">
        <v>40576</v>
      </c>
      <c r="C1085">
        <v>46.652259999999998</v>
      </c>
      <c r="D1085" s="109">
        <f t="shared" si="46"/>
        <v>3.1834705654932294E-2</v>
      </c>
      <c r="E1085">
        <v>1304.0300299999999</v>
      </c>
      <c r="F1085" s="111">
        <f t="shared" si="47"/>
        <v>-2.7225201184436255E-3</v>
      </c>
    </row>
    <row r="1086" spans="2:6">
      <c r="B1086" s="107">
        <v>40575</v>
      </c>
      <c r="C1086">
        <v>45.212919999999997</v>
      </c>
      <c r="D1086" s="109">
        <f t="shared" si="46"/>
        <v>2.4686064262998839E-2</v>
      </c>
      <c r="E1086">
        <v>1307.58997</v>
      </c>
      <c r="F1086" s="111">
        <f t="shared" si="47"/>
        <v>1.6693597798028259E-2</v>
      </c>
    </row>
    <row r="1087" spans="2:6">
      <c r="B1087" s="107">
        <v>40574</v>
      </c>
      <c r="C1087">
        <v>44.12368</v>
      </c>
      <c r="D1087" s="109">
        <f t="shared" si="46"/>
        <v>-3.0555604380152254E-2</v>
      </c>
      <c r="E1087">
        <v>1286.1199999999999</v>
      </c>
      <c r="F1087" s="111">
        <f t="shared" si="47"/>
        <v>7.6625587460054994E-3</v>
      </c>
    </row>
    <row r="1088" spans="2:6">
      <c r="B1088" s="107">
        <v>40571</v>
      </c>
      <c r="C1088">
        <v>45.514400000000002</v>
      </c>
      <c r="D1088" s="109">
        <f t="shared" si="46"/>
        <v>-8.8074729369109234E-2</v>
      </c>
      <c r="E1088">
        <v>1276.33997</v>
      </c>
      <c r="F1088" s="111">
        <f t="shared" si="47"/>
        <v>-1.7852524190020414E-2</v>
      </c>
    </row>
    <row r="1089" spans="2:6">
      <c r="B1089" s="107">
        <v>40570</v>
      </c>
      <c r="C1089">
        <v>49.910229999999999</v>
      </c>
      <c r="D1089" s="109">
        <f t="shared" si="46"/>
        <v>2.7016098830141149E-2</v>
      </c>
      <c r="E1089">
        <v>1299.5400400000001</v>
      </c>
      <c r="F1089" s="111">
        <f t="shared" si="47"/>
        <v>2.2443102504183772E-3</v>
      </c>
    </row>
    <row r="1090" spans="2:6">
      <c r="B1090" s="107">
        <v>40569</v>
      </c>
      <c r="C1090">
        <v>48.597320000000003</v>
      </c>
      <c r="D1090" s="109">
        <f t="shared" si="46"/>
        <v>2.9248361583452506E-2</v>
      </c>
      <c r="E1090">
        <v>1296.6300000000001</v>
      </c>
      <c r="F1090" s="111">
        <f t="shared" si="47"/>
        <v>4.2209062942075133E-3</v>
      </c>
    </row>
    <row r="1091" spans="2:6">
      <c r="B1091" s="107">
        <v>40568</v>
      </c>
      <c r="C1091">
        <v>47.216320000000003</v>
      </c>
      <c r="D1091" s="109">
        <f t="shared" si="46"/>
        <v>-4.2028639124229883E-2</v>
      </c>
      <c r="E1091">
        <v>1291.1800499999999</v>
      </c>
      <c r="F1091" s="111">
        <f t="shared" si="47"/>
        <v>2.6345636012490653E-4</v>
      </c>
    </row>
    <row r="1092" spans="2:6">
      <c r="B1092" s="107">
        <v>40567</v>
      </c>
      <c r="C1092">
        <v>49.287820000000004</v>
      </c>
      <c r="D1092" s="109">
        <f t="shared" si="46"/>
        <v>1.4208602449682412E-2</v>
      </c>
      <c r="E1092">
        <v>1290.83997</v>
      </c>
      <c r="F1092" s="111">
        <f t="shared" si="47"/>
        <v>5.8362801392649218E-3</v>
      </c>
    </row>
    <row r="1093" spans="2:6">
      <c r="B1093" s="107">
        <v>40564</v>
      </c>
      <c r="C1093">
        <v>48.597320000000003</v>
      </c>
      <c r="D1093" s="109">
        <f t="shared" si="46"/>
        <v>4.0038807794590798E-4</v>
      </c>
      <c r="E1093">
        <v>1283.34998</v>
      </c>
      <c r="F1093" s="111">
        <f t="shared" si="47"/>
        <v>2.4135487915458624E-3</v>
      </c>
    </row>
    <row r="1094" spans="2:6">
      <c r="B1094" s="107">
        <v>40563</v>
      </c>
      <c r="C1094">
        <v>48.577869999999997</v>
      </c>
      <c r="D1094" s="109">
        <f t="shared" si="46"/>
        <v>-3.0097060434311217E-2</v>
      </c>
      <c r="E1094">
        <v>1280.26001</v>
      </c>
      <c r="F1094" s="111">
        <f t="shared" si="47"/>
        <v>-1.2949559630879989E-3</v>
      </c>
    </row>
    <row r="1095" spans="2:6">
      <c r="B1095" s="107">
        <v>40562</v>
      </c>
      <c r="C1095">
        <v>50.085290000000001</v>
      </c>
      <c r="D1095" s="109">
        <f t="shared" si="46"/>
        <v>-2.9400741515323712E-2</v>
      </c>
      <c r="E1095">
        <v>1281.92004</v>
      </c>
      <c r="F1095" s="111">
        <f t="shared" si="47"/>
        <v>-1.0115658289205413E-2</v>
      </c>
    </row>
    <row r="1096" spans="2:6">
      <c r="B1096" s="107">
        <v>40561</v>
      </c>
      <c r="C1096">
        <v>51.602440000000001</v>
      </c>
      <c r="D1096" s="109">
        <f t="shared" si="46"/>
        <v>5.4956703377214925E-3</v>
      </c>
      <c r="E1096">
        <v>1295.0200199999999</v>
      </c>
      <c r="F1096" s="111">
        <f t="shared" si="47"/>
        <v>1.3764111949553129E-3</v>
      </c>
    </row>
    <row r="1097" spans="2:6">
      <c r="B1097" s="107">
        <v>40557</v>
      </c>
      <c r="C1097">
        <v>51.320399999999999</v>
      </c>
      <c r="D1097" s="109">
        <f t="shared" ref="D1097:D1160" si="48">(C1097-C1098)/C1098</f>
        <v>2.6653575535268065E-2</v>
      </c>
      <c r="E1097">
        <v>1293.23999</v>
      </c>
      <c r="F1097" s="111">
        <f t="shared" ref="F1097:F1160" si="49">(E1097-E1098)/E1098</f>
        <v>7.3845422245237789E-3</v>
      </c>
    </row>
    <row r="1098" spans="2:6">
      <c r="B1098" s="107">
        <v>40556</v>
      </c>
      <c r="C1098">
        <v>49.988039999999998</v>
      </c>
      <c r="D1098" s="109">
        <f t="shared" si="48"/>
        <v>-9.0611323630249516E-3</v>
      </c>
      <c r="E1098">
        <v>1283.76001</v>
      </c>
      <c r="F1098" s="111">
        <f t="shared" si="49"/>
        <v>-1.7107453330039487E-3</v>
      </c>
    </row>
    <row r="1099" spans="2:6">
      <c r="B1099" s="107">
        <v>40555</v>
      </c>
      <c r="C1099">
        <v>50.445129999999999</v>
      </c>
      <c r="D1099" s="109">
        <f t="shared" si="48"/>
        <v>-6.3217433064532511E-3</v>
      </c>
      <c r="E1099">
        <v>1285.9599599999999</v>
      </c>
      <c r="F1099" s="111">
        <f t="shared" si="49"/>
        <v>9.0075797032134163E-3</v>
      </c>
    </row>
    <row r="1100" spans="2:6">
      <c r="B1100" s="107">
        <v>40554</v>
      </c>
      <c r="C1100">
        <v>50.766060000000003</v>
      </c>
      <c r="D1100" s="109">
        <f t="shared" si="48"/>
        <v>-1.9534164363703168E-2</v>
      </c>
      <c r="E1100">
        <v>1274.4799800000001</v>
      </c>
      <c r="F1100" s="111">
        <f t="shared" si="49"/>
        <v>3.725126993502712E-3</v>
      </c>
    </row>
    <row r="1101" spans="2:6">
      <c r="B1101" s="107">
        <v>40553</v>
      </c>
      <c r="C1101">
        <v>51.77749</v>
      </c>
      <c r="D1101" s="109">
        <f t="shared" si="48"/>
        <v>1.661254483728011E-2</v>
      </c>
      <c r="E1101">
        <v>1269.75</v>
      </c>
      <c r="F1101" s="111">
        <f t="shared" si="49"/>
        <v>-1.3763271726307512E-3</v>
      </c>
    </row>
    <row r="1102" spans="2:6">
      <c r="B1102" s="107">
        <v>40550</v>
      </c>
      <c r="C1102">
        <v>50.93139</v>
      </c>
      <c r="D1102" s="109">
        <f t="shared" si="48"/>
        <v>-6.8272183925977359E-3</v>
      </c>
      <c r="E1102">
        <v>1271.5</v>
      </c>
      <c r="F1102" s="111">
        <f t="shared" si="49"/>
        <v>-1.8447855217613299E-3</v>
      </c>
    </row>
    <row r="1103" spans="2:6">
      <c r="B1103" s="107">
        <v>40549</v>
      </c>
      <c r="C1103">
        <v>51.281500000000001</v>
      </c>
      <c r="D1103" s="109">
        <f t="shared" si="48"/>
        <v>9.1865167336453776E-3</v>
      </c>
      <c r="E1103">
        <v>1273.84998</v>
      </c>
      <c r="F1103" s="111">
        <f t="shared" si="49"/>
        <v>-2.1229553429707505E-3</v>
      </c>
    </row>
    <row r="1104" spans="2:6">
      <c r="B1104" s="107">
        <v>40548</v>
      </c>
      <c r="C1104">
        <v>50.814689999999999</v>
      </c>
      <c r="D1104" s="109">
        <f t="shared" si="48"/>
        <v>2.8340812619841362E-2</v>
      </c>
      <c r="E1104">
        <v>1276.56006</v>
      </c>
      <c r="F1104" s="111">
        <f t="shared" si="49"/>
        <v>5.0071722959838545E-3</v>
      </c>
    </row>
    <row r="1105" spans="2:6">
      <c r="B1105" s="107">
        <v>40547</v>
      </c>
      <c r="C1105">
        <v>49.414250000000003</v>
      </c>
      <c r="D1105" s="109">
        <f t="shared" si="48"/>
        <v>-8.391724023893668E-3</v>
      </c>
      <c r="E1105">
        <v>1270.1999499999999</v>
      </c>
      <c r="F1105" s="111">
        <f t="shared" si="49"/>
        <v>-1.3130665869939119E-3</v>
      </c>
    </row>
    <row r="1106" spans="2:6">
      <c r="B1106" s="107">
        <v>40546</v>
      </c>
      <c r="C1106">
        <v>49.832430000000002</v>
      </c>
      <c r="D1106" s="109">
        <f t="shared" si="48"/>
        <v>2.7677471430392092E-2</v>
      </c>
      <c r="E1106">
        <v>1271.8699999999999</v>
      </c>
      <c r="F1106" s="111">
        <f t="shared" si="49"/>
        <v>1.1314835634085635E-2</v>
      </c>
    </row>
    <row r="1107" spans="2:6">
      <c r="B1107" s="107">
        <v>40543</v>
      </c>
      <c r="C1107">
        <v>48.490340000000003</v>
      </c>
      <c r="D1107" s="109">
        <f t="shared" si="48"/>
        <v>-9.9284147940035521E-3</v>
      </c>
      <c r="E1107">
        <v>1257.6400100000001</v>
      </c>
      <c r="F1107" s="111">
        <f t="shared" si="49"/>
        <v>-1.9078926447676592E-4</v>
      </c>
    </row>
    <row r="1108" spans="2:6">
      <c r="B1108" s="107">
        <v>40542</v>
      </c>
      <c r="C1108">
        <v>48.976599999999998</v>
      </c>
      <c r="D1108" s="109">
        <f t="shared" si="48"/>
        <v>1.1651113533807517E-2</v>
      </c>
      <c r="E1108">
        <v>1257.8800000000001</v>
      </c>
      <c r="F1108" s="111">
        <f t="shared" si="49"/>
        <v>-1.5082236221825075E-3</v>
      </c>
    </row>
    <row r="1109" spans="2:6">
      <c r="B1109" s="107">
        <v>40541</v>
      </c>
      <c r="C1109">
        <v>48.41254</v>
      </c>
      <c r="D1109" s="109">
        <f t="shared" si="48"/>
        <v>-7.3779462884525707E-3</v>
      </c>
      <c r="E1109">
        <v>1259.7800299999999</v>
      </c>
      <c r="F1109" s="111">
        <f t="shared" si="49"/>
        <v>1.0091457278118363E-3</v>
      </c>
    </row>
    <row r="1110" spans="2:6">
      <c r="B1110" s="107">
        <v>40540</v>
      </c>
      <c r="C1110">
        <v>48.772379999999998</v>
      </c>
      <c r="D1110" s="109">
        <f t="shared" si="48"/>
        <v>-1.3765758857779292E-2</v>
      </c>
      <c r="E1110">
        <v>1258.51001</v>
      </c>
      <c r="F1110" s="111">
        <f t="shared" si="49"/>
        <v>7.7132335285314305E-4</v>
      </c>
    </row>
    <row r="1111" spans="2:6">
      <c r="B1111" s="107">
        <v>40539</v>
      </c>
      <c r="C1111">
        <v>49.453139999999998</v>
      </c>
      <c r="D1111" s="109">
        <f t="shared" si="48"/>
        <v>8.7283629265991636E-3</v>
      </c>
      <c r="E1111">
        <v>1257.5400400000001</v>
      </c>
      <c r="F1111" s="111">
        <f t="shared" si="49"/>
        <v>6.1269761988765352E-4</v>
      </c>
    </row>
    <row r="1112" spans="2:6">
      <c r="B1112" s="107">
        <v>40535</v>
      </c>
      <c r="C1112">
        <v>49.025230000000001</v>
      </c>
      <c r="D1112" s="109">
        <f t="shared" si="48"/>
        <v>-1.1762441101620178E-2</v>
      </c>
      <c r="E1112">
        <v>1256.7700199999999</v>
      </c>
      <c r="F1112" s="111">
        <f t="shared" si="49"/>
        <v>-1.6443313283101924E-3</v>
      </c>
    </row>
    <row r="1113" spans="2:6">
      <c r="B1113" s="107">
        <v>40534</v>
      </c>
      <c r="C1113">
        <v>49.608750000000001</v>
      </c>
      <c r="D1113" s="109">
        <f t="shared" si="48"/>
        <v>-1.2199769660129232E-2</v>
      </c>
      <c r="E1113">
        <v>1258.83997</v>
      </c>
      <c r="F1113" s="111">
        <f t="shared" si="49"/>
        <v>3.3795552906034916E-3</v>
      </c>
    </row>
    <row r="1114" spans="2:6">
      <c r="B1114" s="107">
        <v>40533</v>
      </c>
      <c r="C1114">
        <v>50.221440000000001</v>
      </c>
      <c r="D1114" s="109">
        <f t="shared" si="48"/>
        <v>4.9380043545306861E-2</v>
      </c>
      <c r="E1114">
        <v>1254.59998</v>
      </c>
      <c r="F1114" s="111">
        <f t="shared" si="49"/>
        <v>6.0301025124322675E-3</v>
      </c>
    </row>
    <row r="1115" spans="2:6">
      <c r="B1115" s="107">
        <v>40532</v>
      </c>
      <c r="C1115">
        <v>47.858199999999997</v>
      </c>
      <c r="D1115" s="109">
        <f t="shared" si="48"/>
        <v>6.9574412977067776E-3</v>
      </c>
      <c r="E1115">
        <v>1247.07996</v>
      </c>
      <c r="F1115" s="111">
        <f t="shared" si="49"/>
        <v>2.548359546550181E-3</v>
      </c>
    </row>
    <row r="1116" spans="2:6">
      <c r="B1116" s="107">
        <v>40529</v>
      </c>
      <c r="C1116">
        <v>47.527529999999999</v>
      </c>
      <c r="D1116" s="109">
        <f t="shared" si="48"/>
        <v>3.6967440776068923E-3</v>
      </c>
      <c r="E1116">
        <v>1243.91003</v>
      </c>
      <c r="F1116" s="111">
        <f t="shared" si="49"/>
        <v>8.3679709060490261E-4</v>
      </c>
    </row>
    <row r="1117" spans="2:6">
      <c r="B1117" s="107">
        <v>40528</v>
      </c>
      <c r="C1117">
        <v>47.35248</v>
      </c>
      <c r="D1117" s="109">
        <f t="shared" si="48"/>
        <v>1.0585299923233666E-2</v>
      </c>
      <c r="E1117">
        <v>1242.8699999999999</v>
      </c>
      <c r="F1117" s="111">
        <f t="shared" si="49"/>
        <v>6.1850992314806197E-3</v>
      </c>
    </row>
    <row r="1118" spans="2:6">
      <c r="B1118" s="107">
        <v>40527</v>
      </c>
      <c r="C1118">
        <v>46.856490000000001</v>
      </c>
      <c r="D1118" s="109">
        <f t="shared" si="48"/>
        <v>-2.4301420574455897E-2</v>
      </c>
      <c r="E1118">
        <v>1235.2299800000001</v>
      </c>
      <c r="F1118" s="111">
        <f t="shared" si="49"/>
        <v>-5.1224560069536686E-3</v>
      </c>
    </row>
    <row r="1119" spans="2:6">
      <c r="B1119" s="107">
        <v>40526</v>
      </c>
      <c r="C1119">
        <v>48.023530000000001</v>
      </c>
      <c r="D1119" s="109">
        <f t="shared" si="48"/>
        <v>-9.8253486696716838E-3</v>
      </c>
      <c r="E1119">
        <v>1241.58997</v>
      </c>
      <c r="F1119" s="111">
        <f t="shared" si="49"/>
        <v>9.109604795305799E-4</v>
      </c>
    </row>
    <row r="1120" spans="2:6">
      <c r="B1120" s="107">
        <v>40525</v>
      </c>
      <c r="C1120">
        <v>48.500059999999998</v>
      </c>
      <c r="D1120" s="109">
        <f t="shared" si="48"/>
        <v>5.4434850245079101E-3</v>
      </c>
      <c r="E1120">
        <v>1240.4599599999999</v>
      </c>
      <c r="F1120" s="111">
        <f t="shared" si="49"/>
        <v>4.8323120794426895E-5</v>
      </c>
    </row>
    <row r="1121" spans="2:6">
      <c r="B1121" s="107">
        <v>40522</v>
      </c>
      <c r="C1121">
        <v>48.237479999999998</v>
      </c>
      <c r="D1121" s="109">
        <f t="shared" si="48"/>
        <v>4.1141931635014929E-2</v>
      </c>
      <c r="E1121">
        <v>1240.40002</v>
      </c>
      <c r="F1121" s="111">
        <f t="shared" si="49"/>
        <v>6.0016382806164156E-3</v>
      </c>
    </row>
    <row r="1122" spans="2:6">
      <c r="B1122" s="107">
        <v>40521</v>
      </c>
      <c r="C1122">
        <v>46.331319999999998</v>
      </c>
      <c r="D1122" s="109">
        <f t="shared" si="48"/>
        <v>-5.220457735849302E-3</v>
      </c>
      <c r="E1122">
        <v>1233</v>
      </c>
      <c r="F1122" s="111">
        <f t="shared" si="49"/>
        <v>3.8427474881278525E-3</v>
      </c>
    </row>
    <row r="1123" spans="2:6">
      <c r="B1123" s="107">
        <v>40520</v>
      </c>
      <c r="C1123">
        <v>46.574460000000002</v>
      </c>
      <c r="D1123" s="109">
        <f t="shared" si="48"/>
        <v>2.9320625432025685E-3</v>
      </c>
      <c r="E1123">
        <v>1228.2800299999999</v>
      </c>
      <c r="F1123" s="111">
        <f t="shared" si="49"/>
        <v>3.701760980592357E-3</v>
      </c>
    </row>
    <row r="1124" spans="2:6">
      <c r="B1124" s="107">
        <v>40519</v>
      </c>
      <c r="C1124">
        <v>46.438299999999998</v>
      </c>
      <c r="D1124" s="109">
        <f t="shared" si="48"/>
        <v>6.2854011699854282E-4</v>
      </c>
      <c r="E1124">
        <v>1223.75</v>
      </c>
      <c r="F1124" s="111">
        <f t="shared" si="49"/>
        <v>5.1507619857422754E-4</v>
      </c>
    </row>
    <row r="1125" spans="2:6">
      <c r="B1125" s="107">
        <v>40518</v>
      </c>
      <c r="C1125">
        <v>46.409129999999998</v>
      </c>
      <c r="D1125" s="109">
        <f t="shared" si="48"/>
        <v>-1.2212736032583809E-2</v>
      </c>
      <c r="E1125">
        <v>1223.1199999999999</v>
      </c>
      <c r="F1125" s="111">
        <f t="shared" si="49"/>
        <v>-1.2982339100108399E-3</v>
      </c>
    </row>
    <row r="1126" spans="2:6">
      <c r="B1126" s="107">
        <v>40515</v>
      </c>
      <c r="C1126">
        <v>46.98292</v>
      </c>
      <c r="D1126" s="109">
        <f t="shared" si="48"/>
        <v>6.4584568210528503E-3</v>
      </c>
      <c r="E1126">
        <v>1224.7099599999999</v>
      </c>
      <c r="F1126" s="111">
        <f t="shared" si="49"/>
        <v>2.603235222960514E-3</v>
      </c>
    </row>
    <row r="1127" spans="2:6">
      <c r="B1127" s="107">
        <v>40514</v>
      </c>
      <c r="C1127">
        <v>46.681429999999999</v>
      </c>
      <c r="D1127" s="109">
        <f t="shared" si="48"/>
        <v>2.3454095609345454E-2</v>
      </c>
      <c r="E1127">
        <v>1221.5300299999999</v>
      </c>
      <c r="F1127" s="111">
        <f t="shared" si="49"/>
        <v>1.2818559984849829E-2</v>
      </c>
    </row>
    <row r="1128" spans="2:6">
      <c r="B1128" s="107">
        <v>40513</v>
      </c>
      <c r="C1128">
        <v>45.611649999999997</v>
      </c>
      <c r="D1128" s="109">
        <f t="shared" si="48"/>
        <v>5.1569539292718708E-2</v>
      </c>
      <c r="E1128">
        <v>1206.0699500000001</v>
      </c>
      <c r="F1128" s="111">
        <f t="shared" si="49"/>
        <v>2.1616957281904318E-2</v>
      </c>
    </row>
    <row r="1129" spans="2:6">
      <c r="B1129" s="107">
        <v>40512</v>
      </c>
      <c r="C1129">
        <v>43.374830000000003</v>
      </c>
      <c r="D1129" s="109">
        <f t="shared" si="48"/>
        <v>-1.3710781348771404E-2</v>
      </c>
      <c r="E1129">
        <v>1180.5500500000001</v>
      </c>
      <c r="F1129" s="111">
        <f t="shared" si="49"/>
        <v>-6.0702161541875028E-3</v>
      </c>
    </row>
    <row r="1130" spans="2:6">
      <c r="B1130" s="107">
        <v>40511</v>
      </c>
      <c r="C1130">
        <v>43.977800000000002</v>
      </c>
      <c r="D1130" s="109">
        <f t="shared" si="48"/>
        <v>6.0066036497128418E-3</v>
      </c>
      <c r="E1130">
        <v>1187.76001</v>
      </c>
      <c r="F1130" s="111">
        <f t="shared" si="49"/>
        <v>-1.3788548616302148E-3</v>
      </c>
    </row>
    <row r="1131" spans="2:6">
      <c r="B1131" s="107">
        <v>40508</v>
      </c>
      <c r="C1131">
        <v>43.715220000000002</v>
      </c>
      <c r="D1131" s="109">
        <f t="shared" si="48"/>
        <v>-1.3329961435632788E-3</v>
      </c>
      <c r="E1131">
        <v>1189.40002</v>
      </c>
      <c r="F1131" s="111">
        <f t="shared" si="49"/>
        <v>-7.4685694074112805E-3</v>
      </c>
    </row>
    <row r="1132" spans="2:6">
      <c r="B1132" s="107">
        <v>40506</v>
      </c>
      <c r="C1132">
        <v>43.773569999999999</v>
      </c>
      <c r="D1132" s="109">
        <f t="shared" si="48"/>
        <v>4.7718902016951725E-2</v>
      </c>
      <c r="E1132">
        <v>1198.34998</v>
      </c>
      <c r="F1132" s="111">
        <f t="shared" si="49"/>
        <v>1.4922971634886319E-2</v>
      </c>
    </row>
    <row r="1133" spans="2:6">
      <c r="B1133" s="107">
        <v>40505</v>
      </c>
      <c r="C1133">
        <v>41.779879999999999</v>
      </c>
      <c r="D1133" s="109">
        <f t="shared" si="48"/>
        <v>9.161219885702173E-3</v>
      </c>
      <c r="E1133">
        <v>1180.7299800000001</v>
      </c>
      <c r="F1133" s="111">
        <f t="shared" si="49"/>
        <v>-1.4284036623022293E-2</v>
      </c>
    </row>
    <row r="1134" spans="2:6">
      <c r="B1134" s="107">
        <v>40504</v>
      </c>
      <c r="C1134">
        <v>41.400599999999997</v>
      </c>
      <c r="D1134" s="109">
        <f t="shared" si="48"/>
        <v>6.4782594606105498E-2</v>
      </c>
      <c r="E1134">
        <v>1197.83997</v>
      </c>
      <c r="F1134" s="111">
        <f t="shared" si="49"/>
        <v>-1.5753628162230927E-3</v>
      </c>
    </row>
    <row r="1135" spans="2:6">
      <c r="B1135" s="107">
        <v>40501</v>
      </c>
      <c r="C1135">
        <v>38.881740000000001</v>
      </c>
      <c r="D1135" s="109">
        <f t="shared" si="48"/>
        <v>3.8711094156229343E-2</v>
      </c>
      <c r="E1135">
        <v>1199.7299800000001</v>
      </c>
      <c r="F1135" s="111">
        <f t="shared" si="49"/>
        <v>2.5403739919465608E-3</v>
      </c>
    </row>
    <row r="1136" spans="2:6">
      <c r="B1136" s="107">
        <v>40500</v>
      </c>
      <c r="C1136">
        <v>37.432679999999998</v>
      </c>
      <c r="D1136" s="109">
        <f t="shared" si="48"/>
        <v>1.4764126928876031E-2</v>
      </c>
      <c r="E1136">
        <v>1196.68994</v>
      </c>
      <c r="F1136" s="111">
        <f t="shared" si="49"/>
        <v>1.535730869998833E-2</v>
      </c>
    </row>
    <row r="1137" spans="2:6">
      <c r="B1137" s="107">
        <v>40499</v>
      </c>
      <c r="C1137">
        <v>36.888060000000003</v>
      </c>
      <c r="D1137" s="109">
        <f t="shared" si="48"/>
        <v>-7.5875522496716818E-3</v>
      </c>
      <c r="E1137">
        <v>1178.58997</v>
      </c>
      <c r="F1137" s="111">
        <f t="shared" si="49"/>
        <v>2.1216287859606426E-4</v>
      </c>
    </row>
    <row r="1138" spans="2:6">
      <c r="B1138" s="107">
        <v>40498</v>
      </c>
      <c r="C1138">
        <v>37.170090000000002</v>
      </c>
      <c r="D1138" s="109">
        <f t="shared" si="48"/>
        <v>-2.425316959446874E-2</v>
      </c>
      <c r="E1138">
        <v>1178.33997</v>
      </c>
      <c r="F1138" s="111">
        <f t="shared" si="49"/>
        <v>-1.6205410144020042E-2</v>
      </c>
    </row>
    <row r="1139" spans="2:6">
      <c r="B1139" s="107">
        <v>40497</v>
      </c>
      <c r="C1139">
        <v>38.093989999999998</v>
      </c>
      <c r="D1139" s="109">
        <f t="shared" si="48"/>
        <v>-1.010887661853899E-2</v>
      </c>
      <c r="E1139">
        <v>1197.75</v>
      </c>
      <c r="F1139" s="111">
        <f t="shared" si="49"/>
        <v>-1.2174348518585603E-3</v>
      </c>
    </row>
    <row r="1140" spans="2:6">
      <c r="B1140" s="107">
        <v>40494</v>
      </c>
      <c r="C1140">
        <v>38.48301</v>
      </c>
      <c r="D1140" s="109">
        <f t="shared" si="48"/>
        <v>-2.1029182139962563E-2</v>
      </c>
      <c r="E1140">
        <v>1199.2099599999999</v>
      </c>
      <c r="F1140" s="111">
        <f t="shared" si="49"/>
        <v>-1.1808493768363983E-2</v>
      </c>
    </row>
    <row r="1141" spans="2:6">
      <c r="B1141" s="107">
        <v>40493</v>
      </c>
      <c r="C1141">
        <v>39.309660000000001</v>
      </c>
      <c r="D1141" s="109">
        <f t="shared" si="48"/>
        <v>3.4758191124102731E-3</v>
      </c>
      <c r="E1141">
        <v>1213.5400400000001</v>
      </c>
      <c r="F1141" s="111">
        <f t="shared" si="49"/>
        <v>-4.242125008972455E-3</v>
      </c>
    </row>
    <row r="1142" spans="2:6">
      <c r="B1142" s="107">
        <v>40492</v>
      </c>
      <c r="C1142">
        <v>39.173499999999997</v>
      </c>
      <c r="D1142" s="109">
        <f t="shared" si="48"/>
        <v>1.0030040358916643E-2</v>
      </c>
      <c r="E1142">
        <v>1218.7099599999999</v>
      </c>
      <c r="F1142" s="111">
        <f t="shared" si="49"/>
        <v>4.3760836595337039E-3</v>
      </c>
    </row>
    <row r="1143" spans="2:6">
      <c r="B1143" s="107">
        <v>40491</v>
      </c>
      <c r="C1143">
        <v>38.784489999999998</v>
      </c>
      <c r="D1143" s="109">
        <f t="shared" si="48"/>
        <v>-3.6016449948749231E-2</v>
      </c>
      <c r="E1143">
        <v>1213.40002</v>
      </c>
      <c r="F1143" s="111">
        <f t="shared" si="49"/>
        <v>-8.0523032904148452E-3</v>
      </c>
    </row>
    <row r="1144" spans="2:6">
      <c r="B1144" s="107">
        <v>40490</v>
      </c>
      <c r="C1144">
        <v>40.233559999999997</v>
      </c>
      <c r="D1144" s="109">
        <f t="shared" si="48"/>
        <v>1.4523881766889889E-3</v>
      </c>
      <c r="E1144">
        <v>1223.25</v>
      </c>
      <c r="F1144" s="111">
        <f t="shared" si="49"/>
        <v>-2.1209610004643141E-3</v>
      </c>
    </row>
    <row r="1145" spans="2:6">
      <c r="B1145" s="107">
        <v>40487</v>
      </c>
      <c r="C1145">
        <v>40.17521</v>
      </c>
      <c r="D1145" s="109">
        <f t="shared" si="48"/>
        <v>2.3791855475747942E-2</v>
      </c>
      <c r="E1145">
        <v>1225.84998</v>
      </c>
      <c r="F1145" s="111">
        <f t="shared" si="49"/>
        <v>3.9227554457885866E-3</v>
      </c>
    </row>
    <row r="1146" spans="2:6">
      <c r="B1146" s="107">
        <v>40486</v>
      </c>
      <c r="C1146">
        <v>39.241579999999999</v>
      </c>
      <c r="D1146" s="109">
        <f t="shared" si="48"/>
        <v>5.9055055421379767E-2</v>
      </c>
      <c r="E1146">
        <v>1221.06006</v>
      </c>
      <c r="F1146" s="111">
        <f t="shared" si="49"/>
        <v>1.9282864846334357E-2</v>
      </c>
    </row>
    <row r="1147" spans="2:6">
      <c r="B1147" s="107">
        <v>40485</v>
      </c>
      <c r="C1147">
        <v>37.05339</v>
      </c>
      <c r="D1147" s="109">
        <f t="shared" si="48"/>
        <v>1.7628212170214187E-2</v>
      </c>
      <c r="E1147">
        <v>1197.9599599999999</v>
      </c>
      <c r="F1147" s="111">
        <f t="shared" si="49"/>
        <v>3.678050038039117E-3</v>
      </c>
    </row>
    <row r="1148" spans="2:6">
      <c r="B1148" s="107">
        <v>40484</v>
      </c>
      <c r="C1148">
        <v>36.411520000000003</v>
      </c>
      <c r="D1148" s="109">
        <f t="shared" si="48"/>
        <v>2.1412616159315208E-3</v>
      </c>
      <c r="E1148">
        <v>1193.5699500000001</v>
      </c>
      <c r="F1148" s="111">
        <f t="shared" si="49"/>
        <v>7.7592917813539171E-3</v>
      </c>
    </row>
    <row r="1149" spans="2:6">
      <c r="B1149" s="107">
        <v>40483</v>
      </c>
      <c r="C1149">
        <v>36.33372</v>
      </c>
      <c r="D1149" s="109">
        <f t="shared" si="48"/>
        <v>-7.1750422856955431E-3</v>
      </c>
      <c r="E1149">
        <v>1184.3800000000001</v>
      </c>
      <c r="F1149" s="111">
        <f t="shared" si="49"/>
        <v>9.4652907267621042E-4</v>
      </c>
    </row>
    <row r="1150" spans="2:6">
      <c r="B1150" s="107">
        <v>40480</v>
      </c>
      <c r="C1150">
        <v>36.596299999999999</v>
      </c>
      <c r="D1150" s="109">
        <f t="shared" si="48"/>
        <v>-1.103803943060293E-2</v>
      </c>
      <c r="E1150">
        <v>1183.26001</v>
      </c>
      <c r="F1150" s="111">
        <f t="shared" si="49"/>
        <v>-4.3928769435308968E-4</v>
      </c>
    </row>
    <row r="1151" spans="2:6">
      <c r="B1151" s="107">
        <v>40479</v>
      </c>
      <c r="C1151">
        <v>37.004759999999997</v>
      </c>
      <c r="D1151" s="109">
        <f t="shared" si="48"/>
        <v>4.7532290515533626E-3</v>
      </c>
      <c r="E1151">
        <v>1183.7800299999999</v>
      </c>
      <c r="F1151" s="111">
        <f t="shared" si="49"/>
        <v>1.1248509926360542E-3</v>
      </c>
    </row>
    <row r="1152" spans="2:6">
      <c r="B1152" s="107">
        <v>40478</v>
      </c>
      <c r="C1152">
        <v>36.829700000000003</v>
      </c>
      <c r="D1152" s="109">
        <f t="shared" si="48"/>
        <v>1.8284479426504685E-2</v>
      </c>
      <c r="E1152">
        <v>1182.4499499999999</v>
      </c>
      <c r="F1152" s="111">
        <f t="shared" si="49"/>
        <v>-2.6905805919961575E-3</v>
      </c>
    </row>
    <row r="1153" spans="2:6">
      <c r="B1153" s="107">
        <v>40477</v>
      </c>
      <c r="C1153">
        <v>36.168379999999999</v>
      </c>
      <c r="D1153" s="109">
        <f t="shared" si="48"/>
        <v>-5.8808751718553605E-3</v>
      </c>
      <c r="E1153">
        <v>1185.6400100000001</v>
      </c>
      <c r="F1153" s="111">
        <f t="shared" si="49"/>
        <v>1.6877245660653445E-5</v>
      </c>
    </row>
    <row r="1154" spans="2:6">
      <c r="B1154" s="107">
        <v>40476</v>
      </c>
      <c r="C1154">
        <v>36.382339999999999</v>
      </c>
      <c r="D1154" s="109">
        <f t="shared" si="48"/>
        <v>1.1354349322341599E-2</v>
      </c>
      <c r="E1154">
        <v>1185.6199999999999</v>
      </c>
      <c r="F1154" s="111">
        <f t="shared" si="49"/>
        <v>2.1469723821540029E-3</v>
      </c>
    </row>
    <row r="1155" spans="2:6">
      <c r="B1155" s="107">
        <v>40473</v>
      </c>
      <c r="C1155">
        <v>35.973880000000001</v>
      </c>
      <c r="D1155" s="109">
        <f t="shared" si="48"/>
        <v>-3.5021859923086299E-3</v>
      </c>
      <c r="E1155">
        <v>1183.07996</v>
      </c>
      <c r="F1155" s="111">
        <f t="shared" si="49"/>
        <v>2.3892616678591549E-3</v>
      </c>
    </row>
    <row r="1156" spans="2:6">
      <c r="B1156" s="107">
        <v>40472</v>
      </c>
      <c r="C1156">
        <v>36.10031</v>
      </c>
      <c r="D1156" s="109">
        <f t="shared" si="48"/>
        <v>-3.1062370596941041E-2</v>
      </c>
      <c r="E1156">
        <v>1180.26001</v>
      </c>
      <c r="F1156" s="111">
        <f t="shared" si="49"/>
        <v>1.7739120237686523E-3</v>
      </c>
    </row>
    <row r="1157" spans="2:6">
      <c r="B1157" s="107">
        <v>40471</v>
      </c>
      <c r="C1157">
        <v>37.257620000000003</v>
      </c>
      <c r="D1157" s="109">
        <f t="shared" si="48"/>
        <v>4.7205466072067267E-3</v>
      </c>
      <c r="E1157">
        <v>1178.17004</v>
      </c>
      <c r="F1157" s="111">
        <f t="shared" si="49"/>
        <v>1.0524075640722547E-2</v>
      </c>
    </row>
    <row r="1158" spans="2:6">
      <c r="B1158" s="107">
        <v>40470</v>
      </c>
      <c r="C1158">
        <v>37.082569999999997</v>
      </c>
      <c r="D1158" s="109">
        <f t="shared" si="48"/>
        <v>-2.004617197050633E-2</v>
      </c>
      <c r="E1158">
        <v>1165.90002</v>
      </c>
      <c r="F1158" s="111">
        <f t="shared" si="49"/>
        <v>-1.5877253197060882E-2</v>
      </c>
    </row>
    <row r="1159" spans="2:6">
      <c r="B1159" s="107">
        <v>40469</v>
      </c>
      <c r="C1159">
        <v>37.841140000000003</v>
      </c>
      <c r="D1159" s="109">
        <f t="shared" si="48"/>
        <v>-7.6511358957749472E-3</v>
      </c>
      <c r="E1159">
        <v>1184.7099599999999</v>
      </c>
      <c r="F1159" s="111">
        <f t="shared" si="49"/>
        <v>7.2437450026140602E-3</v>
      </c>
    </row>
    <row r="1160" spans="2:6">
      <c r="B1160" s="107">
        <v>40466</v>
      </c>
      <c r="C1160">
        <v>38.132899999999999</v>
      </c>
      <c r="D1160" s="109">
        <f t="shared" si="48"/>
        <v>1.3178286952887445E-2</v>
      </c>
      <c r="E1160">
        <v>1176.18994</v>
      </c>
      <c r="F1160" s="111">
        <f t="shared" si="49"/>
        <v>2.0274830495148059E-3</v>
      </c>
    </row>
    <row r="1161" spans="2:6">
      <c r="B1161" s="107">
        <v>40465</v>
      </c>
      <c r="C1161">
        <v>37.63691</v>
      </c>
      <c r="D1161" s="109">
        <f t="shared" ref="D1161:D1224" si="50">(C1161-C1162)/C1162</f>
        <v>-3.1046391046586762E-2</v>
      </c>
      <c r="E1161">
        <v>1173.81006</v>
      </c>
      <c r="F1161" s="111">
        <f t="shared" ref="F1161:F1224" si="51">(E1161-E1162)/E1162</f>
        <v>-3.6413887385007325E-3</v>
      </c>
    </row>
    <row r="1162" spans="2:6">
      <c r="B1162" s="107">
        <v>40464</v>
      </c>
      <c r="C1162">
        <v>38.842840000000002</v>
      </c>
      <c r="D1162" s="109">
        <f t="shared" si="50"/>
        <v>-3.2443512542061769E-3</v>
      </c>
      <c r="E1162">
        <v>1178.09998</v>
      </c>
      <c r="F1162" s="111">
        <f t="shared" si="51"/>
        <v>7.1210236692508403E-3</v>
      </c>
    </row>
    <row r="1163" spans="2:6">
      <c r="B1163" s="107">
        <v>40463</v>
      </c>
      <c r="C1163">
        <v>38.969270000000002</v>
      </c>
      <c r="D1163" s="109">
        <f t="shared" si="50"/>
        <v>1.5973530486816098E-2</v>
      </c>
      <c r="E1163">
        <v>1169.7700199999999</v>
      </c>
      <c r="F1163" s="111">
        <f t="shared" si="51"/>
        <v>3.8187538109167945E-3</v>
      </c>
    </row>
    <row r="1164" spans="2:6">
      <c r="B1164" s="107">
        <v>40462</v>
      </c>
      <c r="C1164">
        <v>38.356580000000001</v>
      </c>
      <c r="D1164" s="109">
        <f t="shared" si="50"/>
        <v>-2.0242293488276987E-3</v>
      </c>
      <c r="E1164">
        <v>1165.3199500000001</v>
      </c>
      <c r="F1164" s="111">
        <f t="shared" si="51"/>
        <v>1.4584388025845987E-4</v>
      </c>
    </row>
    <row r="1165" spans="2:6">
      <c r="B1165" s="107">
        <v>40459</v>
      </c>
      <c r="C1165">
        <v>38.434379999999997</v>
      </c>
      <c r="D1165" s="109">
        <f t="shared" si="50"/>
        <v>6.0939515948716279E-2</v>
      </c>
      <c r="E1165">
        <v>1165.15002</v>
      </c>
      <c r="F1165" s="111">
        <f t="shared" si="51"/>
        <v>6.1222731401340434E-3</v>
      </c>
    </row>
    <row r="1166" spans="2:6">
      <c r="B1166" s="107">
        <v>40458</v>
      </c>
      <c r="C1166">
        <v>36.226739999999999</v>
      </c>
      <c r="D1166" s="109">
        <f t="shared" si="50"/>
        <v>-1.8757497626383575E-3</v>
      </c>
      <c r="E1166">
        <v>1158.06006</v>
      </c>
      <c r="F1166" s="111">
        <f t="shared" si="51"/>
        <v>-1.6465167628435084E-3</v>
      </c>
    </row>
    <row r="1167" spans="2:6">
      <c r="B1167" s="107">
        <v>40457</v>
      </c>
      <c r="C1167">
        <v>36.294820000000001</v>
      </c>
      <c r="D1167" s="109">
        <f t="shared" si="50"/>
        <v>-8.5016047902489178E-3</v>
      </c>
      <c r="E1167">
        <v>1159.9699700000001</v>
      </c>
      <c r="F1167" s="111">
        <f t="shared" si="51"/>
        <v>-6.7200516907163206E-4</v>
      </c>
    </row>
    <row r="1168" spans="2:6">
      <c r="B1168" s="107">
        <v>40456</v>
      </c>
      <c r="C1168">
        <v>36.606029999999997</v>
      </c>
      <c r="D1168" s="109">
        <f t="shared" si="50"/>
        <v>3.7486487972524053E-2</v>
      </c>
      <c r="E1168">
        <v>1160.75</v>
      </c>
      <c r="F1168" s="111">
        <f t="shared" si="51"/>
        <v>2.0861339959508462E-2</v>
      </c>
    </row>
    <row r="1169" spans="2:6">
      <c r="B1169" s="107">
        <v>40455</v>
      </c>
      <c r="C1169">
        <v>35.283380000000001</v>
      </c>
      <c r="D1169" s="109">
        <f t="shared" si="50"/>
        <v>-2.0253920969167009E-2</v>
      </c>
      <c r="E1169">
        <v>1137.0300299999999</v>
      </c>
      <c r="F1169" s="111">
        <f t="shared" si="51"/>
        <v>-8.0349316725550086E-3</v>
      </c>
    </row>
    <row r="1170" spans="2:6">
      <c r="B1170" s="107">
        <v>40452</v>
      </c>
      <c r="C1170">
        <v>36.012779999999999</v>
      </c>
      <c r="D1170" s="109">
        <f t="shared" si="50"/>
        <v>1.0368311280518424E-2</v>
      </c>
      <c r="E1170">
        <v>1146.23999</v>
      </c>
      <c r="F1170" s="111">
        <f t="shared" si="51"/>
        <v>4.4164390298125147E-3</v>
      </c>
    </row>
    <row r="1171" spans="2:6">
      <c r="B1171" s="107">
        <v>40451</v>
      </c>
      <c r="C1171">
        <v>35.643219999999999</v>
      </c>
      <c r="D1171" s="109">
        <f t="shared" si="50"/>
        <v>-2.6301950798816413E-2</v>
      </c>
      <c r="E1171">
        <v>1141.1999499999999</v>
      </c>
      <c r="F1171" s="111">
        <f t="shared" si="51"/>
        <v>-3.0837228531396758E-3</v>
      </c>
    </row>
    <row r="1172" spans="2:6">
      <c r="B1172" s="107">
        <v>40450</v>
      </c>
      <c r="C1172">
        <v>36.606029999999997</v>
      </c>
      <c r="D1172" s="109">
        <f t="shared" si="50"/>
        <v>4.6136747559344798E-2</v>
      </c>
      <c r="E1172">
        <v>1144.7299800000001</v>
      </c>
      <c r="F1172" s="111">
        <f t="shared" si="51"/>
        <v>-2.587758237682136E-3</v>
      </c>
    </row>
    <row r="1173" spans="2:6">
      <c r="B1173" s="107">
        <v>40449</v>
      </c>
      <c r="C1173">
        <v>34.991630000000001</v>
      </c>
      <c r="D1173" s="109">
        <f t="shared" si="50"/>
        <v>2.5077283184497235E-3</v>
      </c>
      <c r="E1173">
        <v>1147.6999499999999</v>
      </c>
      <c r="F1173" s="111">
        <f t="shared" si="51"/>
        <v>4.8503886097291801E-3</v>
      </c>
    </row>
    <row r="1174" spans="2:6">
      <c r="B1174" s="107">
        <v>40448</v>
      </c>
      <c r="C1174">
        <v>34.9041</v>
      </c>
      <c r="D1174" s="109">
        <f t="shared" si="50"/>
        <v>1.1157257093032066E-3</v>
      </c>
      <c r="E1174">
        <v>1142.16003</v>
      </c>
      <c r="F1174" s="111">
        <f t="shared" si="51"/>
        <v>-5.6674325727168488E-3</v>
      </c>
    </row>
    <row r="1175" spans="2:6">
      <c r="B1175" s="107">
        <v>40445</v>
      </c>
      <c r="C1175">
        <v>34.865200000000002</v>
      </c>
      <c r="D1175" s="109">
        <f t="shared" si="50"/>
        <v>1.6156696788333702E-2</v>
      </c>
      <c r="E1175">
        <v>1148.67004</v>
      </c>
      <c r="F1175" s="111">
        <f t="shared" si="51"/>
        <v>2.1194385682970201E-2</v>
      </c>
    </row>
    <row r="1176" spans="2:6">
      <c r="B1176" s="107">
        <v>40444</v>
      </c>
      <c r="C1176">
        <v>34.310850000000002</v>
      </c>
      <c r="D1176" s="109">
        <f t="shared" si="50"/>
        <v>-1.3146881868756125E-2</v>
      </c>
      <c r="E1176">
        <v>1124.82996</v>
      </c>
      <c r="F1176" s="111">
        <f t="shared" si="51"/>
        <v>-8.3313377208976067E-3</v>
      </c>
    </row>
    <row r="1177" spans="2:6">
      <c r="B1177" s="107">
        <v>40443</v>
      </c>
      <c r="C1177">
        <v>34.767940000000003</v>
      </c>
      <c r="D1177" s="109">
        <f t="shared" si="50"/>
        <v>7.8937512102979189E-3</v>
      </c>
      <c r="E1177">
        <v>1134.2800299999999</v>
      </c>
      <c r="F1177" s="111">
        <f t="shared" si="51"/>
        <v>-4.825492511919164E-3</v>
      </c>
    </row>
    <row r="1178" spans="2:6">
      <c r="B1178" s="107">
        <v>40442</v>
      </c>
      <c r="C1178">
        <v>34.495640000000002</v>
      </c>
      <c r="D1178" s="109">
        <f t="shared" si="50"/>
        <v>-6.0646090309734516E-2</v>
      </c>
      <c r="E1178">
        <v>1139.7800299999999</v>
      </c>
      <c r="F1178" s="111">
        <f t="shared" si="51"/>
        <v>-2.5640189571814122E-3</v>
      </c>
    </row>
    <row r="1179" spans="2:6">
      <c r="B1179" s="107">
        <v>40441</v>
      </c>
      <c r="C1179">
        <v>36.722729999999999</v>
      </c>
      <c r="D1179" s="109">
        <f t="shared" si="50"/>
        <v>-9.44384082794846E-3</v>
      </c>
      <c r="E1179">
        <v>1142.7099599999999</v>
      </c>
      <c r="F1179" s="111">
        <f t="shared" si="51"/>
        <v>1.5209792603251357E-2</v>
      </c>
    </row>
    <row r="1180" spans="2:6">
      <c r="B1180" s="107">
        <v>40438</v>
      </c>
      <c r="C1180">
        <v>37.072839999999999</v>
      </c>
      <c r="D1180" s="109">
        <f t="shared" si="50"/>
        <v>-3.0272180464894917E-2</v>
      </c>
      <c r="E1180">
        <v>1125.58997</v>
      </c>
      <c r="F1180" s="111">
        <f t="shared" si="51"/>
        <v>8.2686320771974782E-4</v>
      </c>
    </row>
    <row r="1181" spans="2:6">
      <c r="B1181" s="107">
        <v>40437</v>
      </c>
      <c r="C1181">
        <v>38.230150000000002</v>
      </c>
      <c r="D1181" s="109">
        <f t="shared" si="50"/>
        <v>-1.057129125504251E-2</v>
      </c>
      <c r="E1181">
        <v>1124.66003</v>
      </c>
      <c r="F1181" s="111">
        <f t="shared" si="51"/>
        <v>-3.643506788178428E-4</v>
      </c>
    </row>
    <row r="1182" spans="2:6">
      <c r="B1182" s="107">
        <v>40436</v>
      </c>
      <c r="C1182">
        <v>38.63861</v>
      </c>
      <c r="D1182" s="109">
        <f t="shared" si="50"/>
        <v>5.5680388583788888E-3</v>
      </c>
      <c r="E1182">
        <v>1125.0699500000001</v>
      </c>
      <c r="F1182" s="111">
        <f t="shared" si="51"/>
        <v>3.5411382310435E-3</v>
      </c>
    </row>
    <row r="1183" spans="2:6">
      <c r="B1183" s="107">
        <v>40435</v>
      </c>
      <c r="C1183">
        <v>38.424660000000003</v>
      </c>
      <c r="D1183" s="109">
        <f t="shared" si="50"/>
        <v>1.8561711866819586E-2</v>
      </c>
      <c r="E1183">
        <v>1121.09998</v>
      </c>
      <c r="F1183" s="111">
        <f t="shared" si="51"/>
        <v>-7.1311167282097103E-4</v>
      </c>
    </row>
    <row r="1184" spans="2:6">
      <c r="B1184" s="107">
        <v>40434</v>
      </c>
      <c r="C1184">
        <v>37.724429999999998</v>
      </c>
      <c r="D1184" s="109">
        <f t="shared" si="50"/>
        <v>5.0081210290812167E-2</v>
      </c>
      <c r="E1184">
        <v>1121.90002</v>
      </c>
      <c r="F1184" s="111">
        <f t="shared" si="51"/>
        <v>1.1130611007588151E-2</v>
      </c>
    </row>
    <row r="1185" spans="2:6">
      <c r="B1185" s="107">
        <v>40431</v>
      </c>
      <c r="C1185">
        <v>35.925249999999998</v>
      </c>
      <c r="D1185" s="109">
        <f t="shared" si="50"/>
        <v>-2.6614095613602857E-2</v>
      </c>
      <c r="E1185">
        <v>1109.5500500000001</v>
      </c>
      <c r="F1185" s="111">
        <f t="shared" si="51"/>
        <v>4.8633372790969362E-3</v>
      </c>
    </row>
    <row r="1186" spans="2:6">
      <c r="B1186" s="107">
        <v>40430</v>
      </c>
      <c r="C1186">
        <v>36.907510000000002</v>
      </c>
      <c r="D1186" s="109">
        <f t="shared" si="50"/>
        <v>1.1730117654798963E-2</v>
      </c>
      <c r="E1186">
        <v>1104.1800499999999</v>
      </c>
      <c r="F1186" s="111">
        <f t="shared" si="51"/>
        <v>4.8322822535878194E-3</v>
      </c>
    </row>
    <row r="1187" spans="2:6">
      <c r="B1187" s="107">
        <v>40429</v>
      </c>
      <c r="C1187">
        <v>36.479599999999998</v>
      </c>
      <c r="D1187" s="109">
        <f t="shared" si="50"/>
        <v>2.4583533683552906E-2</v>
      </c>
      <c r="E1187">
        <v>1098.8699999999999</v>
      </c>
      <c r="F1187" s="111">
        <f t="shared" si="51"/>
        <v>6.4386999864090863E-3</v>
      </c>
    </row>
    <row r="1188" spans="2:6">
      <c r="B1188" s="107">
        <v>40428</v>
      </c>
      <c r="C1188">
        <v>35.604320000000001</v>
      </c>
      <c r="D1188" s="109">
        <f t="shared" si="50"/>
        <v>-9.2016191465808996E-3</v>
      </c>
      <c r="E1188">
        <v>1091.83997</v>
      </c>
      <c r="F1188" s="111">
        <f t="shared" si="51"/>
        <v>-1.1471186214057011E-2</v>
      </c>
    </row>
    <row r="1189" spans="2:6">
      <c r="B1189" s="107">
        <v>40424</v>
      </c>
      <c r="C1189">
        <v>35.934980000000003</v>
      </c>
      <c r="D1189" s="109">
        <f t="shared" si="50"/>
        <v>2.610391538742695E-2</v>
      </c>
      <c r="E1189">
        <v>1104.51001</v>
      </c>
      <c r="F1189" s="111">
        <f t="shared" si="51"/>
        <v>1.3218998499568825E-2</v>
      </c>
    </row>
    <row r="1190" spans="2:6">
      <c r="B1190" s="107">
        <v>40423</v>
      </c>
      <c r="C1190">
        <v>35.020800000000001</v>
      </c>
      <c r="D1190" s="109">
        <f t="shared" si="50"/>
        <v>3.4472674682908405E-2</v>
      </c>
      <c r="E1190">
        <v>1090.09998</v>
      </c>
      <c r="F1190" s="111">
        <f t="shared" si="51"/>
        <v>9.0808390679968393E-3</v>
      </c>
    </row>
    <row r="1191" spans="2:6">
      <c r="B1191" s="107">
        <v>40422</v>
      </c>
      <c r="C1191">
        <v>33.853769999999997</v>
      </c>
      <c r="D1191" s="109">
        <f t="shared" si="50"/>
        <v>5.0709312748138273E-2</v>
      </c>
      <c r="E1191">
        <v>1080.2900400000001</v>
      </c>
      <c r="F1191" s="111">
        <f t="shared" si="51"/>
        <v>2.9504618356651191E-2</v>
      </c>
    </row>
    <row r="1192" spans="2:6">
      <c r="B1192" s="107">
        <v>40421</v>
      </c>
      <c r="C1192">
        <v>32.219920000000002</v>
      </c>
      <c r="D1192" s="109">
        <f t="shared" si="50"/>
        <v>-3.2982811241797666E-2</v>
      </c>
      <c r="E1192">
        <v>1049.32996</v>
      </c>
      <c r="F1192" s="111">
        <f t="shared" si="51"/>
        <v>3.9080195283527664E-4</v>
      </c>
    </row>
    <row r="1193" spans="2:6">
      <c r="B1193" s="107">
        <v>40420</v>
      </c>
      <c r="C1193">
        <v>33.318869999999997</v>
      </c>
      <c r="D1193" s="109">
        <f t="shared" si="50"/>
        <v>2.0471687899238137E-3</v>
      </c>
      <c r="E1193">
        <v>1048.92004</v>
      </c>
      <c r="F1193" s="111">
        <f t="shared" si="51"/>
        <v>-1.4719216263140279E-2</v>
      </c>
    </row>
    <row r="1194" spans="2:6">
      <c r="B1194" s="107">
        <v>40417</v>
      </c>
      <c r="C1194">
        <v>33.250799999999998</v>
      </c>
      <c r="D1194" s="109">
        <f t="shared" si="50"/>
        <v>-4.4438160399481376E-2</v>
      </c>
      <c r="E1194">
        <v>1064.58997</v>
      </c>
      <c r="F1194" s="111">
        <f t="shared" si="51"/>
        <v>1.6586773073091692E-2</v>
      </c>
    </row>
    <row r="1195" spans="2:6">
      <c r="B1195" s="107">
        <v>40416</v>
      </c>
      <c r="C1195">
        <v>34.79712</v>
      </c>
      <c r="D1195" s="109">
        <f t="shared" si="50"/>
        <v>-5.2436461014744792E-2</v>
      </c>
      <c r="E1195">
        <v>1047.2199700000001</v>
      </c>
      <c r="F1195" s="111">
        <f t="shared" si="51"/>
        <v>-7.6847908307274108E-3</v>
      </c>
    </row>
    <row r="1196" spans="2:6">
      <c r="B1196" s="107">
        <v>40415</v>
      </c>
      <c r="C1196">
        <v>36.722729999999999</v>
      </c>
      <c r="D1196" s="109">
        <f t="shared" si="50"/>
        <v>-1.3326358348701918E-2</v>
      </c>
      <c r="E1196">
        <v>1055.32996</v>
      </c>
      <c r="F1196" s="111">
        <f t="shared" si="51"/>
        <v>3.2893418388205177E-3</v>
      </c>
    </row>
    <row r="1197" spans="2:6">
      <c r="B1197" s="107">
        <v>40414</v>
      </c>
      <c r="C1197">
        <v>37.218719999999998</v>
      </c>
      <c r="D1197" s="109">
        <f t="shared" si="50"/>
        <v>-6.0397655810966344E-2</v>
      </c>
      <c r="E1197">
        <v>1051.8699999999999</v>
      </c>
      <c r="F1197" s="111">
        <f t="shared" si="51"/>
        <v>-1.4512432679812212E-2</v>
      </c>
    </row>
    <row r="1198" spans="2:6">
      <c r="B1198" s="107">
        <v>40413</v>
      </c>
      <c r="C1198">
        <v>39.611139999999999</v>
      </c>
      <c r="D1198" s="109">
        <f t="shared" si="50"/>
        <v>-1.8554266242385202E-2</v>
      </c>
      <c r="E1198">
        <v>1067.3599899999999</v>
      </c>
      <c r="F1198" s="111">
        <f t="shared" si="51"/>
        <v>-4.0403010594650662E-3</v>
      </c>
    </row>
    <row r="1199" spans="2:6">
      <c r="B1199" s="107">
        <v>40410</v>
      </c>
      <c r="C1199">
        <v>40.359990000000003</v>
      </c>
      <c r="D1199" s="109">
        <f t="shared" si="50"/>
        <v>-9.5464919384524519E-3</v>
      </c>
      <c r="E1199">
        <v>1071.68994</v>
      </c>
      <c r="F1199" s="111">
        <f t="shared" si="51"/>
        <v>-3.6630253897716966E-3</v>
      </c>
    </row>
    <row r="1200" spans="2:6">
      <c r="B1200" s="107">
        <v>40409</v>
      </c>
      <c r="C1200">
        <v>40.749000000000002</v>
      </c>
      <c r="D1200" s="109">
        <f t="shared" si="50"/>
        <v>-6.5983094681382373E-2</v>
      </c>
      <c r="E1200">
        <v>1075.6300000000001</v>
      </c>
      <c r="F1200" s="111">
        <f t="shared" si="51"/>
        <v>-1.6935392896777538E-2</v>
      </c>
    </row>
    <row r="1201" spans="2:6">
      <c r="B1201" s="107">
        <v>40408</v>
      </c>
      <c r="C1201">
        <v>43.627690000000001</v>
      </c>
      <c r="D1201" s="109">
        <f t="shared" si="50"/>
        <v>2.9607442263528745E-2</v>
      </c>
      <c r="E1201">
        <v>1094.16003</v>
      </c>
      <c r="F1201" s="111">
        <f t="shared" si="51"/>
        <v>1.482774031787353E-3</v>
      </c>
    </row>
    <row r="1202" spans="2:6">
      <c r="B1202" s="107">
        <v>40407</v>
      </c>
      <c r="C1202">
        <v>42.373130000000003</v>
      </c>
      <c r="D1202" s="109">
        <f t="shared" si="50"/>
        <v>2.4935513895715536E-2</v>
      </c>
      <c r="E1202">
        <v>1092.5400400000001</v>
      </c>
      <c r="F1202" s="111">
        <f t="shared" si="51"/>
        <v>1.2192221460468028E-2</v>
      </c>
    </row>
    <row r="1203" spans="2:6">
      <c r="B1203" s="107">
        <v>40406</v>
      </c>
      <c r="C1203">
        <v>41.342239999999997</v>
      </c>
      <c r="D1203" s="109">
        <f t="shared" si="50"/>
        <v>2.3350889096210199E-2</v>
      </c>
      <c r="E1203">
        <v>1079.3800000000001</v>
      </c>
      <c r="F1203" s="111">
        <f t="shared" si="51"/>
        <v>1.2045401899477335E-4</v>
      </c>
    </row>
    <row r="1204" spans="2:6">
      <c r="B1204" s="107">
        <v>40403</v>
      </c>
      <c r="C1204">
        <v>40.398890000000002</v>
      </c>
      <c r="D1204" s="109">
        <f t="shared" si="50"/>
        <v>-1.6106103695037028E-2</v>
      </c>
      <c r="E1204">
        <v>1079.25</v>
      </c>
      <c r="F1204" s="111">
        <f t="shared" si="51"/>
        <v>-4.0235786309056869E-3</v>
      </c>
    </row>
    <row r="1205" spans="2:6">
      <c r="B1205" s="107">
        <v>40402</v>
      </c>
      <c r="C1205">
        <v>41.060209999999998</v>
      </c>
      <c r="D1205" s="109">
        <f t="shared" si="50"/>
        <v>-1.4242514307334966E-2</v>
      </c>
      <c r="E1205">
        <v>1083.6099899999999</v>
      </c>
      <c r="F1205" s="111">
        <f t="shared" si="51"/>
        <v>-5.3787439409644098E-3</v>
      </c>
    </row>
    <row r="1206" spans="2:6">
      <c r="B1206" s="107">
        <v>40401</v>
      </c>
      <c r="C1206">
        <v>41.653460000000003</v>
      </c>
      <c r="D1206" s="109">
        <f t="shared" si="50"/>
        <v>-6.074544234425678E-2</v>
      </c>
      <c r="E1206">
        <v>1089.4699700000001</v>
      </c>
      <c r="F1206" s="111">
        <f t="shared" si="51"/>
        <v>-2.8178766800415596E-2</v>
      </c>
    </row>
    <row r="1207" spans="2:6">
      <c r="B1207" s="107">
        <v>40400</v>
      </c>
      <c r="C1207">
        <v>44.347360000000002</v>
      </c>
      <c r="D1207" s="109">
        <f t="shared" si="50"/>
        <v>-1.6605608320521777E-2</v>
      </c>
      <c r="E1207">
        <v>1121.06006</v>
      </c>
      <c r="F1207" s="111">
        <f t="shared" si="51"/>
        <v>-5.9674050677022009E-3</v>
      </c>
    </row>
    <row r="1208" spans="2:6">
      <c r="B1208" s="107">
        <v>40399</v>
      </c>
      <c r="C1208">
        <v>45.096209999999999</v>
      </c>
      <c r="D1208" s="109">
        <f t="shared" si="50"/>
        <v>2.7248519362186804E-2</v>
      </c>
      <c r="E1208">
        <v>1127.7900400000001</v>
      </c>
      <c r="F1208" s="111">
        <f t="shared" si="51"/>
        <v>5.4830693851586256E-3</v>
      </c>
    </row>
    <row r="1209" spans="2:6">
      <c r="B1209" s="107">
        <v>40396</v>
      </c>
      <c r="C1209">
        <v>43.9</v>
      </c>
      <c r="D1209" s="109">
        <f t="shared" si="50"/>
        <v>-1.2253901597088734E-2</v>
      </c>
      <c r="E1209">
        <v>1121.6400100000001</v>
      </c>
      <c r="F1209" s="111">
        <f t="shared" si="51"/>
        <v>-3.7040440018806958E-3</v>
      </c>
    </row>
    <row r="1210" spans="2:6">
      <c r="B1210" s="107">
        <v>40395</v>
      </c>
      <c r="C1210">
        <v>44.44462</v>
      </c>
      <c r="D1210" s="109">
        <f t="shared" si="50"/>
        <v>-1.1464397511924988E-2</v>
      </c>
      <c r="E1210">
        <v>1125.81006</v>
      </c>
      <c r="F1210" s="111">
        <f t="shared" si="51"/>
        <v>-1.2685231296664812E-3</v>
      </c>
    </row>
    <row r="1211" spans="2:6">
      <c r="B1211" s="107">
        <v>40394</v>
      </c>
      <c r="C1211">
        <v>44.960059999999999</v>
      </c>
      <c r="D1211" s="109">
        <f t="shared" si="50"/>
        <v>2.5510216882804301E-2</v>
      </c>
      <c r="E1211">
        <v>1127.23999</v>
      </c>
      <c r="F1211" s="111">
        <f t="shared" si="51"/>
        <v>6.0511131517810993E-3</v>
      </c>
    </row>
    <row r="1212" spans="2:6">
      <c r="B1212" s="107">
        <v>40393</v>
      </c>
      <c r="C1212">
        <v>43.841650000000001</v>
      </c>
      <c r="D1212" s="109">
        <f t="shared" si="50"/>
        <v>-5.076099509523738E-3</v>
      </c>
      <c r="E1212">
        <v>1120.4599599999999</v>
      </c>
      <c r="F1212" s="111">
        <f t="shared" si="51"/>
        <v>-4.7963601584243305E-3</v>
      </c>
    </row>
    <row r="1213" spans="2:6">
      <c r="B1213" s="107">
        <v>40392</v>
      </c>
      <c r="C1213">
        <v>44.065330000000003</v>
      </c>
      <c r="D1213" s="109">
        <f t="shared" si="50"/>
        <v>3.6842028482177241E-2</v>
      </c>
      <c r="E1213">
        <v>1125.8599899999999</v>
      </c>
      <c r="F1213" s="111">
        <f t="shared" si="51"/>
        <v>2.2022522186320271E-2</v>
      </c>
    </row>
    <row r="1214" spans="2:6">
      <c r="B1214" s="107">
        <v>40389</v>
      </c>
      <c r="C1214">
        <v>42.499560000000002</v>
      </c>
      <c r="D1214" s="109">
        <f t="shared" si="50"/>
        <v>1.1455579418402104E-3</v>
      </c>
      <c r="E1214">
        <v>1101.59998</v>
      </c>
      <c r="F1214" s="111">
        <f t="shared" si="51"/>
        <v>6.3502581041810169E-5</v>
      </c>
    </row>
    <row r="1215" spans="2:6">
      <c r="B1215" s="107">
        <v>40388</v>
      </c>
      <c r="C1215">
        <v>42.45093</v>
      </c>
      <c r="D1215" s="109">
        <f t="shared" si="50"/>
        <v>1.346651431976522E-2</v>
      </c>
      <c r="E1215">
        <v>1101.5300299999999</v>
      </c>
      <c r="F1215" s="111">
        <f t="shared" si="51"/>
        <v>-4.1586160758683086E-3</v>
      </c>
    </row>
    <row r="1216" spans="2:6">
      <c r="B1216" s="107">
        <v>40387</v>
      </c>
      <c r="C1216">
        <v>41.886859999999999</v>
      </c>
      <c r="D1216" s="109">
        <f t="shared" si="50"/>
        <v>-1.056733772347768E-2</v>
      </c>
      <c r="E1216">
        <v>1106.1300000000001</v>
      </c>
      <c r="F1216" s="111">
        <f t="shared" si="51"/>
        <v>-6.9219728216432068E-3</v>
      </c>
    </row>
    <row r="1217" spans="2:6">
      <c r="B1217" s="107">
        <v>40386</v>
      </c>
      <c r="C1217">
        <v>42.334220000000002</v>
      </c>
      <c r="D1217" s="109">
        <f t="shared" si="50"/>
        <v>2.6408783224338289E-2</v>
      </c>
      <c r="E1217">
        <v>1113.83997</v>
      </c>
      <c r="F1217" s="111">
        <f t="shared" si="51"/>
        <v>-1.0493538080433662E-3</v>
      </c>
    </row>
    <row r="1218" spans="2:6">
      <c r="B1218" s="107">
        <v>40385</v>
      </c>
      <c r="C1218">
        <v>41.244990000000001</v>
      </c>
      <c r="D1218" s="109">
        <f t="shared" si="50"/>
        <v>2.365437627553521E-2</v>
      </c>
      <c r="E1218">
        <v>1115.01001</v>
      </c>
      <c r="F1218" s="111">
        <f t="shared" si="51"/>
        <v>1.12001701920763E-2</v>
      </c>
    </row>
    <row r="1219" spans="2:6">
      <c r="B1219" s="107">
        <v>40382</v>
      </c>
      <c r="C1219">
        <v>40.291910000000001</v>
      </c>
      <c r="D1219" s="109">
        <f t="shared" si="50"/>
        <v>-3.8747219441531235E-2</v>
      </c>
      <c r="E1219">
        <v>1102.66003</v>
      </c>
      <c r="F1219" s="111">
        <f t="shared" si="51"/>
        <v>8.2200203637287483E-3</v>
      </c>
    </row>
    <row r="1220" spans="2:6">
      <c r="B1220" s="107">
        <v>40381</v>
      </c>
      <c r="C1220">
        <v>41.916040000000002</v>
      </c>
      <c r="D1220" s="109">
        <f t="shared" si="50"/>
        <v>2.3266873292359727E-2</v>
      </c>
      <c r="E1220">
        <v>1093.67004</v>
      </c>
      <c r="F1220" s="111">
        <f t="shared" si="51"/>
        <v>2.251336556568493E-2</v>
      </c>
    </row>
    <row r="1221" spans="2:6">
      <c r="B1221" s="107">
        <v>40380</v>
      </c>
      <c r="C1221">
        <v>40.962960000000002</v>
      </c>
      <c r="D1221" s="109">
        <f t="shared" si="50"/>
        <v>-3.7841792125015987E-3</v>
      </c>
      <c r="E1221">
        <v>1069.58997</v>
      </c>
      <c r="F1221" s="111">
        <f t="shared" si="51"/>
        <v>-1.2819812323620483E-2</v>
      </c>
    </row>
    <row r="1222" spans="2:6">
      <c r="B1222" s="107">
        <v>40379</v>
      </c>
      <c r="C1222">
        <v>41.118560000000002</v>
      </c>
      <c r="D1222" s="109">
        <f t="shared" si="50"/>
        <v>1.1725303023816237E-2</v>
      </c>
      <c r="E1222">
        <v>1083.4799800000001</v>
      </c>
      <c r="F1222" s="111">
        <f t="shared" si="51"/>
        <v>1.1416550758459808E-2</v>
      </c>
    </row>
    <row r="1223" spans="2:6">
      <c r="B1223" s="107">
        <v>40378</v>
      </c>
      <c r="C1223">
        <v>40.642020000000002</v>
      </c>
      <c r="D1223" s="109">
        <f t="shared" si="50"/>
        <v>-3.339040633986037E-3</v>
      </c>
      <c r="E1223">
        <v>1071.25</v>
      </c>
      <c r="F1223" s="111">
        <f t="shared" si="51"/>
        <v>5.9818946735781401E-3</v>
      </c>
    </row>
    <row r="1224" spans="2:6">
      <c r="B1224" s="107">
        <v>40375</v>
      </c>
      <c r="C1224">
        <v>40.778179999999999</v>
      </c>
      <c r="D1224" s="109">
        <f t="shared" si="50"/>
        <v>-4.639524588806835E-2</v>
      </c>
      <c r="E1224">
        <v>1064.8800000000001</v>
      </c>
      <c r="F1224" s="111">
        <f t="shared" si="51"/>
        <v>-2.8819477397115774E-2</v>
      </c>
    </row>
    <row r="1225" spans="2:6">
      <c r="B1225" s="107">
        <v>40374</v>
      </c>
      <c r="C1225">
        <v>42.762140000000002</v>
      </c>
      <c r="D1225" s="109">
        <f t="shared" ref="D1225:D1265" si="52">(C1225-C1226)/C1226</f>
        <v>-2.5703419003801953E-2</v>
      </c>
      <c r="E1225">
        <v>1096.4799800000001</v>
      </c>
      <c r="F1225" s="111">
        <f t="shared" ref="F1225:F1265" si="53">(E1225-E1226)/E1226</f>
        <v>1.1961064968505684E-3</v>
      </c>
    </row>
    <row r="1226" spans="2:6">
      <c r="B1226" s="107">
        <v>40373</v>
      </c>
      <c r="C1226">
        <v>43.890270000000001</v>
      </c>
      <c r="D1226" s="109">
        <f t="shared" si="52"/>
        <v>-1.2688749849845953E-2</v>
      </c>
      <c r="E1226">
        <v>1095.17004</v>
      </c>
      <c r="F1226" s="111">
        <f t="shared" si="53"/>
        <v>-1.551390478337261E-4</v>
      </c>
    </row>
    <row r="1227" spans="2:6">
      <c r="B1227" s="107">
        <v>40372</v>
      </c>
      <c r="C1227">
        <v>44.454340000000002</v>
      </c>
      <c r="D1227" s="109">
        <f t="shared" si="52"/>
        <v>-2.1828626093927379E-3</v>
      </c>
      <c r="E1227">
        <v>1095.33997</v>
      </c>
      <c r="F1227" s="111">
        <f t="shared" si="53"/>
        <v>1.5378882966396286E-2</v>
      </c>
    </row>
    <row r="1228" spans="2:6">
      <c r="B1228" s="107">
        <v>40371</v>
      </c>
      <c r="C1228">
        <v>44.551589999999997</v>
      </c>
      <c r="D1228" s="109">
        <f t="shared" si="52"/>
        <v>6.7832124085573944E-2</v>
      </c>
      <c r="E1228">
        <v>1078.75</v>
      </c>
      <c r="F1228" s="111">
        <f t="shared" si="53"/>
        <v>7.3290291784129907E-4</v>
      </c>
    </row>
    <row r="1229" spans="2:6">
      <c r="B1229" s="107">
        <v>40368</v>
      </c>
      <c r="C1229">
        <v>41.721530000000001</v>
      </c>
      <c r="D1229" s="109">
        <f t="shared" si="52"/>
        <v>-1.4699148284465625E-2</v>
      </c>
      <c r="E1229">
        <v>1077.9599599999999</v>
      </c>
      <c r="F1229" s="111">
        <f t="shared" si="53"/>
        <v>7.2038869423031162E-3</v>
      </c>
    </row>
    <row r="1230" spans="2:6">
      <c r="B1230" s="107">
        <v>40367</v>
      </c>
      <c r="C1230">
        <v>42.34395</v>
      </c>
      <c r="D1230" s="109">
        <f t="shared" si="52"/>
        <v>2.2983770576138107E-4</v>
      </c>
      <c r="E1230">
        <v>1070.25</v>
      </c>
      <c r="F1230" s="111">
        <f t="shared" si="53"/>
        <v>9.4126777252459427E-3</v>
      </c>
    </row>
    <row r="1231" spans="2:6">
      <c r="B1231" s="107">
        <v>40366</v>
      </c>
      <c r="C1231">
        <v>42.334220000000002</v>
      </c>
      <c r="D1231" s="109">
        <f t="shared" si="52"/>
        <v>4.2135443424677434E-2</v>
      </c>
      <c r="E1231">
        <v>1060.2700199999999</v>
      </c>
      <c r="F1231" s="111">
        <f t="shared" si="53"/>
        <v>3.1330815438934484E-2</v>
      </c>
    </row>
    <row r="1232" spans="2:6">
      <c r="B1232" s="107">
        <v>40365</v>
      </c>
      <c r="C1232">
        <v>40.622570000000003</v>
      </c>
      <c r="D1232" s="109">
        <f t="shared" si="52"/>
        <v>7.2341715923881413E-3</v>
      </c>
      <c r="E1232">
        <v>1028.06006</v>
      </c>
      <c r="F1232" s="111">
        <f t="shared" si="53"/>
        <v>5.3590329292763136E-3</v>
      </c>
    </row>
    <row r="1233" spans="2:6">
      <c r="B1233" s="107">
        <v>40361</v>
      </c>
      <c r="C1233">
        <v>40.33081</v>
      </c>
      <c r="D1233" s="109">
        <f t="shared" si="52"/>
        <v>-1.6599697792745872E-2</v>
      </c>
      <c r="E1233">
        <v>1022.58002</v>
      </c>
      <c r="F1233" s="111">
        <f t="shared" si="53"/>
        <v>-4.6623709082413353E-3</v>
      </c>
    </row>
    <row r="1234" spans="2:6">
      <c r="B1234" s="107">
        <v>40360</v>
      </c>
      <c r="C1234">
        <v>41.011589999999998</v>
      </c>
      <c r="D1234" s="109">
        <f t="shared" si="52"/>
        <v>2.3771622314235274E-3</v>
      </c>
      <c r="E1234">
        <v>1027.3699999999999</v>
      </c>
      <c r="F1234" s="111">
        <f t="shared" si="53"/>
        <v>-3.2404460319758813E-3</v>
      </c>
    </row>
    <row r="1235" spans="2:6">
      <c r="B1235" s="107">
        <v>40359</v>
      </c>
      <c r="C1235">
        <v>40.91433</v>
      </c>
      <c r="D1235" s="109">
        <f t="shared" si="52"/>
        <v>-1.336768215619173E-2</v>
      </c>
      <c r="E1235">
        <v>1030.7099599999999</v>
      </c>
      <c r="F1235" s="111">
        <f t="shared" si="53"/>
        <v>-1.0112971170075905E-2</v>
      </c>
    </row>
    <row r="1236" spans="2:6">
      <c r="B1236" s="107">
        <v>40358</v>
      </c>
      <c r="C1236">
        <v>41.468670000000003</v>
      </c>
      <c r="D1236" s="109">
        <f t="shared" si="52"/>
        <v>-6.9808125790559422E-2</v>
      </c>
      <c r="E1236">
        <v>1041.23999</v>
      </c>
      <c r="F1236" s="111">
        <f t="shared" si="53"/>
        <v>-3.1017022205022601E-2</v>
      </c>
    </row>
    <row r="1237" spans="2:6">
      <c r="B1237" s="107">
        <v>40357</v>
      </c>
      <c r="C1237">
        <v>44.580770000000001</v>
      </c>
      <c r="D1237" s="109">
        <f t="shared" si="52"/>
        <v>-5.6399626798008173E-3</v>
      </c>
      <c r="E1237">
        <v>1074.5699500000001</v>
      </c>
      <c r="F1237" s="111">
        <f t="shared" si="53"/>
        <v>-2.0339351198600912E-3</v>
      </c>
    </row>
    <row r="1238" spans="2:6">
      <c r="B1238" s="107">
        <v>40354</v>
      </c>
      <c r="C1238">
        <v>44.833629999999999</v>
      </c>
      <c r="D1238" s="109">
        <f t="shared" si="52"/>
        <v>6.5502413796276731E-3</v>
      </c>
      <c r="E1238">
        <v>1076.76001</v>
      </c>
      <c r="F1238" s="111">
        <f t="shared" si="53"/>
        <v>2.859363663219185E-3</v>
      </c>
    </row>
    <row r="1239" spans="2:6">
      <c r="B1239" s="107">
        <v>40353</v>
      </c>
      <c r="C1239">
        <v>44.541870000000003</v>
      </c>
      <c r="D1239" s="109">
        <f t="shared" si="52"/>
        <v>-2.2828951568442817E-2</v>
      </c>
      <c r="E1239">
        <v>1073.68994</v>
      </c>
      <c r="F1239" s="111">
        <f t="shared" si="53"/>
        <v>-1.6803504750613457E-2</v>
      </c>
    </row>
    <row r="1240" spans="2:6">
      <c r="B1240" s="107">
        <v>40352</v>
      </c>
      <c r="C1240">
        <v>45.582470000000001</v>
      </c>
      <c r="D1240" s="109">
        <f t="shared" si="52"/>
        <v>-4.4606830235236084E-3</v>
      </c>
      <c r="E1240">
        <v>1092.0400400000001</v>
      </c>
      <c r="F1240" s="111">
        <f t="shared" si="53"/>
        <v>-2.9854742683545982E-3</v>
      </c>
    </row>
    <row r="1241" spans="2:6">
      <c r="B1241" s="107">
        <v>40351</v>
      </c>
      <c r="C1241">
        <v>45.786709999999999</v>
      </c>
      <c r="D1241" s="109">
        <f t="shared" si="52"/>
        <v>-1.9983373408669562E-2</v>
      </c>
      <c r="E1241">
        <v>1095.31006</v>
      </c>
      <c r="F1241" s="111">
        <f t="shared" si="53"/>
        <v>-1.6070688828183945E-2</v>
      </c>
    </row>
    <row r="1242" spans="2:6">
      <c r="B1242" s="107">
        <v>40350</v>
      </c>
      <c r="C1242">
        <v>46.72034</v>
      </c>
      <c r="D1242" s="109">
        <f t="shared" si="52"/>
        <v>-1.9991852902518845E-2</v>
      </c>
      <c r="E1242">
        <v>1113.1999499999999</v>
      </c>
      <c r="F1242" s="111">
        <f t="shared" si="53"/>
        <v>-3.856842409850111E-3</v>
      </c>
    </row>
    <row r="1243" spans="2:6">
      <c r="B1243" s="107">
        <v>40347</v>
      </c>
      <c r="C1243">
        <v>47.67342</v>
      </c>
      <c r="D1243" s="109">
        <f t="shared" si="52"/>
        <v>-1.3682084562780236E-2</v>
      </c>
      <c r="E1243">
        <v>1117.51001</v>
      </c>
      <c r="F1243" s="111">
        <f t="shared" si="53"/>
        <v>1.3171301631793387E-3</v>
      </c>
    </row>
    <row r="1244" spans="2:6">
      <c r="B1244" s="107">
        <v>40346</v>
      </c>
      <c r="C1244">
        <v>48.334739999999996</v>
      </c>
      <c r="D1244" s="109">
        <f t="shared" si="52"/>
        <v>6.2766937486011046E-3</v>
      </c>
      <c r="E1244">
        <v>1116.0400400000001</v>
      </c>
      <c r="F1244" s="111">
        <f t="shared" si="53"/>
        <v>1.2830048293396015E-3</v>
      </c>
    </row>
    <row r="1245" spans="2:6">
      <c r="B1245" s="107">
        <v>40345</v>
      </c>
      <c r="C1245">
        <v>48.033250000000002</v>
      </c>
      <c r="D1245" s="109">
        <f t="shared" si="52"/>
        <v>1.4585126550527801E-2</v>
      </c>
      <c r="E1245">
        <v>1114.6099899999999</v>
      </c>
      <c r="F1245" s="111">
        <f t="shared" si="53"/>
        <v>-5.5593017684132148E-4</v>
      </c>
    </row>
    <row r="1246" spans="2:6">
      <c r="B1246" s="107">
        <v>40344</v>
      </c>
      <c r="C1246">
        <v>47.342750000000002</v>
      </c>
      <c r="D1246" s="109">
        <f t="shared" si="52"/>
        <v>2.8305650986749111E-2</v>
      </c>
      <c r="E1246">
        <v>1115.2299800000001</v>
      </c>
      <c r="F1246" s="111">
        <f t="shared" si="53"/>
        <v>2.3494195277295925E-2</v>
      </c>
    </row>
    <row r="1247" spans="2:6">
      <c r="B1247" s="107">
        <v>40343</v>
      </c>
      <c r="C1247">
        <v>46.039569999999998</v>
      </c>
      <c r="D1247" s="109">
        <f t="shared" si="52"/>
        <v>6.1435168737260633E-2</v>
      </c>
      <c r="E1247">
        <v>1089.6300000000001</v>
      </c>
      <c r="F1247" s="111">
        <f t="shared" si="53"/>
        <v>-1.804672074105251E-3</v>
      </c>
    </row>
    <row r="1248" spans="2:6">
      <c r="B1248" s="107">
        <v>40340</v>
      </c>
      <c r="C1248">
        <v>43.374830000000003</v>
      </c>
      <c r="D1248" s="109">
        <f t="shared" si="52"/>
        <v>2.4722738771920777E-3</v>
      </c>
      <c r="E1248">
        <v>1091.59998</v>
      </c>
      <c r="F1248" s="111">
        <f t="shared" si="53"/>
        <v>4.3796788224488709E-3</v>
      </c>
    </row>
    <row r="1249" spans="2:6">
      <c r="B1249" s="107">
        <v>40339</v>
      </c>
      <c r="C1249">
        <v>43.267859999999999</v>
      </c>
      <c r="D1249" s="109">
        <f t="shared" si="52"/>
        <v>4.0701949338134119E-2</v>
      </c>
      <c r="E1249">
        <v>1086.83997</v>
      </c>
      <c r="F1249" s="111">
        <f t="shared" si="53"/>
        <v>2.950679817977617E-2</v>
      </c>
    </row>
    <row r="1250" spans="2:6">
      <c r="B1250" s="107">
        <v>40338</v>
      </c>
      <c r="C1250">
        <v>41.575650000000003</v>
      </c>
      <c r="D1250" s="109">
        <f t="shared" si="52"/>
        <v>-6.5071272291408562E-3</v>
      </c>
      <c r="E1250">
        <v>1055.68994</v>
      </c>
      <c r="F1250" s="111">
        <f t="shared" si="53"/>
        <v>-5.941676082862544E-3</v>
      </c>
    </row>
    <row r="1251" spans="2:6">
      <c r="B1251" s="107">
        <v>40337</v>
      </c>
      <c r="C1251">
        <v>41.84796</v>
      </c>
      <c r="D1251" s="109">
        <f t="shared" si="52"/>
        <v>-4.3960969472843408E-3</v>
      </c>
      <c r="E1251">
        <v>1062</v>
      </c>
      <c r="F1251" s="111">
        <f t="shared" si="53"/>
        <v>1.0976068168802479E-2</v>
      </c>
    </row>
    <row r="1252" spans="2:6">
      <c r="B1252" s="107">
        <v>40336</v>
      </c>
      <c r="C1252">
        <v>42.032739999999997</v>
      </c>
      <c r="D1252" s="109">
        <f t="shared" si="52"/>
        <v>-3.6987532287338948E-2</v>
      </c>
      <c r="E1252">
        <v>1050.4699700000001</v>
      </c>
      <c r="F1252" s="111">
        <f t="shared" si="53"/>
        <v>-1.3532069341146424E-2</v>
      </c>
    </row>
    <row r="1253" spans="2:6">
      <c r="B1253" s="107">
        <v>40333</v>
      </c>
      <c r="C1253">
        <v>43.64714</v>
      </c>
      <c r="D1253" s="109">
        <f t="shared" si="52"/>
        <v>-4.7133835274556918E-2</v>
      </c>
      <c r="E1253">
        <v>1064.8800000000001</v>
      </c>
      <c r="F1253" s="111">
        <f t="shared" si="53"/>
        <v>-3.4411433653833562E-2</v>
      </c>
    </row>
    <row r="1254" spans="2:6">
      <c r="B1254" s="107">
        <v>40332</v>
      </c>
      <c r="C1254">
        <v>45.806159999999998</v>
      </c>
      <c r="D1254" s="109">
        <f t="shared" si="52"/>
        <v>1.4430436261586913E-2</v>
      </c>
      <c r="E1254">
        <v>1102.82996</v>
      </c>
      <c r="F1254" s="111">
        <f t="shared" si="53"/>
        <v>4.0513847666562739E-3</v>
      </c>
    </row>
    <row r="1255" spans="2:6">
      <c r="B1255" s="107">
        <v>40331</v>
      </c>
      <c r="C1255">
        <v>45.154559999999996</v>
      </c>
      <c r="D1255" s="109">
        <f t="shared" si="52"/>
        <v>3.1777833023793035E-2</v>
      </c>
      <c r="E1255">
        <v>1098.3800000000001</v>
      </c>
      <c r="F1255" s="111">
        <f t="shared" si="53"/>
        <v>2.5842703471255841E-2</v>
      </c>
    </row>
    <row r="1256" spans="2:6">
      <c r="B1256" s="107">
        <v>40330</v>
      </c>
      <c r="C1256">
        <v>43.763840000000002</v>
      </c>
      <c r="D1256" s="109">
        <f t="shared" si="52"/>
        <v>-3.4749072218519243E-2</v>
      </c>
      <c r="E1256">
        <v>1070.7099599999999</v>
      </c>
      <c r="F1256" s="111">
        <f t="shared" si="53"/>
        <v>-1.7165318369613412E-2</v>
      </c>
    </row>
    <row r="1257" spans="2:6">
      <c r="B1257" s="107">
        <v>40326</v>
      </c>
      <c r="C1257">
        <v>45.33934</v>
      </c>
      <c r="D1257" s="109">
        <f t="shared" si="52"/>
        <v>-4.9092443828350632E-3</v>
      </c>
      <c r="E1257">
        <v>1089.41003</v>
      </c>
      <c r="F1257" s="111">
        <f t="shared" si="53"/>
        <v>-1.237469335985206E-2</v>
      </c>
    </row>
    <row r="1258" spans="2:6">
      <c r="B1258" s="107">
        <v>40325</v>
      </c>
      <c r="C1258">
        <v>45.563020000000002</v>
      </c>
      <c r="D1258" s="109">
        <f t="shared" si="52"/>
        <v>7.5527932130093497E-2</v>
      </c>
      <c r="E1258">
        <v>1103.06006</v>
      </c>
      <c r="F1258" s="111">
        <f t="shared" si="53"/>
        <v>3.2876175517401428E-2</v>
      </c>
    </row>
    <row r="1259" spans="2:6">
      <c r="B1259" s="107">
        <v>40324</v>
      </c>
      <c r="C1259">
        <v>42.363399999999999</v>
      </c>
      <c r="D1259" s="109">
        <f t="shared" si="52"/>
        <v>8.8003383353367996E-3</v>
      </c>
      <c r="E1259">
        <v>1067.9499499999999</v>
      </c>
      <c r="F1259" s="111">
        <f t="shared" si="53"/>
        <v>-5.6609962758675872E-3</v>
      </c>
    </row>
    <row r="1260" spans="2:6">
      <c r="B1260" s="107">
        <v>40323</v>
      </c>
      <c r="C1260">
        <v>41.993839999999999</v>
      </c>
      <c r="D1260" s="109">
        <f t="shared" si="52"/>
        <v>3.2767129971658718E-2</v>
      </c>
      <c r="E1260">
        <v>1074.0300299999999</v>
      </c>
      <c r="F1260" s="111">
        <f t="shared" si="53"/>
        <v>3.5394215332837836E-4</v>
      </c>
    </row>
    <row r="1261" spans="2:6">
      <c r="B1261" s="107">
        <v>40322</v>
      </c>
      <c r="C1261">
        <v>40.661479999999997</v>
      </c>
      <c r="D1261" s="109">
        <f t="shared" si="52"/>
        <v>7.955768564327604E-3</v>
      </c>
      <c r="E1261">
        <v>1073.65002</v>
      </c>
      <c r="F1261" s="111">
        <f t="shared" si="53"/>
        <v>-1.2908016782797438E-2</v>
      </c>
    </row>
    <row r="1262" spans="2:6">
      <c r="B1262" s="107">
        <v>40319</v>
      </c>
      <c r="C1262">
        <v>40.340539999999997</v>
      </c>
      <c r="D1262" s="109">
        <f t="shared" si="52"/>
        <v>4.5890217220245597E-2</v>
      </c>
      <c r="E1262">
        <v>1087.68994</v>
      </c>
      <c r="F1262" s="111">
        <f t="shared" si="53"/>
        <v>1.502437541478667E-2</v>
      </c>
    </row>
    <row r="1263" spans="2:6">
      <c r="B1263" s="107">
        <v>40318</v>
      </c>
      <c r="C1263">
        <v>38.570529999999998</v>
      </c>
      <c r="D1263" s="109">
        <f t="shared" si="52"/>
        <v>-1.8802757388387561E-2</v>
      </c>
      <c r="E1263">
        <v>1071.58997</v>
      </c>
      <c r="F1263" s="111">
        <f t="shared" si="53"/>
        <v>-3.8975900678180374E-2</v>
      </c>
    </row>
    <row r="1264" spans="2:6">
      <c r="B1264" s="107">
        <v>40317</v>
      </c>
      <c r="C1264">
        <v>39.309660000000001</v>
      </c>
      <c r="D1264" s="109">
        <f t="shared" si="52"/>
        <v>-2.4849074801743219E-2</v>
      </c>
      <c r="E1264">
        <v>1115.0500500000001</v>
      </c>
      <c r="F1264" s="111">
        <f t="shared" si="53"/>
        <v>-5.1302638682073579E-3</v>
      </c>
    </row>
    <row r="1265" spans="2:6">
      <c r="B1265" s="107">
        <v>40316</v>
      </c>
      <c r="C1265">
        <v>40.311360000000001</v>
      </c>
      <c r="D1265" s="109">
        <f t="shared" si="52"/>
        <v>-2.8819314448107956E-2</v>
      </c>
      <c r="E1265">
        <v>1120.8000500000001</v>
      </c>
      <c r="F1265" s="111">
        <f t="shared" si="53"/>
        <v>-1.4195903787142814E-2</v>
      </c>
    </row>
    <row r="1266" spans="2:6">
      <c r="B1266" s="107">
        <v>40315</v>
      </c>
      <c r="C1266">
        <v>41.507579999999997</v>
      </c>
      <c r="D1266" s="109"/>
      <c r="E1266">
        <v>1136.93994</v>
      </c>
      <c r="F1266" s="111"/>
    </row>
  </sheetData>
  <mergeCells count="6">
    <mergeCell ref="W6:X6"/>
    <mergeCell ref="C6:D6"/>
    <mergeCell ref="E6:F6"/>
    <mergeCell ref="N6:O6"/>
    <mergeCell ref="P6:Q6"/>
    <mergeCell ref="U6:V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2:H21"/>
  <sheetViews>
    <sheetView zoomScale="87" zoomScaleNormal="87" workbookViewId="0">
      <selection activeCell="B36" sqref="B36"/>
    </sheetView>
  </sheetViews>
  <sheetFormatPr defaultRowHeight="14.4"/>
  <cols>
    <col min="1" max="1" width="9.33203125"/>
    <col min="2" max="2" width="58.44140625" customWidth="1"/>
    <col min="3" max="3" width="20.33203125"/>
    <col min="4" max="4" width="8.6640625" customWidth="1"/>
    <col min="5" max="5" width="8.6640625"/>
    <col min="6" max="6" width="10"/>
    <col min="7" max="7" width="12.6640625" bestFit="1" customWidth="1"/>
    <col min="8" max="9" width="9.33203125"/>
    <col min="10" max="1025" width="8.5546875"/>
  </cols>
  <sheetData>
    <row r="2" spans="2:8">
      <c r="B2" s="132"/>
      <c r="C2" s="2"/>
      <c r="D2" s="2"/>
      <c r="E2" s="2"/>
      <c r="F2" s="2"/>
      <c r="G2" s="3"/>
    </row>
    <row r="3" spans="2:8">
      <c r="B3" s="133"/>
      <c r="C3" s="5"/>
      <c r="D3" s="5"/>
      <c r="E3" s="5"/>
      <c r="F3" s="5"/>
      <c r="G3" s="134"/>
    </row>
    <row r="4" spans="2:8">
      <c r="B4" s="135" t="s">
        <v>137</v>
      </c>
      <c r="C4" s="8"/>
      <c r="D4" s="8"/>
      <c r="E4" s="8"/>
      <c r="F4" s="8"/>
      <c r="G4" s="9"/>
    </row>
    <row r="5" spans="2:8">
      <c r="B5" s="135"/>
      <c r="C5" s="371" t="s">
        <v>138</v>
      </c>
      <c r="D5" s="371"/>
      <c r="E5" s="371"/>
      <c r="F5" s="371"/>
      <c r="G5" s="371"/>
    </row>
    <row r="6" spans="2:8" ht="28.8">
      <c r="B6" s="136"/>
      <c r="C6" s="137" t="s">
        <v>139</v>
      </c>
      <c r="D6" s="138" t="s">
        <v>140</v>
      </c>
      <c r="E6" s="138" t="s">
        <v>141</v>
      </c>
      <c r="F6" s="137" t="s">
        <v>142</v>
      </c>
      <c r="G6" s="139" t="s">
        <v>143</v>
      </c>
    </row>
    <row r="7" spans="2:8">
      <c r="B7" s="135" t="s">
        <v>144</v>
      </c>
      <c r="C7" s="140">
        <v>65416</v>
      </c>
      <c r="D7" s="140">
        <v>15166</v>
      </c>
      <c r="E7" s="140">
        <v>21062</v>
      </c>
      <c r="F7" s="140">
        <v>15509</v>
      </c>
      <c r="G7" s="140">
        <v>13679</v>
      </c>
      <c r="H7" s="246"/>
    </row>
    <row r="8" spans="2:8">
      <c r="B8" s="141" t="s">
        <v>145</v>
      </c>
      <c r="C8" s="140">
        <v>661820</v>
      </c>
      <c r="D8" s="140">
        <v>206713</v>
      </c>
      <c r="E8" s="140">
        <v>256768</v>
      </c>
      <c r="F8" s="140">
        <v>157159</v>
      </c>
      <c r="G8" s="140">
        <v>41180</v>
      </c>
      <c r="H8" s="246"/>
    </row>
    <row r="9" spans="2:8">
      <c r="B9" s="141" t="s">
        <v>146</v>
      </c>
      <c r="C9" s="140">
        <v>1656655</v>
      </c>
      <c r="D9" s="140">
        <v>655083</v>
      </c>
      <c r="E9" s="140">
        <v>599075</v>
      </c>
      <c r="F9" s="140">
        <v>360615</v>
      </c>
      <c r="G9" s="140">
        <v>41882</v>
      </c>
      <c r="H9" s="246"/>
    </row>
    <row r="10" spans="2:8">
      <c r="B10" s="141" t="s">
        <v>147</v>
      </c>
      <c r="C10" s="140">
        <v>905736</v>
      </c>
      <c r="D10" s="140">
        <v>302332</v>
      </c>
      <c r="E10" s="140">
        <v>351883</v>
      </c>
      <c r="F10" s="140">
        <v>189082</v>
      </c>
      <c r="G10" s="140">
        <v>62439</v>
      </c>
      <c r="H10" s="246"/>
    </row>
    <row r="11" spans="2:8">
      <c r="B11" s="135" t="s">
        <v>148</v>
      </c>
      <c r="C11" s="140">
        <v>39298</v>
      </c>
      <c r="D11" s="140">
        <v>39298</v>
      </c>
      <c r="E11" s="142" t="s">
        <v>149</v>
      </c>
      <c r="F11" s="142" t="s">
        <v>149</v>
      </c>
      <c r="G11" s="142" t="s">
        <v>149</v>
      </c>
      <c r="H11" s="246"/>
    </row>
    <row r="12" spans="2:8">
      <c r="B12" s="141" t="s">
        <v>150</v>
      </c>
      <c r="C12" s="140">
        <v>1041644</v>
      </c>
      <c r="D12" s="140">
        <v>14954</v>
      </c>
      <c r="E12" s="140">
        <v>1026690</v>
      </c>
      <c r="F12" s="142" t="s">
        <v>149</v>
      </c>
      <c r="G12" s="246" t="s">
        <v>149</v>
      </c>
      <c r="H12" s="246"/>
    </row>
    <row r="13" spans="2:8">
      <c r="B13" s="141" t="s">
        <v>151</v>
      </c>
      <c r="C13" s="140">
        <v>1545000</v>
      </c>
      <c r="D13" s="140">
        <v>7500</v>
      </c>
      <c r="E13" s="140">
        <v>15000</v>
      </c>
      <c r="F13" s="140">
        <v>15000</v>
      </c>
      <c r="G13" s="363">
        <v>1507500</v>
      </c>
      <c r="H13" s="246"/>
    </row>
    <row r="14" spans="2:8">
      <c r="B14" s="135" t="s">
        <v>152</v>
      </c>
      <c r="C14" s="140">
        <v>241663</v>
      </c>
      <c r="D14" s="140">
        <v>241663</v>
      </c>
      <c r="E14" s="142" t="s">
        <v>149</v>
      </c>
      <c r="F14" s="142" t="s">
        <v>149</v>
      </c>
      <c r="G14" s="142" t="s">
        <v>149</v>
      </c>
      <c r="H14" s="246"/>
    </row>
    <row r="15" spans="2:8">
      <c r="B15" s="135" t="s">
        <v>153</v>
      </c>
      <c r="C15" s="140">
        <v>125856</v>
      </c>
      <c r="D15" s="140">
        <v>125744</v>
      </c>
      <c r="E15" s="142">
        <v>112</v>
      </c>
      <c r="F15" s="142" t="s">
        <v>149</v>
      </c>
      <c r="G15" s="142" t="s">
        <v>149</v>
      </c>
      <c r="H15" s="246"/>
    </row>
    <row r="16" spans="2:8">
      <c r="B16" s="135" t="s">
        <v>154</v>
      </c>
      <c r="C16" s="140">
        <v>43251</v>
      </c>
      <c r="D16" s="140">
        <v>42911</v>
      </c>
      <c r="E16" s="142">
        <v>340</v>
      </c>
      <c r="F16" s="142" t="s">
        <v>149</v>
      </c>
      <c r="G16" s="142" t="s">
        <v>149</v>
      </c>
      <c r="H16" s="246"/>
    </row>
    <row r="17" spans="2:8">
      <c r="B17" s="143" t="s">
        <v>155</v>
      </c>
      <c r="C17" s="140">
        <v>6326339</v>
      </c>
      <c r="D17" s="140">
        <v>1651364</v>
      </c>
      <c r="E17" s="140">
        <v>2270930</v>
      </c>
      <c r="F17" s="140">
        <v>737365</v>
      </c>
      <c r="G17" s="140">
        <v>1666680</v>
      </c>
      <c r="H17" s="246"/>
    </row>
    <row r="18" spans="2:8">
      <c r="H18" s="246"/>
    </row>
    <row r="19" spans="2:8">
      <c r="B19" s="132" t="s">
        <v>156</v>
      </c>
      <c r="C19" s="2"/>
      <c r="D19" s="2"/>
      <c r="E19" s="2">
        <v>2</v>
      </c>
      <c r="F19" s="2">
        <v>4</v>
      </c>
      <c r="G19" s="3">
        <v>5</v>
      </c>
      <c r="H19" s="246"/>
    </row>
    <row r="20" spans="2:8">
      <c r="B20" s="144" t="s">
        <v>157</v>
      </c>
      <c r="C20" s="145">
        <f>DCF!J45</f>
        <v>1E-4</v>
      </c>
      <c r="D20" s="146"/>
      <c r="E20" s="147">
        <f>E7/((1+$C$20)^E19)</f>
        <v>21057.788231775765</v>
      </c>
      <c r="F20" s="147">
        <f>F7/((1+$C$20)^F19)</f>
        <v>15502.797950589877</v>
      </c>
      <c r="G20" s="148">
        <f>G7/((1+$C$20)^G19)</f>
        <v>13672.162551371335</v>
      </c>
    </row>
    <row r="21" spans="2:8">
      <c r="B21" s="149" t="s">
        <v>158</v>
      </c>
      <c r="C21" s="150">
        <f>SUM(E20:G20)</f>
        <v>50232.748733736982</v>
      </c>
      <c r="D21" s="151"/>
      <c r="E21" s="151"/>
      <c r="F21" s="151"/>
      <c r="G21" s="22"/>
    </row>
  </sheetData>
  <mergeCells count="1">
    <mergeCell ref="C5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2:J100"/>
  <sheetViews>
    <sheetView topLeftCell="A85" zoomScale="85" zoomScaleNormal="85" workbookViewId="0">
      <selection activeCell="N94" sqref="N94"/>
    </sheetView>
  </sheetViews>
  <sheetFormatPr defaultRowHeight="14.4"/>
  <cols>
    <col min="1" max="1" width="9.33203125"/>
    <col min="2" max="2" width="35.33203125" customWidth="1"/>
    <col min="3" max="7" width="6.88671875"/>
    <col min="8" max="8" width="6.5546875"/>
    <col min="9" max="9" width="7.33203125"/>
    <col min="10" max="10" width="6.33203125"/>
    <col min="11" max="11" width="11.5546875"/>
    <col min="12" max="1025" width="8.5546875"/>
  </cols>
  <sheetData>
    <row r="2" spans="2:9">
      <c r="B2" s="132"/>
      <c r="C2" s="2"/>
      <c r="D2" s="2"/>
      <c r="E2" s="2"/>
      <c r="F2" s="2"/>
      <c r="G2" s="2"/>
      <c r="H2" s="2"/>
      <c r="I2" s="3"/>
    </row>
    <row r="3" spans="2:9">
      <c r="B3" s="152"/>
      <c r="C3" s="153"/>
      <c r="D3" s="153"/>
      <c r="E3" s="153"/>
      <c r="F3" s="153"/>
      <c r="G3" s="153"/>
      <c r="H3" s="153"/>
      <c r="I3" s="154"/>
    </row>
    <row r="4" spans="2:9">
      <c r="B4" s="135" t="s">
        <v>159</v>
      </c>
      <c r="C4" s="8"/>
      <c r="D4" s="8"/>
      <c r="E4" s="8"/>
      <c r="F4" s="8"/>
      <c r="G4" s="8"/>
      <c r="H4" s="8"/>
      <c r="I4" s="9"/>
    </row>
    <row r="5" spans="2:9">
      <c r="B5" s="135"/>
      <c r="C5" s="8"/>
      <c r="D5" s="8"/>
      <c r="E5" s="8"/>
      <c r="F5" s="8"/>
      <c r="G5" s="8"/>
      <c r="H5" s="8"/>
      <c r="I5" s="9"/>
    </row>
    <row r="6" spans="2:9">
      <c r="B6" s="155" t="s">
        <v>160</v>
      </c>
      <c r="C6" s="156">
        <v>2010</v>
      </c>
      <c r="D6" s="156">
        <v>2011</v>
      </c>
      <c r="E6" s="156">
        <v>2012</v>
      </c>
      <c r="F6" s="156">
        <v>2013</v>
      </c>
      <c r="G6" s="157">
        <v>2014</v>
      </c>
      <c r="H6" s="158" t="s">
        <v>161</v>
      </c>
      <c r="I6" s="159" t="s">
        <v>162</v>
      </c>
    </row>
    <row r="7" spans="2:9">
      <c r="B7" s="135" t="s">
        <v>156</v>
      </c>
      <c r="C7" s="8"/>
      <c r="D7" s="8">
        <v>1</v>
      </c>
      <c r="E7" s="8">
        <v>2</v>
      </c>
      <c r="F7" s="8">
        <v>3</v>
      </c>
      <c r="G7" s="160">
        <v>4</v>
      </c>
      <c r="H7" s="8"/>
      <c r="I7" s="9"/>
    </row>
    <row r="8" spans="2:9">
      <c r="B8" s="136"/>
      <c r="C8" s="161"/>
      <c r="D8" s="161"/>
      <c r="E8" s="161"/>
      <c r="F8" s="161"/>
      <c r="G8" s="162"/>
      <c r="H8" s="161"/>
      <c r="I8" s="163"/>
    </row>
    <row r="9" spans="2:9">
      <c r="B9" s="135" t="s">
        <v>52</v>
      </c>
      <c r="C9" s="164">
        <f>IS!C7</f>
        <v>4826807000</v>
      </c>
      <c r="D9" s="164">
        <f>IS!D7</f>
        <v>5662145000</v>
      </c>
      <c r="E9" s="164">
        <f>IS!E7</f>
        <v>5052509000</v>
      </c>
      <c r="F9" s="164">
        <f>IS!F7</f>
        <v>6170003000</v>
      </c>
      <c r="G9" s="165">
        <f>IS!G7</f>
        <v>6627701000</v>
      </c>
      <c r="H9" s="8"/>
      <c r="I9" s="9"/>
    </row>
    <row r="10" spans="2:9">
      <c r="B10" s="141" t="s">
        <v>163</v>
      </c>
      <c r="C10" s="8"/>
      <c r="D10" s="166">
        <f>(D9-C9)/C9</f>
        <v>0.17306223348064259</v>
      </c>
      <c r="E10" s="166">
        <f>(E9-D9)/D9</f>
        <v>-0.10766873684796133</v>
      </c>
      <c r="F10" s="166">
        <f>(F9-E9)/E9</f>
        <v>0.2211760533232103</v>
      </c>
      <c r="G10" s="131">
        <f>(G9-F9)/F9</f>
        <v>7.4181163283064858E-2</v>
      </c>
      <c r="H10" s="167">
        <f>AVERAGE(D10:G10)</f>
        <v>9.0187678309739103E-2</v>
      </c>
      <c r="I10" s="168">
        <f>MEDIAN(D10:G10)</f>
        <v>0.12362169838185372</v>
      </c>
    </row>
    <row r="11" spans="2:9">
      <c r="B11" s="141" t="s">
        <v>164</v>
      </c>
      <c r="C11" s="8"/>
      <c r="D11" s="166">
        <f>(D9/$C9)^(1/D$7)-1</f>
        <v>0.17306223348064265</v>
      </c>
      <c r="E11" s="166">
        <f>(E9/$C9)^(1/E$7)-1</f>
        <v>2.3112948094067276E-2</v>
      </c>
      <c r="F11" s="166">
        <f>(F9/$C9)^(1/F$7)-1</f>
        <v>8.5280035105735674E-2</v>
      </c>
      <c r="G11" s="131">
        <f>(G9/$C9)^(1/G$7)-1</f>
        <v>8.2494612104758502E-2</v>
      </c>
      <c r="H11" s="167">
        <f>AVERAGE(D11:G11)</f>
        <v>9.0987457196301025E-2</v>
      </c>
      <c r="I11" s="168">
        <f>MEDIAN(D11:G11)</f>
        <v>8.3887323605247088E-2</v>
      </c>
    </row>
    <row r="12" spans="2:9">
      <c r="B12" s="136"/>
      <c r="C12" s="161"/>
      <c r="D12" s="161"/>
      <c r="E12" s="161"/>
      <c r="F12" s="161"/>
      <c r="G12" s="162"/>
      <c r="H12" s="161"/>
      <c r="I12" s="163"/>
    </row>
    <row r="13" spans="2:9">
      <c r="B13" s="135" t="s">
        <v>165</v>
      </c>
      <c r="C13" s="169">
        <f>IS!C8</f>
        <v>2564717000</v>
      </c>
      <c r="D13" s="169">
        <f>IS!D8</f>
        <v>3222999000</v>
      </c>
      <c r="E13" s="169">
        <f>IS!E8</f>
        <v>3369289000</v>
      </c>
      <c r="F13" s="169">
        <f>IS!F8</f>
        <v>3302520000</v>
      </c>
      <c r="G13" s="170">
        <f>IS!G8</f>
        <v>3559853000</v>
      </c>
      <c r="H13" s="8"/>
      <c r="I13" s="9"/>
    </row>
    <row r="14" spans="2:9">
      <c r="B14" s="141" t="s">
        <v>166</v>
      </c>
      <c r="C14" s="167">
        <f>C13/C$9</f>
        <v>0.53134857059749852</v>
      </c>
      <c r="D14" s="167">
        <f>D13/D$9</f>
        <v>0.56921873247682642</v>
      </c>
      <c r="E14" s="167">
        <f>E13/E$9</f>
        <v>0.6668546260877517</v>
      </c>
      <c r="F14" s="167">
        <f>F13/F$9</f>
        <v>0.53525419679698694</v>
      </c>
      <c r="G14" s="171">
        <f>G13/G$9</f>
        <v>0.53711732016878855</v>
      </c>
      <c r="H14" s="167">
        <f>AVERAGE(C14:G14)</f>
        <v>0.56795868922557047</v>
      </c>
      <c r="I14" s="168">
        <f>MEDIAN(C14:G14)</f>
        <v>0.53711732016878855</v>
      </c>
    </row>
    <row r="15" spans="2:9">
      <c r="B15" s="141" t="s">
        <v>163</v>
      </c>
      <c r="C15" s="169"/>
      <c r="D15" s="166">
        <f>(D13-C13)/C13</f>
        <v>0.25666847453344754</v>
      </c>
      <c r="E15" s="166">
        <f>(E13-D13)/D13</f>
        <v>4.5389402851195422E-2</v>
      </c>
      <c r="F15" s="166">
        <f>(F13-E13)/E13</f>
        <v>-1.9816940606757094E-2</v>
      </c>
      <c r="G15" s="131">
        <f>(G13-F13)/F13</f>
        <v>7.7920194275886298E-2</v>
      </c>
      <c r="H15" s="167">
        <f>AVERAGE(D15:G15)</f>
        <v>9.0040282763443044E-2</v>
      </c>
      <c r="I15" s="168">
        <f>MEDIAN(D15:G15)</f>
        <v>6.1654798563540864E-2</v>
      </c>
    </row>
    <row r="16" spans="2:9">
      <c r="B16" s="141" t="s">
        <v>164</v>
      </c>
      <c r="C16" s="169"/>
      <c r="D16" s="166">
        <f>(D13/$C13)^(1/D$7)-1</f>
        <v>0.25666847453344754</v>
      </c>
      <c r="E16" s="166">
        <f>(E13/$C13)^(1/E$7)-1</f>
        <v>0.14617097597803586</v>
      </c>
      <c r="F16" s="166">
        <f>(F13/$C13)^(1/F$7)-1</f>
        <v>8.7932628397239698E-2</v>
      </c>
      <c r="G16" s="131">
        <f>(G13/$C13)^(1/G$7)-1</f>
        <v>8.5420834489898123E-2</v>
      </c>
      <c r="H16" s="167">
        <f>AVERAGE(D16:G16)</f>
        <v>0.14404822834965531</v>
      </c>
      <c r="I16" s="168">
        <f>MEDIAN(D16:G16)</f>
        <v>0.11705180218763778</v>
      </c>
    </row>
    <row r="17" spans="2:9">
      <c r="B17" s="136"/>
      <c r="C17" s="172"/>
      <c r="D17" s="172"/>
      <c r="E17" s="172"/>
      <c r="F17" s="172"/>
      <c r="G17" s="173"/>
      <c r="H17" s="173"/>
      <c r="I17" s="173"/>
    </row>
    <row r="18" spans="2:9">
      <c r="B18" s="135" t="s">
        <v>167</v>
      </c>
      <c r="C18" s="169">
        <f>IS!C11</f>
        <v>422562000</v>
      </c>
      <c r="D18" s="169">
        <f>IS!D11</f>
        <v>547373000</v>
      </c>
      <c r="E18" s="169">
        <f>IS!E11</f>
        <v>602765000</v>
      </c>
      <c r="F18" s="169">
        <f>IS!F11</f>
        <v>742268000</v>
      </c>
      <c r="G18" s="170">
        <f>IS!G11</f>
        <v>852310000</v>
      </c>
    </row>
    <row r="19" spans="2:9">
      <c r="B19" s="141" t="s">
        <v>166</v>
      </c>
      <c r="C19" s="167">
        <f>C18/C$13</f>
        <v>0.16475969863341647</v>
      </c>
      <c r="D19" s="167">
        <f>D18/D$9</f>
        <v>9.6672374162088751E-2</v>
      </c>
      <c r="E19" s="167">
        <f>E18/E$9</f>
        <v>0.11930013385428903</v>
      </c>
      <c r="F19" s="167">
        <f>F18/F$9</f>
        <v>0.12030269677340513</v>
      </c>
      <c r="G19" s="171">
        <f>G18/G$9</f>
        <v>0.12859813681999233</v>
      </c>
      <c r="H19" s="167">
        <f>AVERAGE(C19:G19)</f>
        <v>0.12592660804863834</v>
      </c>
      <c r="I19" s="168">
        <f>MEDIAN(C19:G19)</f>
        <v>0.12030269677340513</v>
      </c>
    </row>
    <row r="20" spans="2:9">
      <c r="B20" s="141" t="s">
        <v>163</v>
      </c>
      <c r="C20" s="169"/>
      <c r="D20" s="166">
        <f>(D18-C18)/C18</f>
        <v>0.29536730704606662</v>
      </c>
      <c r="E20" s="166">
        <f>(E18-D18)/D18</f>
        <v>0.10119607653282131</v>
      </c>
      <c r="F20" s="166">
        <f>(F18-E18)/E18</f>
        <v>0.23143845445571656</v>
      </c>
      <c r="G20" s="131">
        <f>(G18-F18)/F18</f>
        <v>0.14825103601394646</v>
      </c>
      <c r="H20" s="167">
        <f>AVERAGE(D20:G20)</f>
        <v>0.19406321851213776</v>
      </c>
      <c r="I20" s="168">
        <f>MEDIAN(D20:G20)</f>
        <v>0.18984474523483152</v>
      </c>
    </row>
    <row r="21" spans="2:9">
      <c r="B21" s="141" t="s">
        <v>164</v>
      </c>
      <c r="C21" s="169"/>
      <c r="D21" s="166">
        <f>(D18/$C18)^(1/D$7)-1</f>
        <v>0.29536730704606651</v>
      </c>
      <c r="E21" s="166">
        <f>(E18/$C18)^(1/E$7)-1</f>
        <v>0.19434224416120149</v>
      </c>
      <c r="F21" s="166">
        <f>(F18/$C18)^(1/F$7)-1</f>
        <v>0.20658178903318691</v>
      </c>
      <c r="G21" s="131">
        <f>(G18/$C18)^(1/G$7)-1</f>
        <v>0.19172701982930929</v>
      </c>
      <c r="H21" s="167">
        <f>AVERAGE(D21:G21)</f>
        <v>0.22200459001744105</v>
      </c>
      <c r="I21" s="168">
        <f>MEDIAN(D21:G21)</f>
        <v>0.2004620165971942</v>
      </c>
    </row>
    <row r="22" spans="2:9">
      <c r="B22" s="136"/>
      <c r="C22" s="172"/>
      <c r="D22" s="172"/>
      <c r="E22" s="172"/>
      <c r="F22" s="172"/>
      <c r="G22" s="173"/>
    </row>
    <row r="23" spans="2:9">
      <c r="B23" s="135" t="s">
        <v>168</v>
      </c>
      <c r="C23" s="169">
        <f>IS!C12</f>
        <v>376282000</v>
      </c>
      <c r="D23" s="169">
        <f>IS!D12</f>
        <v>357188000</v>
      </c>
      <c r="E23" s="169">
        <f>IS!E12</f>
        <v>374455000</v>
      </c>
      <c r="F23" s="169">
        <f>IS!F12</f>
        <v>468622000</v>
      </c>
      <c r="G23" s="170">
        <f>IS!G12</f>
        <v>578502000</v>
      </c>
    </row>
    <row r="24" spans="2:9">
      <c r="B24" s="141" t="s">
        <v>166</v>
      </c>
      <c r="C24" s="167">
        <f>C23/C$9</f>
        <v>7.7956711341472737E-2</v>
      </c>
      <c r="D24" s="167">
        <f>D23/D$9</f>
        <v>6.3083513403489319E-2</v>
      </c>
      <c r="E24" s="167">
        <f>E23/E$9</f>
        <v>7.4112683421246744E-2</v>
      </c>
      <c r="F24" s="167">
        <f>F23/F$9</f>
        <v>7.5951664853323414E-2</v>
      </c>
      <c r="G24" s="171">
        <f>G23/G$9</f>
        <v>8.7285470482147576E-2</v>
      </c>
      <c r="H24" s="167">
        <f>AVERAGE(C24:G24)</f>
        <v>7.5678008700335947E-2</v>
      </c>
      <c r="I24" s="168">
        <f>MEDIAN(C24:G24)</f>
        <v>7.5951664853323414E-2</v>
      </c>
    </row>
    <row r="25" spans="2:9">
      <c r="B25" s="141" t="s">
        <v>163</v>
      </c>
      <c r="C25" s="169"/>
      <c r="D25" s="166">
        <f>(D23-C23)/C23</f>
        <v>-5.0743857000866373E-2</v>
      </c>
      <c r="E25" s="166">
        <f>(E23-D23)/D23</f>
        <v>4.8341489635710048E-2</v>
      </c>
      <c r="F25" s="166">
        <f>(F23-E23)/E23</f>
        <v>0.25147748060514613</v>
      </c>
      <c r="G25" s="131">
        <f>(G23-F23)/F23</f>
        <v>0.23447469388974482</v>
      </c>
      <c r="H25" s="167">
        <f>AVERAGE(D25:G25)</f>
        <v>0.12088745178243365</v>
      </c>
      <c r="I25" s="168">
        <f>MEDIAN(D25:G25)</f>
        <v>0.14140809176272742</v>
      </c>
    </row>
    <row r="26" spans="2:9">
      <c r="B26" s="141" t="s">
        <v>164</v>
      </c>
      <c r="C26" s="169"/>
      <c r="D26" s="166">
        <f>(D23/$C23)^(1/D$7)-1</f>
        <v>-5.0743857000866366E-2</v>
      </c>
      <c r="E26" s="166">
        <f>(E23/$C23)^(1/E$7)-1</f>
        <v>-2.4306545419710002E-3</v>
      </c>
      <c r="F26" s="166">
        <f>(F23/$C23)^(1/F$7)-1</f>
        <v>7.5894638156271288E-2</v>
      </c>
      <c r="G26" s="131">
        <f>(G23/$C23)^(1/G$7)-1</f>
        <v>0.11351957291400194</v>
      </c>
      <c r="H26" s="167">
        <f>AVERAGE(D26:G26)</f>
        <v>3.4059924881858966E-2</v>
      </c>
      <c r="I26" s="168">
        <f>MEDIAN(D26:G26)</f>
        <v>3.6731991807150144E-2</v>
      </c>
    </row>
    <row r="27" spans="2:9">
      <c r="B27" s="174"/>
      <c r="C27" s="172"/>
      <c r="D27" s="172"/>
      <c r="E27" s="172"/>
      <c r="F27" s="172"/>
      <c r="G27" s="173"/>
    </row>
    <row r="28" spans="2:9" ht="28.8">
      <c r="B28" s="175" t="s">
        <v>58</v>
      </c>
      <c r="C28" s="169">
        <f>IS!C13</f>
        <v>1672000</v>
      </c>
      <c r="D28" s="169">
        <f>IS!D13</f>
        <v>4485000</v>
      </c>
      <c r="E28" s="169">
        <f>IS!E13</f>
        <v>9905000</v>
      </c>
      <c r="F28" s="169">
        <f>IS!F13</f>
        <v>94383000</v>
      </c>
      <c r="G28" s="169">
        <f>IS!G13</f>
        <v>26423000</v>
      </c>
    </row>
    <row r="29" spans="2:9">
      <c r="B29" s="141" t="s">
        <v>166</v>
      </c>
      <c r="C29" s="167">
        <f>C28/C$9</f>
        <v>3.463987683783503E-4</v>
      </c>
      <c r="D29" s="167">
        <f>D28/D$9</f>
        <v>7.9210263954738005E-4</v>
      </c>
      <c r="E29" s="167">
        <f>E28/E$9</f>
        <v>1.9604121437487789E-3</v>
      </c>
      <c r="F29" s="167">
        <f>F28/F$9</f>
        <v>1.5297075220222745E-2</v>
      </c>
      <c r="G29" s="171">
        <f>G28/G$9</f>
        <v>3.986751967235698E-3</v>
      </c>
      <c r="H29" s="167">
        <f>AVERAGE(C29:G29)</f>
        <v>4.4765481478265898E-3</v>
      </c>
      <c r="I29" s="168">
        <f>MEDIAN(C29:G29)</f>
        <v>1.9604121437487789E-3</v>
      </c>
    </row>
    <row r="30" spans="2:9">
      <c r="B30" s="141" t="s">
        <v>163</v>
      </c>
      <c r="C30" s="169"/>
      <c r="D30" s="166">
        <f>(D28-C28)/C28</f>
        <v>1.6824162679425838</v>
      </c>
      <c r="E30" s="166">
        <f>(E28-D28)/D28</f>
        <v>1.2084726867335562</v>
      </c>
      <c r="F30" s="166">
        <f>(F28-E28)/E28</f>
        <v>8.5288238263503278</v>
      </c>
      <c r="G30" s="131">
        <f>(G28-F28)/F28</f>
        <v>-0.7200449233442463</v>
      </c>
      <c r="H30" s="167">
        <f>AVERAGE(D30:G30)</f>
        <v>2.6749169644205555</v>
      </c>
      <c r="I30" s="168">
        <f>MEDIAN(D30:G30)</f>
        <v>1.4454444773380701</v>
      </c>
    </row>
    <row r="31" spans="2:9">
      <c r="B31" s="141" t="s">
        <v>164</v>
      </c>
      <c r="C31" s="169"/>
      <c r="D31" s="166">
        <f>(D28/$C28)^(1/D$7)-1</f>
        <v>1.6824162679425836</v>
      </c>
      <c r="E31" s="166">
        <f>(E28/$C28)^(1/E$7)-1</f>
        <v>1.4339357144758273</v>
      </c>
      <c r="F31" s="166">
        <f>(F28/$C28)^(1/F$7)-1</f>
        <v>2.8360639165557506</v>
      </c>
      <c r="G31" s="131">
        <f>(G28/$C28)^(1/G$7)-1</f>
        <v>0.99382236353332587</v>
      </c>
      <c r="H31" s="167">
        <f>AVERAGE(D31:G31)</f>
        <v>1.7365595656268717</v>
      </c>
      <c r="I31" s="168">
        <f>MEDIAN(D31:G31)</f>
        <v>1.5581759912092055</v>
      </c>
    </row>
    <row r="32" spans="2:9">
      <c r="B32" s="136"/>
      <c r="C32" s="172"/>
      <c r="D32" s="172"/>
      <c r="E32" s="172"/>
      <c r="F32" s="172"/>
      <c r="G32" s="173"/>
    </row>
    <row r="33" spans="2:9">
      <c r="B33" s="135" t="s">
        <v>169</v>
      </c>
      <c r="C33" s="169">
        <f>IS!C15</f>
        <v>800516000</v>
      </c>
      <c r="D33" s="169">
        <f>IS!D15</f>
        <v>909046000</v>
      </c>
      <c r="E33" s="169">
        <f>IS!E15</f>
        <v>987125000</v>
      </c>
      <c r="F33" s="169">
        <f>IS!F15</f>
        <v>1305273000</v>
      </c>
      <c r="G33" s="169">
        <f>IS!G15</f>
        <v>1509914000</v>
      </c>
    </row>
    <row r="34" spans="2:9">
      <c r="B34" s="141" t="s">
        <v>166</v>
      </c>
      <c r="C34" s="167">
        <f>C33/C$9</f>
        <v>0.16584794047079157</v>
      </c>
      <c r="D34" s="167">
        <f>D33/D$9</f>
        <v>0.16054799020512545</v>
      </c>
      <c r="E34" s="167">
        <f>E33/E$9</f>
        <v>0.19537322941928456</v>
      </c>
      <c r="F34" s="167">
        <f>F33/F$9</f>
        <v>0.2115514368469513</v>
      </c>
      <c r="G34" s="171">
        <f>G33/G$9</f>
        <v>0.22781866592955838</v>
      </c>
      <c r="H34" s="167">
        <f>AVERAGE(C34:G34)</f>
        <v>0.19222785257434225</v>
      </c>
      <c r="I34" s="168">
        <f>MEDIAN(C4:G34)</f>
        <v>0.29536730704606656</v>
      </c>
    </row>
    <row r="35" spans="2:9">
      <c r="B35" s="141" t="s">
        <v>163</v>
      </c>
      <c r="C35" s="169"/>
      <c r="D35" s="166">
        <f>(D33-C33)/C33</f>
        <v>0.13557505409011189</v>
      </c>
      <c r="E35" s="166">
        <f>(E33-D33)/D33</f>
        <v>8.5891143022465311E-2</v>
      </c>
      <c r="F35" s="166">
        <f>(F33-E33)/E33</f>
        <v>0.32229758136001013</v>
      </c>
      <c r="G35" s="131">
        <f>(G33-F33)/F33</f>
        <v>0.15678022911682077</v>
      </c>
      <c r="H35" s="167">
        <f>AVERAGE(D35:G35)</f>
        <v>0.17513600189735201</v>
      </c>
      <c r="I35" s="168">
        <f>MEDIAN(D35:G35)</f>
        <v>0.14617764160346633</v>
      </c>
    </row>
    <row r="36" spans="2:9">
      <c r="B36" s="141" t="s">
        <v>164</v>
      </c>
      <c r="C36" s="169"/>
      <c r="D36" s="166">
        <f>(D33/$C33)^(1/D$7)-1</f>
        <v>0.13557505409011195</v>
      </c>
      <c r="E36" s="166">
        <f>(E33/$C33)^(1/E$7)-1</f>
        <v>0.11045526405781403</v>
      </c>
      <c r="F36" s="166">
        <f>(F33/$C33)^(1/F$7)-1</f>
        <v>0.17700176106855392</v>
      </c>
      <c r="G36" s="131">
        <f>(G33/$C33)^(1/G$7)-1</f>
        <v>0.17191347741681229</v>
      </c>
      <c r="H36" s="167">
        <f>AVERAGE(D36:G36)</f>
        <v>0.14873638915832305</v>
      </c>
      <c r="I36" s="168">
        <f>MEDIAN(D36:G36)</f>
        <v>0.15374426575346212</v>
      </c>
    </row>
    <row r="37" spans="2:9">
      <c r="B37" s="136"/>
      <c r="C37" s="172"/>
      <c r="D37" s="172"/>
      <c r="E37" s="172"/>
      <c r="F37" s="172"/>
      <c r="G37" s="173"/>
    </row>
    <row r="38" spans="2:9">
      <c r="B38" s="135" t="s">
        <v>170</v>
      </c>
      <c r="C38" s="169">
        <f>IS!C17</f>
        <v>84973000</v>
      </c>
      <c r="D38" s="169">
        <f>IS!D17</f>
        <v>81952000</v>
      </c>
      <c r="E38" s="169">
        <f>IS!E17</f>
        <v>51229000</v>
      </c>
      <c r="F38" s="169">
        <f>IS!F17</f>
        <v>52004000</v>
      </c>
      <c r="G38" s="169">
        <f>IS!G17</f>
        <v>56574000</v>
      </c>
    </row>
    <row r="39" spans="2:9">
      <c r="B39" s="141" t="s">
        <v>166</v>
      </c>
      <c r="C39" s="167">
        <f>C38/C$9</f>
        <v>1.7604391474529642E-2</v>
      </c>
      <c r="D39" s="167">
        <f>D38/D$9</f>
        <v>1.4473666781758503E-2</v>
      </c>
      <c r="E39" s="167">
        <f>E38/E$9</f>
        <v>1.0139318900767915E-2</v>
      </c>
      <c r="F39" s="167">
        <f>F38/F$9</f>
        <v>8.4285210234095517E-3</v>
      </c>
      <c r="G39" s="171">
        <f>G38/G$9</f>
        <v>8.5359915904474268E-3</v>
      </c>
      <c r="H39" s="167">
        <f>AVERAGE(C39:G39)</f>
        <v>1.1836377954182607E-2</v>
      </c>
      <c r="I39" s="168">
        <f>MEDIAN(C39:G39)</f>
        <v>1.0139318900767915E-2</v>
      </c>
    </row>
    <row r="40" spans="2:9">
      <c r="B40" s="141" t="s">
        <v>163</v>
      </c>
      <c r="C40" s="169"/>
      <c r="D40" s="166">
        <f>(D38-C38)/C38</f>
        <v>-3.5552469607993124E-2</v>
      </c>
      <c r="E40" s="166">
        <f>(E38-D38)/D38</f>
        <v>-0.374890179617337</v>
      </c>
      <c r="F40" s="166">
        <f>(F38-E38)/E38</f>
        <v>1.5128150071248707E-2</v>
      </c>
      <c r="G40" s="131">
        <f>(G38-F38)/F38</f>
        <v>8.7877855549573114E-2</v>
      </c>
      <c r="H40" s="167">
        <f>AVERAGE(D40:G40)</f>
        <v>-7.6859160901127085E-2</v>
      </c>
      <c r="I40" s="168">
        <f>MEDIAN(D40:G40)</f>
        <v>-1.0212159768372208E-2</v>
      </c>
    </row>
    <row r="41" spans="2:9">
      <c r="B41" s="141" t="s">
        <v>164</v>
      </c>
      <c r="C41" s="169"/>
      <c r="D41" s="166">
        <f>(D38/$C38)^(1/D$7)-1</f>
        <v>-3.5552469607993076E-2</v>
      </c>
      <c r="E41" s="166">
        <f>(E38/$C38)^(1/E$7)-1</f>
        <v>-0.22354290363739326</v>
      </c>
      <c r="F41" s="166">
        <f>(F38/$C38)^(1/F$7)-1</f>
        <v>-0.15097867349135696</v>
      </c>
      <c r="G41" s="131">
        <f>(G38/$C38)^(1/G$7)-1</f>
        <v>-9.6695895385092601E-2</v>
      </c>
      <c r="H41" s="167">
        <f>AVERAGE(D41:G41)</f>
        <v>-0.12669248553045898</v>
      </c>
      <c r="I41" s="168">
        <f>MEDIAN(D41:G41)</f>
        <v>-0.12383728443822478</v>
      </c>
    </row>
    <row r="42" spans="2:9">
      <c r="B42" s="136"/>
      <c r="C42" s="172"/>
      <c r="D42" s="172"/>
      <c r="E42" s="172"/>
      <c r="F42" s="172"/>
      <c r="G42" s="173"/>
    </row>
    <row r="43" spans="2:9" ht="28.8">
      <c r="B43" s="68" t="s">
        <v>171</v>
      </c>
      <c r="C43" s="169">
        <f>IS!C18</f>
        <v>-89114000</v>
      </c>
      <c r="D43" s="169">
        <f>IS!D18</f>
        <v>-135298000</v>
      </c>
      <c r="E43" s="169">
        <f>IS!E18</f>
        <v>-120408000</v>
      </c>
      <c r="F43" s="169">
        <f>IS!F18</f>
        <v>-98065000</v>
      </c>
      <c r="G43" s="169">
        <f>IS!G18</f>
        <v>-125478000</v>
      </c>
    </row>
    <row r="44" spans="2:9">
      <c r="B44" s="141" t="s">
        <v>166</v>
      </c>
      <c r="C44" s="167">
        <f>C43/C$9</f>
        <v>-1.8462308519897316E-2</v>
      </c>
      <c r="D44" s="167">
        <f>D43/D$9</f>
        <v>-2.3895184598769548E-2</v>
      </c>
      <c r="E44" s="167">
        <f>E43/E$9</f>
        <v>-2.3831328157950832E-2</v>
      </c>
      <c r="F44" s="167">
        <f>F43/F$9</f>
        <v>-1.5893833438978881E-2</v>
      </c>
      <c r="G44" s="171">
        <f>G43/G$9</f>
        <v>-1.8932356785558067E-2</v>
      </c>
      <c r="H44" s="167">
        <f>AVERAGE(C44:G44)</f>
        <v>-2.0203002300230928E-2</v>
      </c>
      <c r="I44" s="168">
        <f>MEDIAN(C44:G44)</f>
        <v>-1.8932356785558067E-2</v>
      </c>
    </row>
    <row r="45" spans="2:9">
      <c r="B45" s="141" t="s">
        <v>163</v>
      </c>
      <c r="C45" s="169"/>
      <c r="D45" s="166">
        <f>(D43-C43)/C43</f>
        <v>0.51825751284871069</v>
      </c>
      <c r="E45" s="166">
        <f>(E43-D43)/D43</f>
        <v>-0.11005336368608552</v>
      </c>
      <c r="F45" s="166">
        <f>(F43-E43)/E43</f>
        <v>-0.18556076008238656</v>
      </c>
      <c r="G45" s="131">
        <f>(G43-F43)/F43</f>
        <v>0.27953908122163873</v>
      </c>
      <c r="H45" s="167">
        <f>AVERAGE(D45:G45)</f>
        <v>0.12554561757546934</v>
      </c>
      <c r="I45" s="168">
        <f>MEDIAN(D45:G45)</f>
        <v>8.474285876777661E-2</v>
      </c>
    </row>
    <row r="46" spans="2:9">
      <c r="B46" s="141" t="s">
        <v>164</v>
      </c>
      <c r="C46" s="169"/>
      <c r="D46" s="166">
        <f>(D43/$C43)^(1/D$7)-1</f>
        <v>0.51825751284871058</v>
      </c>
      <c r="E46" s="166">
        <f>(E43/$C43)^(1/E$7)-1</f>
        <v>0.16239759403486365</v>
      </c>
      <c r="F46" s="166">
        <f>(F43/$C43)^(1/F$7)-1</f>
        <v>3.2419102525630628E-2</v>
      </c>
      <c r="G46" s="131">
        <f>(G43/$C43)^(1/G$7)-1</f>
        <v>8.931983715548597E-2</v>
      </c>
      <c r="H46" s="167">
        <f>AVERAGE(D46:G46)</f>
        <v>0.20059851164117271</v>
      </c>
      <c r="I46" s="168">
        <f>MEDIAN(D46:G46)</f>
        <v>0.12585871559517481</v>
      </c>
    </row>
    <row r="47" spans="2:9">
      <c r="B47" s="136"/>
      <c r="C47" s="172"/>
      <c r="D47" s="172"/>
      <c r="E47" s="172"/>
      <c r="F47" s="172"/>
      <c r="G47" s="173"/>
    </row>
    <row r="48" spans="2:9">
      <c r="B48" s="135" t="s">
        <v>172</v>
      </c>
      <c r="C48" s="169">
        <f>IS!C19</f>
        <v>-4141000</v>
      </c>
      <c r="D48" s="169">
        <f>IS!D19</f>
        <v>-53346000</v>
      </c>
      <c r="E48" s="169">
        <f>IS!E19</f>
        <v>-69179000</v>
      </c>
      <c r="F48" s="169">
        <f>IS!F19</f>
        <v>-46061000</v>
      </c>
      <c r="G48" s="169">
        <f>IS!G19</f>
        <v>-68904000</v>
      </c>
    </row>
    <row r="49" spans="2:9">
      <c r="B49" s="141" t="s">
        <v>166</v>
      </c>
      <c r="C49" s="167">
        <f>C48/C$9</f>
        <v>-8.5791704536767265E-4</v>
      </c>
      <c r="D49" s="167">
        <f>D48/D$9</f>
        <v>-9.4215178170110447E-3</v>
      </c>
      <c r="E49" s="167">
        <f>E48/E$9</f>
        <v>-1.3692009257182917E-2</v>
      </c>
      <c r="F49" s="167">
        <f>F48/F$9</f>
        <v>-7.4653124155693281E-3</v>
      </c>
      <c r="G49" s="171">
        <f>G48/G$9</f>
        <v>-1.0396365195110642E-2</v>
      </c>
      <c r="H49" s="167">
        <f>AVERAGE(C49:G49)</f>
        <v>-8.3666243460483215E-3</v>
      </c>
      <c r="I49" s="168">
        <f>MEDIAN(C49:G49)</f>
        <v>-9.4215178170110447E-3</v>
      </c>
    </row>
    <row r="50" spans="2:9">
      <c r="B50" s="141" t="s">
        <v>163</v>
      </c>
      <c r="C50" s="169"/>
      <c r="D50" s="166">
        <f>(D48-C48)/C48</f>
        <v>11.882395556628834</v>
      </c>
      <c r="E50" s="166">
        <f>(E48-D48)/D48</f>
        <v>0.29679826041315188</v>
      </c>
      <c r="F50" s="166">
        <f>(F48-E48)/E48</f>
        <v>-0.33417655646944883</v>
      </c>
      <c r="G50" s="131">
        <f>(G48-F48)/F48</f>
        <v>0.49592931113089167</v>
      </c>
      <c r="H50" s="167">
        <f>AVERAGE(D50:G50)</f>
        <v>3.0852366429258571</v>
      </c>
      <c r="I50" s="168">
        <f>MEDIAN(D50:G50)</f>
        <v>0.3963637857720218</v>
      </c>
    </row>
    <row r="51" spans="2:9">
      <c r="B51" s="141" t="s">
        <v>164</v>
      </c>
      <c r="C51" s="169"/>
      <c r="D51" s="166">
        <f>(D48/$C48)^(1/D$7)-1</f>
        <v>11.882395556628834</v>
      </c>
      <c r="E51" s="166">
        <f>(E48/$C48)^(1/E$7)-1</f>
        <v>3.0872812660484215</v>
      </c>
      <c r="F51" s="166">
        <f>(F48/$C48)^(1/F$7)-1</f>
        <v>1.2322493780653621</v>
      </c>
      <c r="G51" s="131">
        <f>(G48/$C48)^(1/G$7)-1</f>
        <v>1.0196903987702446</v>
      </c>
      <c r="H51" s="167">
        <f>AVERAGE(D51:G51)</f>
        <v>4.3054041498782158</v>
      </c>
      <c r="I51" s="168">
        <f>MEDIAN(D51:G51)</f>
        <v>2.1597653220568915</v>
      </c>
    </row>
    <row r="53" spans="2:9">
      <c r="B53" s="135" t="s">
        <v>173</v>
      </c>
      <c r="C53" s="169">
        <f>IS!C21</f>
        <v>157291000</v>
      </c>
      <c r="D53" s="169">
        <f>IS!D21</f>
        <v>489764000</v>
      </c>
      <c r="E53" s="169">
        <f>IS!E21</f>
        <v>209512000</v>
      </c>
      <c r="F53" s="169">
        <f>IS!F21</f>
        <v>473492000</v>
      </c>
      <c r="G53" s="169">
        <f>IS!G21</f>
        <v>481584000</v>
      </c>
    </row>
    <row r="54" spans="2:9">
      <c r="B54" s="135" t="s">
        <v>174</v>
      </c>
      <c r="C54" s="169">
        <f>IS!C20</f>
        <v>1457433000</v>
      </c>
      <c r="D54" s="169">
        <f>IS!D20</f>
        <v>1476754000</v>
      </c>
      <c r="E54" s="169">
        <f>IS!E20</f>
        <v>626916000</v>
      </c>
      <c r="F54" s="169">
        <f>IS!F20</f>
        <v>1516149000</v>
      </c>
      <c r="G54" s="170">
        <f>IS!G20</f>
        <v>1489030000</v>
      </c>
    </row>
    <row r="55" spans="2:9">
      <c r="B55" s="141" t="s">
        <v>175</v>
      </c>
      <c r="C55" s="166">
        <f>C53/C54</f>
        <v>0.10792331448512556</v>
      </c>
      <c r="D55" s="166">
        <f>D53/D54</f>
        <v>0.33164900856879342</v>
      </c>
      <c r="E55" s="166">
        <f>E53/E54</f>
        <v>0.33419469274990588</v>
      </c>
      <c r="F55" s="166">
        <f>F53/F54</f>
        <v>0.31229912099668306</v>
      </c>
      <c r="G55" s="131">
        <f>G53/G54</f>
        <v>0.32342128768392847</v>
      </c>
      <c r="H55" s="167">
        <f>AVERAGE(C55:G55)</f>
        <v>0.28189748489688726</v>
      </c>
      <c r="I55" s="168">
        <f>MEDIAN(C55:G55)</f>
        <v>0.32342128768392847</v>
      </c>
    </row>
    <row r="56" spans="2:9">
      <c r="B56" s="141" t="s">
        <v>166</v>
      </c>
      <c r="C56" s="167">
        <f>C54/C$9</f>
        <v>0.30194557188634225</v>
      </c>
      <c r="D56" s="167">
        <f>D54/D$9</f>
        <v>0.26081175950103713</v>
      </c>
      <c r="E56" s="167">
        <f>E54/E$9</f>
        <v>0.12408013523578088</v>
      </c>
      <c r="F56" s="167">
        <f>F54/F$9</f>
        <v>0.24572905394049241</v>
      </c>
      <c r="G56" s="171">
        <f>G54/G$9</f>
        <v>0.22466764870654243</v>
      </c>
      <c r="H56" s="167">
        <f>AVERAGE(C56:G56)</f>
        <v>0.23144683385403902</v>
      </c>
      <c r="I56" s="168">
        <f>MEDIAN(C56:G56)</f>
        <v>0.24572905394049241</v>
      </c>
    </row>
    <row r="57" spans="2:9">
      <c r="B57" s="141" t="s">
        <v>163</v>
      </c>
      <c r="C57" s="169"/>
      <c r="D57" s="166">
        <f>(D53-C53)/C53</f>
        <v>2.113744588056532</v>
      </c>
      <c r="E57" s="166">
        <f>(E53-D53)/D53</f>
        <v>-0.57221845623606471</v>
      </c>
      <c r="F57" s="166">
        <f>(F53-E53)/E53</f>
        <v>1.2599755622589637</v>
      </c>
      <c r="G57" s="131">
        <f>(G53-F53)/F53</f>
        <v>1.7090045871947152E-2</v>
      </c>
      <c r="H57" s="167">
        <f>AVERAGE(D57:G57)</f>
        <v>0.7046479349878445</v>
      </c>
      <c r="I57" s="168">
        <f>MEDIAN(D57:G57)</f>
        <v>0.63853280406545543</v>
      </c>
    </row>
    <row r="58" spans="2:9">
      <c r="B58" s="141" t="s">
        <v>164</v>
      </c>
      <c r="C58" s="169"/>
      <c r="D58" s="166">
        <f>(D54/$C54)^(1/D$7)-1</f>
        <v>1.3256870127134501E-2</v>
      </c>
      <c r="E58" s="166">
        <f>(E54/$C54)^(1/E$7)-1</f>
        <v>-0.34414115850353699</v>
      </c>
      <c r="F58" s="166">
        <f>(F54/$C54)^(1/F$7)-1</f>
        <v>1.3252681303331793E-2</v>
      </c>
      <c r="G58" s="131">
        <f>(G54/$C54)^(1/G$7)-1</f>
        <v>5.3764596095136064E-3</v>
      </c>
      <c r="H58" s="167">
        <f>AVERAGE(D58:G58)</f>
        <v>-7.8063786865889273E-2</v>
      </c>
      <c r="I58" s="168">
        <f>MEDIAN(D58:G58)</f>
        <v>9.3145704564226994E-3</v>
      </c>
    </row>
    <row r="59" spans="2:9">
      <c r="B59" s="136"/>
      <c r="C59" s="172"/>
      <c r="D59" s="172"/>
      <c r="E59" s="172"/>
      <c r="F59" s="172"/>
      <c r="G59" s="173"/>
    </row>
    <row r="60" spans="2:9">
      <c r="B60" s="176" t="s">
        <v>176</v>
      </c>
      <c r="C60" s="169">
        <f>CF!C11</f>
        <v>226779000</v>
      </c>
      <c r="D60" s="169">
        <f>CF!D11</f>
        <v>351960000</v>
      </c>
      <c r="E60" s="169">
        <f>CF!E11</f>
        <v>416301000</v>
      </c>
      <c r="F60" s="169">
        <f>CF!F11</f>
        <v>464065000</v>
      </c>
      <c r="G60" s="169">
        <f>CF!G11</f>
        <v>578502000</v>
      </c>
    </row>
    <row r="61" spans="2:9">
      <c r="B61" s="141" t="s">
        <v>166</v>
      </c>
      <c r="C61" s="167">
        <f>C60/C$9</f>
        <v>4.6983233429470042E-2</v>
      </c>
      <c r="D61" s="167">
        <f>D60/D$9</f>
        <v>6.2160188409162959E-2</v>
      </c>
      <c r="E61" s="167">
        <f>E60/E$9</f>
        <v>8.2394905184730999E-2</v>
      </c>
      <c r="F61" s="167">
        <f>F60/F$9</f>
        <v>7.5213091468513057E-2</v>
      </c>
      <c r="G61" s="171">
        <f>G60/G$9</f>
        <v>8.7285470482147576E-2</v>
      </c>
      <c r="H61" s="167">
        <f>AVERAGE(C61:G61)</f>
        <v>7.0807377794804921E-2</v>
      </c>
      <c r="I61" s="168">
        <f>MEDIAN(C61:G61)</f>
        <v>7.5213091468513057E-2</v>
      </c>
    </row>
    <row r="62" spans="2:9">
      <c r="B62" s="141" t="s">
        <v>163</v>
      </c>
      <c r="C62" s="169"/>
      <c r="D62" s="166">
        <f>(D60-C60)/C60</f>
        <v>0.55199555514399479</v>
      </c>
      <c r="E62" s="166">
        <f>(E60-D60)/D60</f>
        <v>0.18280770542107058</v>
      </c>
      <c r="F62" s="166">
        <f>(F60-E60)/E60</f>
        <v>0.11473429081361804</v>
      </c>
      <c r="G62" s="131">
        <f>(G60-F60)/F60</f>
        <v>0.24659692068998956</v>
      </c>
      <c r="H62" s="167">
        <f>AVERAGE(D62:G62)</f>
        <v>0.27403361801716825</v>
      </c>
      <c r="I62" s="168">
        <f>MEDIAN(D62:G62)</f>
        <v>0.21470231305553006</v>
      </c>
    </row>
    <row r="63" spans="2:9">
      <c r="B63" s="141" t="s">
        <v>164</v>
      </c>
      <c r="C63" s="169"/>
      <c r="D63" s="166">
        <f>(D60/$C60)^(1/D$7)-1</f>
        <v>0.55199555514399479</v>
      </c>
      <c r="E63" s="166">
        <f>(E60/$C60)^(1/E$7)-1</f>
        <v>0.3548846081506607</v>
      </c>
      <c r="F63" s="166">
        <f>(F60/$C60)^(1/F$7)-1</f>
        <v>0.26957587061702371</v>
      </c>
      <c r="G63" s="131">
        <f>(G60/$C60)^(1/G$7)-1</f>
        <v>0.26379172448832455</v>
      </c>
      <c r="H63" s="167">
        <f>AVERAGE(D63:G63)</f>
        <v>0.36006193960000094</v>
      </c>
      <c r="I63" s="168">
        <f>MEDIAN(D63:G63)</f>
        <v>0.3122302393838422</v>
      </c>
    </row>
    <row r="64" spans="2:9">
      <c r="B64" s="136"/>
      <c r="C64" s="172"/>
      <c r="D64" s="172"/>
      <c r="E64" s="172"/>
      <c r="F64" s="172"/>
      <c r="G64" s="173"/>
    </row>
    <row r="65" spans="2:9">
      <c r="B65" s="135" t="s">
        <v>177</v>
      </c>
      <c r="C65" s="169">
        <f>CF!C32</f>
        <v>-108142000</v>
      </c>
      <c r="D65" s="169">
        <f>CF!D32</f>
        <v>-192876000</v>
      </c>
      <c r="E65" s="169">
        <f>CF!E32</f>
        <v>-487973000</v>
      </c>
      <c r="F65" s="169">
        <f>CF!F32</f>
        <v>-213415000</v>
      </c>
      <c r="G65" s="169">
        <f>CF!G32</f>
        <v>-232786000</v>
      </c>
    </row>
    <row r="66" spans="2:9">
      <c r="B66" s="141" t="s">
        <v>166</v>
      </c>
      <c r="C66" s="167">
        <f>C65/C$9</f>
        <v>-2.2404459096872942E-2</v>
      </c>
      <c r="D66" s="167">
        <f>D65/D$9</f>
        <v>-3.4064122342327863E-2</v>
      </c>
      <c r="E66" s="167">
        <f>E65/E$9</f>
        <v>-9.6580332662445534E-2</v>
      </c>
      <c r="F66" s="167">
        <f>F65/F$9</f>
        <v>-3.4589124186811579E-2</v>
      </c>
      <c r="G66" s="171">
        <f>G65/G$9</f>
        <v>-3.5123189775760857E-2</v>
      </c>
      <c r="H66" s="167">
        <f>AVERAGE(C66:G66)</f>
        <v>-4.4552245612843752E-2</v>
      </c>
      <c r="I66" s="168">
        <f>MEDIAN(C66:G66)</f>
        <v>-3.4589124186811579E-2</v>
      </c>
    </row>
    <row r="67" spans="2:9">
      <c r="B67" s="141" t="s">
        <v>163</v>
      </c>
      <c r="C67" s="169"/>
      <c r="D67" s="166">
        <f>(D65-C65)/C65</f>
        <v>0.7835438590002034</v>
      </c>
      <c r="E67" s="166">
        <f>(E65-D65)/D65</f>
        <v>1.5299829942553764</v>
      </c>
      <c r="F67" s="166">
        <f>(F65-E65)/E65</f>
        <v>-0.56264998268346811</v>
      </c>
      <c r="G67" s="131">
        <f>(G65-F65)/F65</f>
        <v>9.0766815828315722E-2</v>
      </c>
      <c r="H67" s="167">
        <f>AVERAGE(D67:G67)</f>
        <v>0.46041092160010688</v>
      </c>
      <c r="I67" s="168">
        <f>MEDIAN(D67:G67)</f>
        <v>0.4371553374142596</v>
      </c>
    </row>
    <row r="68" spans="2:9">
      <c r="B68" s="141" t="s">
        <v>164</v>
      </c>
      <c r="C68" s="169"/>
      <c r="D68" s="166">
        <f>(D65/$C65)^(1/D$7)-1</f>
        <v>0.78354385900020351</v>
      </c>
      <c r="E68" s="166">
        <f>(E65/$C65)^(1/E$7)-1</f>
        <v>1.1242258902431077</v>
      </c>
      <c r="F68" s="166">
        <f>(F65/$C65)^(1/F$7)-1</f>
        <v>0.25432529716947871</v>
      </c>
      <c r="G68" s="131">
        <f>(G65/$C65)^(1/G$7)-1</f>
        <v>0.21126903535926855</v>
      </c>
      <c r="H68" s="167">
        <f>AVERAGE(D68:G68)</f>
        <v>0.59334102044301462</v>
      </c>
      <c r="I68" s="168">
        <f>MEDIAN(D68:G68)</f>
        <v>0.51893457808484111</v>
      </c>
    </row>
    <row r="69" spans="2:9">
      <c r="B69" s="136"/>
      <c r="C69" s="172"/>
      <c r="D69" s="172"/>
      <c r="E69" s="172"/>
      <c r="F69" s="172"/>
      <c r="G69" s="173"/>
    </row>
    <row r="70" spans="2:9">
      <c r="B70" s="135" t="s">
        <v>178</v>
      </c>
      <c r="C70" s="169">
        <f>BS!C14</f>
        <v>4032692000</v>
      </c>
      <c r="D70" s="169">
        <f>BS!D14</f>
        <v>4355961000</v>
      </c>
      <c r="E70" s="169">
        <f>BS!E14</f>
        <v>4606360000</v>
      </c>
      <c r="F70" s="169">
        <f>BS!F14</f>
        <v>4650718000</v>
      </c>
      <c r="G70" s="169">
        <f>BS!G14</f>
        <v>4200125000</v>
      </c>
    </row>
    <row r="71" spans="2:9">
      <c r="B71" s="141" t="s">
        <v>166</v>
      </c>
      <c r="C71" s="167">
        <f>C70/C$9</f>
        <v>0.83547819500551812</v>
      </c>
      <c r="D71" s="167">
        <f>D70/D$9</f>
        <v>0.76931286641370011</v>
      </c>
      <c r="E71" s="167">
        <f>E70/E$9</f>
        <v>0.91169753482873561</v>
      </c>
      <c r="F71" s="167">
        <f>F70/F$9</f>
        <v>0.75376268050436923</v>
      </c>
      <c r="G71" s="171">
        <f>G70/G$9</f>
        <v>0.63372276450008835</v>
      </c>
      <c r="H71" s="167">
        <f>AVERAGE(C71:G71)</f>
        <v>0.78079480825048231</v>
      </c>
      <c r="I71" s="168">
        <f>MEDIAN(C71:G71)</f>
        <v>0.76931286641370011</v>
      </c>
    </row>
    <row r="72" spans="2:9">
      <c r="B72" s="141" t="s">
        <v>163</v>
      </c>
      <c r="C72" s="169"/>
      <c r="D72" s="166">
        <f>(D70-C70)/C70</f>
        <v>8.0162085277030823E-2</v>
      </c>
      <c r="E72" s="166">
        <f>(E70-D70)/D70</f>
        <v>5.7484215308631091E-2</v>
      </c>
      <c r="F72" s="166">
        <f>(F70-E70)/E70</f>
        <v>9.6297293307513951E-3</v>
      </c>
      <c r="G72" s="131">
        <f>(G70-F70)/F70</f>
        <v>-9.6886760280885664E-2</v>
      </c>
      <c r="H72" s="167">
        <f>AVERAGE(D72:G72)</f>
        <v>1.2597317408881911E-2</v>
      </c>
      <c r="I72" s="168">
        <f>MEDIAN(D72:G72)</f>
        <v>3.3556972319691243E-2</v>
      </c>
    </row>
    <row r="73" spans="2:9">
      <c r="B73" s="141" t="s">
        <v>164</v>
      </c>
      <c r="C73" s="169"/>
      <c r="D73" s="166">
        <f>(D70/$C70)^(1/D$7)-1</f>
        <v>8.0162085277030837E-2</v>
      </c>
      <c r="E73" s="166">
        <f>(E70/$C70)^(1/E$7)-1</f>
        <v>6.8763002332750789E-2</v>
      </c>
      <c r="F73" s="166">
        <f>(F70/$C70)^(1/F$7)-1</f>
        <v>4.8676777732457266E-2</v>
      </c>
      <c r="G73" s="131">
        <f>(G70/$C70)^(1/G$7)-1</f>
        <v>1.0221926506968071E-2</v>
      </c>
      <c r="H73" s="167">
        <f>AVERAGE(D73:G73)</f>
        <v>5.1955947962301741E-2</v>
      </c>
      <c r="I73" s="168">
        <f>MEDIAN(D73:G73)</f>
        <v>5.8719890032604027E-2</v>
      </c>
    </row>
    <row r="74" spans="2:9">
      <c r="B74" s="136"/>
      <c r="C74" s="172"/>
      <c r="D74" s="172"/>
      <c r="E74" s="172"/>
      <c r="F74" s="172"/>
      <c r="G74" s="173"/>
    </row>
    <row r="75" spans="2:9">
      <c r="B75" s="135" t="s">
        <v>179</v>
      </c>
      <c r="C75" s="169">
        <f>BS!C8</f>
        <v>829149000</v>
      </c>
      <c r="D75" s="169">
        <f>BS!D8</f>
        <v>1167496000</v>
      </c>
      <c r="E75" s="169">
        <f>BS!E8</f>
        <v>995470000</v>
      </c>
      <c r="F75" s="169">
        <f>BS!F8</f>
        <v>986246000</v>
      </c>
      <c r="G75" s="169">
        <f>BS!G8</f>
        <v>809003000</v>
      </c>
    </row>
    <row r="76" spans="2:9">
      <c r="B76" s="141" t="s">
        <v>180</v>
      </c>
      <c r="C76" s="166">
        <f>C75/C70</f>
        <v>0.20560682541587605</v>
      </c>
      <c r="D76" s="166">
        <f>D75/D70</f>
        <v>0.26802260167159442</v>
      </c>
      <c r="E76" s="166">
        <f>E75/E70</f>
        <v>0.21610772931338409</v>
      </c>
      <c r="F76" s="166">
        <f>F75/F70</f>
        <v>0.21206316960090893</v>
      </c>
      <c r="G76" s="131">
        <f>G75/G70</f>
        <v>0.19261402934436475</v>
      </c>
      <c r="H76" s="167">
        <f>AVERAGE(C76:G76)</f>
        <v>0.21888287106922566</v>
      </c>
      <c r="I76" s="168">
        <f>MEDIAN(C76:G76)</f>
        <v>0.21206316960090893</v>
      </c>
    </row>
    <row r="77" spans="2:9">
      <c r="B77" s="141" t="s">
        <v>166</v>
      </c>
      <c r="C77" s="167">
        <f>C76/C$9</f>
        <v>4.2596860702297824E-11</v>
      </c>
      <c r="D77" s="167">
        <f>D76/D$9</f>
        <v>4.7335877423060419E-11</v>
      </c>
      <c r="E77" s="167">
        <f>E76/E$9</f>
        <v>4.2772359101860897E-11</v>
      </c>
      <c r="F77" s="167">
        <f>F76/F$9</f>
        <v>3.4370026983926739E-11</v>
      </c>
      <c r="G77" s="171">
        <f>G76/G$9</f>
        <v>2.9061967240882587E-11</v>
      </c>
      <c r="H77" s="167">
        <f>AVERAGE(C77:G77)</f>
        <v>3.9227418290405696E-11</v>
      </c>
      <c r="I77" s="168">
        <f>MEDIAN(C77:G77)</f>
        <v>4.2596860702297824E-11</v>
      </c>
    </row>
    <row r="78" spans="2:9">
      <c r="B78" s="141" t="s">
        <v>163</v>
      </c>
      <c r="C78" s="169"/>
      <c r="D78" s="166">
        <f>(D75-C75)/C75</f>
        <v>0.40806537787538788</v>
      </c>
      <c r="E78" s="166">
        <f>(E75-D75)/D75</f>
        <v>-0.14734611510446288</v>
      </c>
      <c r="F78" s="166">
        <f>(F75-E75)/E75</f>
        <v>-9.2659748661436305E-3</v>
      </c>
      <c r="G78" s="131">
        <f>(G75-F75)/F75</f>
        <v>-0.17971479732237192</v>
      </c>
      <c r="H78" s="167">
        <f>AVERAGE(D78:G78)</f>
        <v>1.7934622645602367E-2</v>
      </c>
      <c r="I78" s="168">
        <f>MEDIAN(D78:G78)</f>
        <v>-7.8306044985303261E-2</v>
      </c>
    </row>
    <row r="79" spans="2:9">
      <c r="B79" s="141" t="s">
        <v>164</v>
      </c>
      <c r="C79" s="169"/>
      <c r="D79" s="166">
        <f>(D75/$C75)^(1/D$7)-1</f>
        <v>0.40806537787538799</v>
      </c>
      <c r="E79" s="166">
        <f>(E75/$C75)^(1/E$7)-1</f>
        <v>9.571548069393998E-2</v>
      </c>
      <c r="F79" s="166">
        <f>(F75/$C75)^(1/F$7)-1</f>
        <v>5.954049013174223E-2</v>
      </c>
      <c r="G79" s="131">
        <f>(G75/$C75)^(1/G$7)-1</f>
        <v>-6.1304437439796411E-3</v>
      </c>
      <c r="H79" s="167">
        <f>AVERAGE(D79:G79)</f>
        <v>0.13929772623927264</v>
      </c>
      <c r="I79" s="168">
        <f>MEDIAN(D79:G79)</f>
        <v>7.7627985412841105E-2</v>
      </c>
    </row>
    <row r="80" spans="2:9">
      <c r="B80" s="141"/>
      <c r="C80" s="169"/>
      <c r="D80" s="166"/>
      <c r="E80" s="166"/>
      <c r="F80" s="166"/>
      <c r="G80" s="131"/>
    </row>
    <row r="81" spans="2:10">
      <c r="B81" s="177" t="s">
        <v>12</v>
      </c>
      <c r="C81" s="178">
        <f>BS!C9</f>
        <v>2018565000</v>
      </c>
      <c r="D81" s="178">
        <f>BS!D9</f>
        <v>1681492000</v>
      </c>
      <c r="E81" s="178">
        <f>BS!E9</f>
        <v>1880034000</v>
      </c>
      <c r="F81" s="178">
        <f>BS!F9</f>
        <v>1919611000</v>
      </c>
      <c r="G81" s="178">
        <f>BS!G9</f>
        <v>1455509000</v>
      </c>
    </row>
    <row r="82" spans="2:10">
      <c r="B82" s="141" t="s">
        <v>180</v>
      </c>
      <c r="C82" s="166">
        <f>C81/C70</f>
        <v>0.50055025278399645</v>
      </c>
      <c r="D82" s="166">
        <f>D81/D70</f>
        <v>0.38602090330928124</v>
      </c>
      <c r="E82" s="166">
        <f>E81/E70</f>
        <v>0.40813874729721517</v>
      </c>
      <c r="F82" s="166">
        <f>F81/F70</f>
        <v>0.41275583684067707</v>
      </c>
      <c r="G82" s="131">
        <f>G81/G70</f>
        <v>0.34653944823070743</v>
      </c>
      <c r="H82" s="167">
        <f>AVERAGE(C82:G82)</f>
        <v>0.41080103769237547</v>
      </c>
      <c r="I82" s="168">
        <f>MEDIAN(C82:G82)</f>
        <v>0.40813874729721517</v>
      </c>
    </row>
    <row r="83" spans="2:10">
      <c r="B83" s="141" t="s">
        <v>163</v>
      </c>
      <c r="C83" s="169"/>
      <c r="D83" s="166">
        <f>(D81-C81)/C81</f>
        <v>-0.16698644829371359</v>
      </c>
      <c r="E83" s="166">
        <f>(E81-D81)/D81</f>
        <v>0.11807490014820171</v>
      </c>
      <c r="F83" s="166">
        <f>(F81-E81)/E81</f>
        <v>2.105121503121752E-2</v>
      </c>
      <c r="G83" s="131">
        <f>(G81-F81)/F81</f>
        <v>-0.24176877502785721</v>
      </c>
      <c r="H83" s="167">
        <f>AVERAGE(D83:G83)</f>
        <v>-6.7407277035537894E-2</v>
      </c>
      <c r="I83" s="168">
        <f>MEDIAN(D83:G83)</f>
        <v>-7.2967616631248039E-2</v>
      </c>
    </row>
    <row r="84" spans="2:10">
      <c r="B84" s="141" t="s">
        <v>164</v>
      </c>
      <c r="C84" s="169"/>
      <c r="D84" s="166">
        <f>(D81/$C81)^(1/D$7)-1</f>
        <v>-0.16698644829371356</v>
      </c>
      <c r="E84" s="166">
        <f>(E81/$C81)^(1/E$7)-1</f>
        <v>-3.4924073636636077E-2</v>
      </c>
      <c r="F84" s="166">
        <f>(F81/$C81)^(1/F$7)-1</f>
        <v>-1.6615186713732855E-2</v>
      </c>
      <c r="G84" s="131">
        <f>(G81/$C81)^(1/G$7)-1</f>
        <v>-7.8504881128133031E-2</v>
      </c>
      <c r="H84" s="167">
        <f>AVERAGE(D84:G84)</f>
        <v>-7.4257647443053881E-2</v>
      </c>
      <c r="I84" s="168">
        <f>MEDIAN(D84:G84)</f>
        <v>-5.6714477382384554E-2</v>
      </c>
    </row>
    <row r="85" spans="2:10">
      <c r="B85" s="136"/>
      <c r="C85" s="172"/>
      <c r="D85" s="172"/>
      <c r="E85" s="172"/>
      <c r="F85" s="172"/>
      <c r="G85" s="173"/>
    </row>
    <row r="86" spans="2:10">
      <c r="B86" s="135" t="s">
        <v>181</v>
      </c>
      <c r="C86" s="169">
        <f>BS!C29</f>
        <v>960107000</v>
      </c>
      <c r="D86" s="169">
        <f>BS!D29</f>
        <v>1093374000</v>
      </c>
      <c r="E86" s="169">
        <f>BS!E29</f>
        <v>1881667000</v>
      </c>
      <c r="F86" s="169">
        <f>BS!F29</f>
        <v>1230580000</v>
      </c>
      <c r="G86" s="169">
        <f>BS!G29</f>
        <v>2190883000</v>
      </c>
    </row>
    <row r="87" spans="2:10">
      <c r="B87" s="141" t="s">
        <v>166</v>
      </c>
      <c r="C87" s="167">
        <f>C86/C$9</f>
        <v>0.19891141286568947</v>
      </c>
      <c r="D87" s="167">
        <f>D86/D$9</f>
        <v>0.19310243732719667</v>
      </c>
      <c r="E87" s="167">
        <f>E86/E$9</f>
        <v>0.37242229553673234</v>
      </c>
      <c r="F87" s="167">
        <f>F86/F$9</f>
        <v>0.19944560804913708</v>
      </c>
      <c r="G87" s="171">
        <f>G86/G$9</f>
        <v>0.33056455021130254</v>
      </c>
      <c r="H87" s="167">
        <f>AVERAGE(C87:G87)</f>
        <v>0.25888926079801167</v>
      </c>
      <c r="I87" s="168">
        <f>MEDIAN(C87:G87)</f>
        <v>0.19944560804913708</v>
      </c>
    </row>
    <row r="88" spans="2:10">
      <c r="B88" s="141" t="s">
        <v>163</v>
      </c>
      <c r="C88" s="8"/>
      <c r="D88" s="166">
        <f>(D86-C86)/C86</f>
        <v>0.13880432076841434</v>
      </c>
      <c r="E88" s="166">
        <f>(E86-D86)/D86</f>
        <v>0.72097287844781388</v>
      </c>
      <c r="F88" s="166">
        <f>(F86-E86)/E86</f>
        <v>-0.34601605916455991</v>
      </c>
      <c r="G88" s="131">
        <f>(G86-F86)/F86</f>
        <v>0.78036616879845278</v>
      </c>
      <c r="H88" s="167">
        <f>AVERAGE(D88:G88)</f>
        <v>0.32353182721253027</v>
      </c>
      <c r="I88" s="168">
        <f>MEDIAN(D88:G88)</f>
        <v>0.4298885996081141</v>
      </c>
    </row>
    <row r="89" spans="2:10">
      <c r="B89" s="141" t="s">
        <v>164</v>
      </c>
      <c r="C89" s="8"/>
      <c r="D89" s="166">
        <f>(D86/$C86)^(1/D$7)-1</f>
        <v>0.13880432076841442</v>
      </c>
      <c r="E89" s="166">
        <f>(E86/$C86)^(1/E$7)-1</f>
        <v>0.39994690967251523</v>
      </c>
      <c r="F89" s="166">
        <f>(F86/$C86)^(1/F$7)-1</f>
        <v>8.6250706990766979E-2</v>
      </c>
      <c r="G89" s="131">
        <f>(G86/$C86)^(1/G$7)-1</f>
        <v>0.22906510153956239</v>
      </c>
      <c r="H89" s="167">
        <f>AVERAGE(D89:G89)</f>
        <v>0.21351675974281475</v>
      </c>
      <c r="I89" s="168">
        <f>MEDIAN(D89:G89)</f>
        <v>0.18393471115398841</v>
      </c>
    </row>
    <row r="90" spans="2:10">
      <c r="B90" s="141"/>
      <c r="C90" s="8"/>
      <c r="D90" s="166"/>
      <c r="E90" s="166"/>
      <c r="F90" s="166"/>
      <c r="G90" s="131"/>
    </row>
    <row r="91" spans="2:10">
      <c r="B91" s="177" t="s">
        <v>29</v>
      </c>
      <c r="C91" s="179">
        <f>BS!L26</f>
        <v>260395000</v>
      </c>
      <c r="D91" s="179">
        <f>BS!M26</f>
        <v>220999000</v>
      </c>
      <c r="E91" s="179">
        <f>BS!N26</f>
        <v>1154863000</v>
      </c>
      <c r="F91" s="179">
        <f>BS!O26</f>
        <v>291302000</v>
      </c>
      <c r="G91" s="179">
        <f>BS!P26</f>
        <v>1144302000</v>
      </c>
    </row>
    <row r="92" spans="2:10">
      <c r="B92" s="141" t="s">
        <v>182</v>
      </c>
      <c r="C92" s="166">
        <f>C91/C86</f>
        <v>0.27121456254354981</v>
      </c>
      <c r="D92" s="166">
        <f>D91/D86</f>
        <v>0.20212571361674961</v>
      </c>
      <c r="E92" s="166">
        <f>E91/E86</f>
        <v>0.61374462112584216</v>
      </c>
      <c r="F92" s="166">
        <f>F91/F86</f>
        <v>0.23671927058785289</v>
      </c>
      <c r="G92" s="131">
        <f>G91/G86</f>
        <v>0.5223017386140657</v>
      </c>
      <c r="H92" s="167">
        <f>AVERAGE(C92:G92)</f>
        <v>0.36922118129761206</v>
      </c>
      <c r="I92" s="168">
        <f>MEDIAN(C92:G92)</f>
        <v>0.27121456254354981</v>
      </c>
    </row>
    <row r="93" spans="2:10">
      <c r="B93" s="141" t="s">
        <v>163</v>
      </c>
      <c r="C93" s="8"/>
      <c r="D93" s="166">
        <f>(D91-C91)/C91</f>
        <v>-0.15129322759653605</v>
      </c>
      <c r="E93" s="166">
        <f>(E91-D91)/D91</f>
        <v>4.2256480798555653</v>
      </c>
      <c r="F93" s="166">
        <f>(F91-E91)/E91</f>
        <v>-0.74776055687990695</v>
      </c>
      <c r="G93" s="131">
        <f>(G91-F91)/F91</f>
        <v>2.9282325559041817</v>
      </c>
      <c r="H93" s="167">
        <f>AVERAGE(D93:G93)</f>
        <v>1.563706712820826</v>
      </c>
      <c r="I93" s="168">
        <f>MEDIAN(D93:G93)</f>
        <v>1.388469664153823</v>
      </c>
    </row>
    <row r="94" spans="2:10">
      <c r="B94" s="141" t="s">
        <v>164</v>
      </c>
      <c r="C94" s="8"/>
      <c r="D94" s="166">
        <f>(D91/$C91)^(1/D$7)-1</f>
        <v>-0.15129322759653607</v>
      </c>
      <c r="E94" s="166">
        <f>(E91/$C91)^(1/E$7)-1</f>
        <v>1.1059541579936099</v>
      </c>
      <c r="F94" s="166">
        <f>(F91/$C91)^(1/F$7)-1</f>
        <v>3.8094623743697653E-2</v>
      </c>
      <c r="G94" s="131">
        <f>(G91/$C91)^(1/G$7)-1</f>
        <v>0.44786144690838281</v>
      </c>
      <c r="H94" s="167">
        <f>AVERAGE(D94:G94)</f>
        <v>0.36015425026228853</v>
      </c>
      <c r="I94" s="168">
        <f>MEDIAN(D94:G94)</f>
        <v>0.24297803532604023</v>
      </c>
    </row>
    <row r="95" spans="2:10">
      <c r="B95" s="135"/>
      <c r="C95" s="8"/>
      <c r="D95" s="8"/>
      <c r="E95" s="8"/>
      <c r="F95" s="8"/>
      <c r="G95" s="160"/>
      <c r="H95" s="8"/>
      <c r="I95" s="9"/>
    </row>
    <row r="96" spans="2:10">
      <c r="B96" s="132"/>
      <c r="C96" s="2">
        <v>2009</v>
      </c>
      <c r="D96" s="2">
        <v>2010</v>
      </c>
      <c r="E96" s="2">
        <v>2011</v>
      </c>
      <c r="F96" s="2">
        <v>2012</v>
      </c>
      <c r="G96" s="2">
        <v>2013</v>
      </c>
      <c r="H96" s="2">
        <v>2014</v>
      </c>
      <c r="I96" s="304"/>
      <c r="J96" s="305"/>
    </row>
    <row r="97" spans="2:10">
      <c r="B97" s="135" t="s">
        <v>183</v>
      </c>
      <c r="C97" s="180">
        <v>1.79</v>
      </c>
      <c r="D97" s="181">
        <f>IS!C25</f>
        <v>5.44</v>
      </c>
      <c r="E97" s="181">
        <f>IS!D25</f>
        <v>4.04</v>
      </c>
      <c r="F97" s="181">
        <f>IS!E25</f>
        <v>1.7</v>
      </c>
      <c r="G97" s="181">
        <f>IS!F25</f>
        <v>4.34</v>
      </c>
      <c r="H97" s="181">
        <f>IS!G25</f>
        <v>4.2300000000000004</v>
      </c>
      <c r="I97" s="306" t="s">
        <v>184</v>
      </c>
      <c r="J97" s="307" t="s">
        <v>185</v>
      </c>
    </row>
    <row r="98" spans="2:10">
      <c r="B98" s="141" t="s">
        <v>163</v>
      </c>
      <c r="C98" s="8"/>
      <c r="D98" s="166">
        <f>(D81-C81)/C81</f>
        <v>-0.16698644829371359</v>
      </c>
      <c r="E98" s="166">
        <f>(E81-D81)/D81</f>
        <v>0.11807490014820171</v>
      </c>
      <c r="F98" s="166">
        <f>(F81-E81)/E81</f>
        <v>2.105121503121752E-2</v>
      </c>
      <c r="G98" s="166">
        <f>(G81-F81)/F81</f>
        <v>-0.24176877502785721</v>
      </c>
      <c r="H98" s="166">
        <f>(H81-G81)/G81</f>
        <v>-1</v>
      </c>
      <c r="I98" s="354"/>
      <c r="J98" s="355"/>
    </row>
    <row r="99" spans="2:10">
      <c r="B99" s="182" t="s">
        <v>164</v>
      </c>
      <c r="C99" s="151"/>
      <c r="D99" s="183">
        <f>(D97/$C97)^(1/D$100)-1</f>
        <v>2.039106145251397</v>
      </c>
      <c r="E99" s="183">
        <f>(E97/$C97)^(1/E$100)-1</f>
        <v>0.50232594340358228</v>
      </c>
      <c r="F99" s="183">
        <f>(F97/$C97)^(1/F$100)-1</f>
        <v>-1.7048785828259971E-2</v>
      </c>
      <c r="G99" s="183">
        <f>(G97/$C97)^(1/G$100)-1</f>
        <v>0.24784078048031688</v>
      </c>
      <c r="H99" s="183">
        <f>(H97/$C97)^(1/H$100)-1</f>
        <v>0.18767459636996908</v>
      </c>
      <c r="I99" s="354">
        <f>AVERAGE(F99:H99)</f>
        <v>0.13948886367400867</v>
      </c>
      <c r="J99" s="355">
        <f>AVERAGE(D99:H99)</f>
        <v>0.5919797359354011</v>
      </c>
    </row>
    <row r="100" spans="2:10">
      <c r="D100">
        <v>1</v>
      </c>
      <c r="E100">
        <v>2</v>
      </c>
      <c r="F100">
        <v>3</v>
      </c>
      <c r="G100">
        <v>4</v>
      </c>
      <c r="H100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2:P57"/>
  <sheetViews>
    <sheetView zoomScale="60" zoomScaleNormal="60" workbookViewId="0">
      <selection activeCell="E38" sqref="E38"/>
    </sheetView>
  </sheetViews>
  <sheetFormatPr defaultRowHeight="14.4"/>
  <cols>
    <col min="1" max="1" width="8.5546875"/>
    <col min="2" max="2" width="30"/>
    <col min="3" max="3" width="18" customWidth="1"/>
    <col min="4" max="4" width="14.6640625"/>
    <col min="5" max="5" width="13.5546875"/>
    <col min="6" max="6" width="8.5546875"/>
    <col min="7" max="7" width="10.5546875" customWidth="1"/>
    <col min="8" max="8" width="10.21875" customWidth="1"/>
    <col min="9" max="9" width="9.88671875" customWidth="1"/>
    <col min="10" max="14" width="8.5546875"/>
    <col min="15" max="15" width="8.5546875" customWidth="1"/>
    <col min="16" max="1025" width="8.5546875"/>
  </cols>
  <sheetData>
    <row r="2" spans="2:16">
      <c r="B2" s="1"/>
      <c r="C2" s="2"/>
      <c r="D2" s="2"/>
      <c r="E2" s="2"/>
      <c r="F2" s="2"/>
      <c r="G2" s="2"/>
      <c r="H2" s="2"/>
      <c r="I2" s="2"/>
      <c r="J2" s="2"/>
      <c r="K2" s="3"/>
    </row>
    <row r="3" spans="2:16">
      <c r="B3" s="4"/>
      <c r="C3" s="5"/>
      <c r="D3" s="5"/>
      <c r="E3" s="5"/>
      <c r="F3" s="5"/>
      <c r="G3" s="5"/>
      <c r="H3" s="5"/>
      <c r="I3" s="5"/>
      <c r="J3" s="5"/>
      <c r="K3" s="6"/>
    </row>
    <row r="4" spans="2:16" ht="15" thickBot="1">
      <c r="B4" s="7" t="s">
        <v>186</v>
      </c>
      <c r="C4" s="8"/>
      <c r="D4" s="8"/>
      <c r="E4" s="8"/>
      <c r="F4" s="8"/>
      <c r="G4" s="8"/>
      <c r="H4" s="8"/>
      <c r="I4" s="8"/>
      <c r="J4" s="8"/>
      <c r="K4" s="262"/>
    </row>
    <row r="5" spans="2:16">
      <c r="B5" s="7"/>
      <c r="C5" s="8"/>
      <c r="D5" s="8"/>
      <c r="E5" s="8"/>
      <c r="F5" s="8"/>
      <c r="G5" s="379" t="s">
        <v>187</v>
      </c>
      <c r="H5" s="379"/>
      <c r="I5" s="379" t="s">
        <v>188</v>
      </c>
      <c r="J5" s="379"/>
      <c r="K5" s="184" t="s">
        <v>189</v>
      </c>
      <c r="M5" s="373" t="s">
        <v>159</v>
      </c>
      <c r="N5" s="373"/>
      <c r="O5" s="373"/>
    </row>
    <row r="6" spans="2:16" ht="15" thickBot="1">
      <c r="B6" s="7" t="s">
        <v>160</v>
      </c>
      <c r="C6" s="50" t="s">
        <v>190</v>
      </c>
      <c r="D6" s="50" t="s">
        <v>191</v>
      </c>
      <c r="E6" s="50" t="s">
        <v>192</v>
      </c>
      <c r="F6" s="50" t="s">
        <v>193</v>
      </c>
      <c r="G6" s="50" t="s">
        <v>194</v>
      </c>
      <c r="H6" s="50" t="s">
        <v>195</v>
      </c>
      <c r="I6" s="50" t="s">
        <v>196</v>
      </c>
      <c r="J6" s="50" t="s">
        <v>197</v>
      </c>
      <c r="K6" s="274" t="s">
        <v>198</v>
      </c>
      <c r="L6" s="8"/>
      <c r="M6" s="144" t="s">
        <v>187</v>
      </c>
      <c r="N6" s="308" t="s">
        <v>188</v>
      </c>
      <c r="O6" s="18" t="s">
        <v>189</v>
      </c>
      <c r="P6" s="246"/>
    </row>
    <row r="7" spans="2:16">
      <c r="B7" s="1" t="s">
        <v>52</v>
      </c>
      <c r="C7" s="185">
        <f>IS!E7</f>
        <v>5052509000</v>
      </c>
      <c r="D7" s="185">
        <f>IS!F7</f>
        <v>6170003000</v>
      </c>
      <c r="E7" s="185">
        <f>IS!G7</f>
        <v>6627701000</v>
      </c>
      <c r="F7" s="185">
        <f>IS!H7</f>
        <v>1332241000</v>
      </c>
      <c r="G7" s="186">
        <f>E7*(1+$M$7)*0.75+F7</f>
        <v>6751319474.2908516</v>
      </c>
      <c r="H7" s="187">
        <f>G7*(1+$M$7)</f>
        <v>7360205303.2044716</v>
      </c>
      <c r="I7" s="187">
        <f>H7*(1+$N$7)</f>
        <v>8022623780.4928741</v>
      </c>
      <c r="J7" s="187">
        <f>I7*(1+$N$7)</f>
        <v>8744659920.7372341</v>
      </c>
      <c r="K7" s="188">
        <f>J7*(1+$O$7)</f>
        <v>9531679313.6035862</v>
      </c>
      <c r="L7" s="8"/>
      <c r="M7" s="189">
        <f>'DCF Growth Rates'!H10</f>
        <v>9.0187678309739103E-2</v>
      </c>
      <c r="N7" s="349">
        <v>0.09</v>
      </c>
      <c r="O7" s="351">
        <v>0.09</v>
      </c>
    </row>
    <row r="8" spans="2:16">
      <c r="B8" s="7" t="s">
        <v>53</v>
      </c>
      <c r="C8" s="190">
        <f>IS!E8</f>
        <v>3369289000</v>
      </c>
      <c r="D8" s="190">
        <f>IS!F8</f>
        <v>3302520000</v>
      </c>
      <c r="E8" s="190">
        <f>IS!G8</f>
        <v>3559853000</v>
      </c>
      <c r="F8" s="190">
        <f>IS!H8</f>
        <v>787239000</v>
      </c>
      <c r="G8" s="191">
        <f>G7*$M$8*0.75+F8</f>
        <v>3506926967.7258425</v>
      </c>
      <c r="H8" s="169">
        <f>H7*$M$8</f>
        <v>3953293748.3492913</v>
      </c>
      <c r="I8" s="169">
        <f>I7*$N$8</f>
        <v>4492669317.0760098</v>
      </c>
      <c r="J8" s="169">
        <f>J7*$N$8</f>
        <v>4897009555.6128511</v>
      </c>
      <c r="K8" s="256">
        <f>K7*$N$8</f>
        <v>5337740415.6180086</v>
      </c>
      <c r="M8" s="189">
        <f>'DCF Growth Rates'!I14</f>
        <v>0.53711732016878855</v>
      </c>
      <c r="N8" s="349">
        <v>0.56000000000000005</v>
      </c>
      <c r="O8" s="352"/>
    </row>
    <row r="9" spans="2:16">
      <c r="B9" s="15" t="s">
        <v>54</v>
      </c>
      <c r="C9" s="193">
        <f t="shared" ref="C9:K9" si="0">C7-C8</f>
        <v>1683220000</v>
      </c>
      <c r="D9" s="193">
        <f t="shared" si="0"/>
        <v>2867483000</v>
      </c>
      <c r="E9" s="193">
        <f t="shared" si="0"/>
        <v>3067848000</v>
      </c>
      <c r="F9" s="193">
        <f t="shared" si="0"/>
        <v>545002000</v>
      </c>
      <c r="G9" s="194">
        <f t="shared" si="0"/>
        <v>3244392506.5650091</v>
      </c>
      <c r="H9" s="193">
        <f t="shared" si="0"/>
        <v>3406911554.8551803</v>
      </c>
      <c r="I9" s="193">
        <f t="shared" si="0"/>
        <v>3529954463.4168644</v>
      </c>
      <c r="J9" s="193">
        <f t="shared" si="0"/>
        <v>3847650365.124383</v>
      </c>
      <c r="K9" s="195">
        <f t="shared" si="0"/>
        <v>4193938897.9855776</v>
      </c>
      <c r="L9" s="8"/>
      <c r="M9" s="135"/>
      <c r="N9" s="350"/>
      <c r="O9" s="353"/>
    </row>
    <row r="10" spans="2:16">
      <c r="B10" s="7" t="s">
        <v>199</v>
      </c>
      <c r="C10" s="166">
        <f t="shared" ref="C10:K10" si="1">C9/C7</f>
        <v>0.33314537391224835</v>
      </c>
      <c r="D10" s="166">
        <f t="shared" si="1"/>
        <v>0.46474580320301301</v>
      </c>
      <c r="E10" s="166">
        <f t="shared" si="1"/>
        <v>0.46288267983121145</v>
      </c>
      <c r="F10" s="166">
        <f t="shared" si="1"/>
        <v>0.40908664423328811</v>
      </c>
      <c r="G10" s="197">
        <f t="shared" si="1"/>
        <v>0.48055680358776021</v>
      </c>
      <c r="H10" s="166">
        <f t="shared" si="1"/>
        <v>0.46288267983121151</v>
      </c>
      <c r="I10" s="166">
        <f t="shared" si="1"/>
        <v>0.43999999999999995</v>
      </c>
      <c r="J10" s="166">
        <f t="shared" si="1"/>
        <v>0.44</v>
      </c>
      <c r="K10" s="14">
        <f t="shared" si="1"/>
        <v>0.43999999999999995</v>
      </c>
      <c r="L10" s="8"/>
      <c r="M10" s="135"/>
      <c r="N10" s="350"/>
      <c r="O10" s="353"/>
    </row>
    <row r="11" spans="2:16">
      <c r="B11" s="7" t="s">
        <v>55</v>
      </c>
      <c r="C11" s="169"/>
      <c r="D11" s="8"/>
      <c r="E11" s="8"/>
      <c r="F11" s="262"/>
      <c r="G11" s="198"/>
      <c r="H11" s="8"/>
      <c r="I11" s="8"/>
      <c r="J11" s="8"/>
      <c r="K11" s="262"/>
      <c r="M11" s="135"/>
      <c r="N11" s="350"/>
      <c r="O11" s="353"/>
    </row>
    <row r="12" spans="2:16">
      <c r="B12" s="199" t="s">
        <v>56</v>
      </c>
      <c r="C12" s="169">
        <f>IS!E11</f>
        <v>602765000</v>
      </c>
      <c r="D12" s="200">
        <f>IS!F11</f>
        <v>742268000</v>
      </c>
      <c r="E12" s="169">
        <f>IS!G11</f>
        <v>852310000</v>
      </c>
      <c r="F12" s="256">
        <f>IS!H11</f>
        <v>222726000</v>
      </c>
      <c r="G12" s="191">
        <f>G7*M12*0.75+F12</f>
        <v>860354070.93762231</v>
      </c>
      <c r="H12" s="169">
        <f>H7*$M$12</f>
        <v>926845688.37413883</v>
      </c>
      <c r="I12" s="169">
        <f>I7*$N$12</f>
        <v>1042941091.4640737</v>
      </c>
      <c r="J12" s="169">
        <f>J7*$N$12</f>
        <v>1136805789.6958404</v>
      </c>
      <c r="K12" s="256">
        <f>K7*$O$12</f>
        <v>1239118310.7684662</v>
      </c>
      <c r="M12" s="201">
        <f>'DCF Growth Rates'!H19</f>
        <v>0.12592660804863834</v>
      </c>
      <c r="N12" s="349">
        <v>0.13</v>
      </c>
      <c r="O12" s="351">
        <v>0.13</v>
      </c>
    </row>
    <row r="13" spans="2:16">
      <c r="B13" s="199" t="s">
        <v>57</v>
      </c>
      <c r="C13" s="169">
        <f>IS!E12</f>
        <v>374455000</v>
      </c>
      <c r="D13" s="169">
        <f>IS!F12</f>
        <v>468622000</v>
      </c>
      <c r="E13" s="169">
        <f>IS!G12</f>
        <v>578502000</v>
      </c>
      <c r="F13" s="256">
        <f>IS!H12</f>
        <v>149867000</v>
      </c>
      <c r="G13" s="191">
        <f>G7*$M$13*0.75+F13</f>
        <v>533061810.4355979</v>
      </c>
      <c r="H13" s="169">
        <f>H7*$M$13</f>
        <v>557005680.97216678</v>
      </c>
      <c r="I13" s="169">
        <f>I7*$M$13</f>
        <v>607136192.25966179</v>
      </c>
      <c r="J13" s="169">
        <f>J7*$M$13</f>
        <v>661778449.56303144</v>
      </c>
      <c r="K13" s="256">
        <f>K7*$M$13</f>
        <v>721338510.02370441</v>
      </c>
      <c r="M13" s="201">
        <f>'DCF Growth Rates'!H24</f>
        <v>7.5678008700335947E-2</v>
      </c>
      <c r="N13" s="196"/>
      <c r="O13" s="262"/>
    </row>
    <row r="14" spans="2:16">
      <c r="B14" s="199" t="s">
        <v>58</v>
      </c>
      <c r="C14" s="169">
        <f>IS!E13</f>
        <v>9905000</v>
      </c>
      <c r="D14" s="169">
        <f>IS!F13</f>
        <v>94383000</v>
      </c>
      <c r="E14" s="169">
        <f>IS!G13</f>
        <v>26423000</v>
      </c>
      <c r="F14" s="256">
        <f>IS!H13</f>
        <v>24756000</v>
      </c>
      <c r="G14" s="191">
        <f>G7*M14*0.75+F14</f>
        <v>47422955.016016722</v>
      </c>
      <c r="H14" s="169">
        <f>H7*$M$14</f>
        <v>32948313.417683423</v>
      </c>
      <c r="I14" s="169">
        <f>I7*$M$14</f>
        <v>35913661.625274926</v>
      </c>
      <c r="J14" s="169">
        <f>J7*$M$14</f>
        <v>39145891.171549678</v>
      </c>
      <c r="K14" s="256">
        <f>K7*$M$14</f>
        <v>42669021.376989156</v>
      </c>
      <c r="M14" s="202">
        <f>'DCF Growth Rates'!H29</f>
        <v>4.4765481478265898E-3</v>
      </c>
      <c r="N14" s="196"/>
      <c r="O14" s="262"/>
    </row>
    <row r="15" spans="2:16">
      <c r="B15" s="7" t="s">
        <v>60</v>
      </c>
      <c r="C15" s="169">
        <f t="shared" ref="C15:K15" si="2">C12+C13+C14</f>
        <v>987125000</v>
      </c>
      <c r="D15" s="169">
        <f t="shared" si="2"/>
        <v>1305273000</v>
      </c>
      <c r="E15" s="169">
        <f t="shared" si="2"/>
        <v>1457235000</v>
      </c>
      <c r="F15" s="256">
        <f t="shared" si="2"/>
        <v>397349000</v>
      </c>
      <c r="G15" s="191">
        <f t="shared" si="2"/>
        <v>1440838836.3892369</v>
      </c>
      <c r="H15" s="169">
        <f t="shared" si="2"/>
        <v>1516799682.763989</v>
      </c>
      <c r="I15" s="169">
        <f t="shared" si="2"/>
        <v>1685990945.3490102</v>
      </c>
      <c r="J15" s="169">
        <f t="shared" si="2"/>
        <v>1837730130.4304214</v>
      </c>
      <c r="K15" s="256">
        <f t="shared" si="2"/>
        <v>2003125842.1691597</v>
      </c>
      <c r="M15" s="135"/>
      <c r="N15" s="196"/>
      <c r="O15" s="262"/>
    </row>
    <row r="16" spans="2:16">
      <c r="B16" s="203" t="s">
        <v>176</v>
      </c>
      <c r="C16" s="204">
        <f>CF!E11</f>
        <v>416301000</v>
      </c>
      <c r="D16" s="204">
        <f>CF!F11</f>
        <v>464065000</v>
      </c>
      <c r="E16" s="204">
        <f>CF!G11</f>
        <v>578502000</v>
      </c>
      <c r="F16" s="205">
        <f>CF!H11</f>
        <v>69081000</v>
      </c>
      <c r="G16" s="206">
        <f>G7*M16*0.75+F16</f>
        <v>423525272.40026975</v>
      </c>
      <c r="H16" s="204">
        <f>H7*$M$16</f>
        <v>515214371.22431308</v>
      </c>
      <c r="I16" s="204">
        <f>I7*$M$16</f>
        <v>561583664.63450122</v>
      </c>
      <c r="J16" s="204">
        <f>J7*$M$16</f>
        <v>612126194.45160639</v>
      </c>
      <c r="K16" s="205">
        <f>K7*$M$16</f>
        <v>667217551.95225108</v>
      </c>
      <c r="M16" s="348">
        <v>7.0000000000000007E-2</v>
      </c>
      <c r="N16" s="196"/>
      <c r="O16" s="262"/>
    </row>
    <row r="17" spans="2:15">
      <c r="B17" s="207" t="s">
        <v>61</v>
      </c>
      <c r="C17" s="208">
        <f t="shared" ref="C17:K17" si="3">C9-C15</f>
        <v>696095000</v>
      </c>
      <c r="D17" s="208">
        <f t="shared" si="3"/>
        <v>1562210000</v>
      </c>
      <c r="E17" s="208">
        <f t="shared" si="3"/>
        <v>1610613000</v>
      </c>
      <c r="F17" s="209">
        <f t="shared" si="3"/>
        <v>147653000</v>
      </c>
      <c r="G17" s="210">
        <f t="shared" si="3"/>
        <v>1803553670.1757722</v>
      </c>
      <c r="H17" s="208">
        <f t="shared" si="3"/>
        <v>1890111872.0911913</v>
      </c>
      <c r="I17" s="208">
        <f t="shared" si="3"/>
        <v>1843963518.0678542</v>
      </c>
      <c r="J17" s="208">
        <f t="shared" si="3"/>
        <v>2009920234.6939616</v>
      </c>
      <c r="K17" s="209">
        <f t="shared" si="3"/>
        <v>2190813055.8164177</v>
      </c>
      <c r="M17" s="189"/>
      <c r="N17" s="196"/>
      <c r="O17" s="262"/>
    </row>
    <row r="18" spans="2:15">
      <c r="B18" s="7" t="s">
        <v>62</v>
      </c>
      <c r="C18" s="169">
        <f>IS!E17</f>
        <v>51229000</v>
      </c>
      <c r="D18" s="169">
        <f>IS!F17</f>
        <v>52004000</v>
      </c>
      <c r="E18" s="169">
        <f>IS!G17</f>
        <v>56574000</v>
      </c>
      <c r="F18" s="169">
        <f>IS!H17</f>
        <v>11025000</v>
      </c>
      <c r="G18" s="191">
        <f>G7*M18*0.75</f>
        <v>51340335.863099799</v>
      </c>
      <c r="H18" s="169">
        <f>H7*$M$18</f>
        <v>74627468.744313344</v>
      </c>
      <c r="I18" s="169">
        <f>I7*$M$18</f>
        <v>81343940.931301534</v>
      </c>
      <c r="J18" s="169">
        <f>J7*$M$18</f>
        <v>88664895.615118697</v>
      </c>
      <c r="K18" s="256">
        <f>K7*$M$18</f>
        <v>96644736.220479384</v>
      </c>
      <c r="M18" s="189">
        <f>'DCF Growth Rates'!I39</f>
        <v>1.0139318900767915E-2</v>
      </c>
      <c r="N18" s="196"/>
      <c r="O18" s="262"/>
    </row>
    <row r="19" spans="2:15">
      <c r="B19" s="7" t="s">
        <v>63</v>
      </c>
      <c r="C19" s="169">
        <f>IS!E18</f>
        <v>-120408000</v>
      </c>
      <c r="D19" s="169">
        <f>IS!F18</f>
        <v>-98065000</v>
      </c>
      <c r="E19" s="169">
        <f>IS!G18</f>
        <v>-125478000</v>
      </c>
      <c r="F19" s="256">
        <f>IS!H18</f>
        <v>-34595000</v>
      </c>
      <c r="G19" s="191">
        <f>G7*M19*0.75+F19</f>
        <v>-86304164.839085624</v>
      </c>
      <c r="H19" s="169">
        <f>H7*$M$19</f>
        <v>-75163592.484344468</v>
      </c>
      <c r="I19" s="169">
        <f>I7*$M$19</f>
        <v>-81928315.807935476</v>
      </c>
      <c r="J19" s="169">
        <f>J7*$M$19</f>
        <v>-89301864.23064968</v>
      </c>
      <c r="K19" s="256">
        <f>K7*$M$19</f>
        <v>-97339032.011408165</v>
      </c>
      <c r="M19" s="189">
        <f>'DCF Growth Rates'!I40</f>
        <v>-1.0212159768372208E-2</v>
      </c>
      <c r="N19" s="196"/>
      <c r="O19" s="262"/>
    </row>
    <row r="20" spans="2:15">
      <c r="B20" s="7" t="s">
        <v>65</v>
      </c>
      <c r="C20" s="169">
        <f>IS!E20</f>
        <v>626916000</v>
      </c>
      <c r="D20" s="169">
        <f>IS!F20</f>
        <v>1516149000</v>
      </c>
      <c r="E20" s="169">
        <f>IS!G20</f>
        <v>1489030000</v>
      </c>
      <c r="F20" s="256">
        <f>IS!H20</f>
        <v>33617000</v>
      </c>
      <c r="G20" s="191">
        <f>G17+G18+G19</f>
        <v>1768589841.1997864</v>
      </c>
      <c r="H20" s="169">
        <f>H17+H18+H19</f>
        <v>1889575748.35116</v>
      </c>
      <c r="I20" s="169">
        <f>I17+I18+I19</f>
        <v>1843379143.1912203</v>
      </c>
      <c r="J20" s="169">
        <f>J17+J18+J19</f>
        <v>2009283266.0784307</v>
      </c>
      <c r="K20" s="256">
        <f>K17+K18+K19</f>
        <v>2190118760.0254889</v>
      </c>
      <c r="M20" s="135"/>
      <c r="N20" s="196"/>
      <c r="O20" s="262"/>
    </row>
    <row r="21" spans="2:15">
      <c r="B21" s="7" t="s">
        <v>66</v>
      </c>
      <c r="C21" s="169">
        <f>IS!E21</f>
        <v>209512000</v>
      </c>
      <c r="D21" s="169">
        <f>IS!F21</f>
        <v>473492000</v>
      </c>
      <c r="E21" s="169">
        <f>IS!G21</f>
        <v>481584000</v>
      </c>
      <c r="F21" s="256">
        <f>IS!H21</f>
        <v>-5408000</v>
      </c>
      <c r="G21" s="191">
        <f>G20*M21*0.75+F21</f>
        <v>423591702.86916208</v>
      </c>
      <c r="H21" s="169">
        <f>H20*$M$21</f>
        <v>611129021.70805502</v>
      </c>
      <c r="I21" s="169">
        <f>I20*$M$21</f>
        <v>596188056.18060124</v>
      </c>
      <c r="J21" s="169">
        <f>J20*$M$21</f>
        <v>649844981.23685551</v>
      </c>
      <c r="K21" s="256">
        <f>K20*$M$21</f>
        <v>708331029.54817235</v>
      </c>
      <c r="M21" s="189">
        <f>'DCF Growth Rates'!I55</f>
        <v>0.32342128768392847</v>
      </c>
      <c r="N21" s="196"/>
      <c r="O21" s="262"/>
    </row>
    <row r="22" spans="2:15">
      <c r="B22" s="20" t="s">
        <v>67</v>
      </c>
      <c r="C22" s="211">
        <f t="shared" ref="C22:K22" si="4">C17+C18+C19-C21</f>
        <v>417404000</v>
      </c>
      <c r="D22" s="211">
        <f t="shared" si="4"/>
        <v>1042657000</v>
      </c>
      <c r="E22" s="211">
        <f t="shared" si="4"/>
        <v>1060125000</v>
      </c>
      <c r="F22" s="212">
        <f t="shared" si="4"/>
        <v>129491000</v>
      </c>
      <c r="G22" s="336">
        <f t="shared" si="4"/>
        <v>1344998138.3306243</v>
      </c>
      <c r="H22" s="211">
        <f t="shared" si="4"/>
        <v>1278446726.643105</v>
      </c>
      <c r="I22" s="211">
        <f t="shared" si="4"/>
        <v>1247191087.0106192</v>
      </c>
      <c r="J22" s="211">
        <f t="shared" si="4"/>
        <v>1359438284.8415751</v>
      </c>
      <c r="K22" s="212">
        <f t="shared" si="4"/>
        <v>1481787730.4773164</v>
      </c>
      <c r="L22" s="8"/>
      <c r="M22" s="135"/>
      <c r="N22" s="196"/>
      <c r="O22" s="262"/>
    </row>
    <row r="23" spans="2:15">
      <c r="B23" s="1" t="s">
        <v>200</v>
      </c>
      <c r="C23" s="213">
        <f>BS!E14</f>
        <v>4606360000</v>
      </c>
      <c r="D23" s="255">
        <f>BS!F14</f>
        <v>4650718000</v>
      </c>
      <c r="E23" s="213">
        <f>BS!G14</f>
        <v>4200125000</v>
      </c>
      <c r="F23" s="255">
        <f>BS!H14</f>
        <v>3752986000</v>
      </c>
      <c r="G23" s="214">
        <f>G7*$M$23</f>
        <v>5088892663.8828211</v>
      </c>
      <c r="H23" s="213">
        <f>H7*$M$23</f>
        <v>5547848078.4058762</v>
      </c>
      <c r="I23" s="213">
        <f>I7*$M$23</f>
        <v>6047154405.4624052</v>
      </c>
      <c r="J23" s="213">
        <f>J7*$M$23</f>
        <v>6591398301.9540224</v>
      </c>
      <c r="K23" s="255">
        <f>K7*$M$23</f>
        <v>7184624149.1298857</v>
      </c>
      <c r="L23" s="8"/>
      <c r="M23" s="189">
        <f>'DCF Growth Rates'!F71</f>
        <v>0.75376268050436923</v>
      </c>
      <c r="N23" s="196"/>
      <c r="O23" s="262"/>
    </row>
    <row r="24" spans="2:15">
      <c r="B24" s="7" t="s">
        <v>201</v>
      </c>
      <c r="C24" s="169">
        <f>BS!E29</f>
        <v>1881667000</v>
      </c>
      <c r="D24" s="169">
        <f>BS!F29</f>
        <v>1230580000</v>
      </c>
      <c r="E24" s="169">
        <f>BS!G29</f>
        <v>2190883000</v>
      </c>
      <c r="F24" s="169">
        <f>BS!H29</f>
        <v>2090676000</v>
      </c>
      <c r="G24" s="191">
        <f>G7*$M$24</f>
        <v>2231746885.3517628</v>
      </c>
      <c r="H24" s="169">
        <f>H7*$M$24</f>
        <v>2433022955.5166297</v>
      </c>
      <c r="I24" s="169">
        <f>I7*$M$24</f>
        <v>2651995021.5131264</v>
      </c>
      <c r="J24" s="169">
        <f>J7*$M$24</f>
        <v>2890674573.4493084</v>
      </c>
      <c r="K24" s="256">
        <f>K7*$M$24</f>
        <v>3150835285.0597463</v>
      </c>
      <c r="L24" s="8"/>
      <c r="M24" s="189">
        <f>'DCF Growth Rates'!G87</f>
        <v>0.33056455021130254</v>
      </c>
      <c r="N24" s="196"/>
      <c r="O24" s="262"/>
    </row>
    <row r="25" spans="2:15">
      <c r="B25" s="7" t="s">
        <v>202</v>
      </c>
      <c r="C25" s="169">
        <f>BS!E8</f>
        <v>995470000</v>
      </c>
      <c r="D25" s="169">
        <f>BS!F8</f>
        <v>986246000</v>
      </c>
      <c r="E25" s="169">
        <f>BS!G8</f>
        <v>809003000</v>
      </c>
      <c r="F25" s="169">
        <f>BS!H8</f>
        <v>649940000</v>
      </c>
      <c r="G25" s="191">
        <f>G23*M25</f>
        <v>1113871436.8337917</v>
      </c>
      <c r="H25" s="169">
        <f>H23*$M$25</f>
        <v>1214328915.6573646</v>
      </c>
      <c r="I25" s="169">
        <f>I23*$M$25</f>
        <v>1323618518.0665276</v>
      </c>
      <c r="J25" s="169">
        <f>J23*$M$25</f>
        <v>1442744184.6925151</v>
      </c>
      <c r="K25" s="256">
        <f>K23*$M$25</f>
        <v>1572591161.314842</v>
      </c>
      <c r="L25" s="8"/>
      <c r="M25" s="189">
        <f>'DCF Growth Rates'!H76</f>
        <v>0.21888287106922566</v>
      </c>
      <c r="N25" s="196"/>
      <c r="O25" s="262"/>
    </row>
    <row r="26" spans="2:15">
      <c r="B26" s="7" t="s">
        <v>29</v>
      </c>
      <c r="C26" s="169">
        <f>BS!N26</f>
        <v>1154863000</v>
      </c>
      <c r="D26" s="169">
        <f>BS!O26</f>
        <v>291302000</v>
      </c>
      <c r="E26" s="169">
        <f>BS!P26</f>
        <v>1144302000</v>
      </c>
      <c r="F26" s="169">
        <f>BS!Q26</f>
        <v>1135755000</v>
      </c>
      <c r="G26" s="191">
        <f>G24*M26</f>
        <v>824008221.36684418</v>
      </c>
      <c r="H26" s="169">
        <f>H24*$M$26</f>
        <v>898323609.76005745</v>
      </c>
      <c r="I26" s="169">
        <f>I24*$M$26</f>
        <v>979172734.63846266</v>
      </c>
      <c r="J26" s="169">
        <f>J24*$M$26</f>
        <v>1067298280.7559245</v>
      </c>
      <c r="K26" s="256">
        <f>K24*$M$26</f>
        <v>1163355126.0239577</v>
      </c>
      <c r="M26" s="189">
        <f>'DCF Growth Rates'!H92</f>
        <v>0.36922118129761206</v>
      </c>
      <c r="N26" s="215"/>
      <c r="O26" s="262"/>
    </row>
    <row r="27" spans="2:15">
      <c r="B27" s="7" t="s">
        <v>203</v>
      </c>
      <c r="C27" s="169">
        <f t="shared" ref="C27:K27" si="5">(C23-C25)-(C24-C26)</f>
        <v>2884086000</v>
      </c>
      <c r="D27" s="169">
        <f t="shared" si="5"/>
        <v>2725194000</v>
      </c>
      <c r="E27" s="169">
        <f t="shared" si="5"/>
        <v>2344541000</v>
      </c>
      <c r="F27" s="169">
        <f t="shared" si="5"/>
        <v>2148125000</v>
      </c>
      <c r="G27" s="191">
        <f t="shared" si="5"/>
        <v>2567282563.0641108</v>
      </c>
      <c r="H27" s="169">
        <f t="shared" si="5"/>
        <v>2798819816.9919391</v>
      </c>
      <c r="I27" s="169">
        <f t="shared" si="5"/>
        <v>3050713600.521214</v>
      </c>
      <c r="J27" s="169">
        <f t="shared" si="5"/>
        <v>3325277824.5681229</v>
      </c>
      <c r="K27" s="256">
        <f t="shared" si="5"/>
        <v>3624552828.7792549</v>
      </c>
      <c r="M27" s="135"/>
      <c r="N27" s="196"/>
      <c r="O27" s="262"/>
    </row>
    <row r="28" spans="2:15">
      <c r="B28" s="203" t="s">
        <v>204</v>
      </c>
      <c r="C28" s="151"/>
      <c r="D28" s="204">
        <f>D27-C27</f>
        <v>-158892000</v>
      </c>
      <c r="E28" s="204">
        <f>E27-D27</f>
        <v>-380653000</v>
      </c>
      <c r="F28" s="204">
        <f>F27-E27</f>
        <v>-196416000</v>
      </c>
      <c r="G28" s="206">
        <f>G27-E27</f>
        <v>222741563.06411076</v>
      </c>
      <c r="H28" s="204">
        <f>H27-G27</f>
        <v>231537253.92782831</v>
      </c>
      <c r="I28" s="204">
        <f>I27-H27</f>
        <v>251893783.52927494</v>
      </c>
      <c r="J28" s="204">
        <f>J27-I27</f>
        <v>274564224.04690886</v>
      </c>
      <c r="K28" s="205">
        <f>K27-J27</f>
        <v>299275004.21113205</v>
      </c>
      <c r="M28" s="135"/>
      <c r="N28" s="196"/>
      <c r="O28" s="262"/>
    </row>
    <row r="29" spans="2:15">
      <c r="B29" s="1"/>
      <c r="C29" s="2"/>
      <c r="D29" s="2"/>
      <c r="E29" s="2"/>
      <c r="F29" s="3"/>
      <c r="G29" s="8"/>
      <c r="H29" s="8"/>
      <c r="I29" s="8"/>
      <c r="J29" s="8"/>
      <c r="K29" s="262"/>
      <c r="M29" s="135"/>
      <c r="N29" s="196"/>
      <c r="O29" s="262"/>
    </row>
    <row r="30" spans="2:15">
      <c r="B30" s="7" t="s">
        <v>205</v>
      </c>
      <c r="C30" s="169">
        <f t="shared" ref="C30:K30" si="6">C17-C21+C16-C28</f>
        <v>902884000</v>
      </c>
      <c r="D30" s="169">
        <f t="shared" si="6"/>
        <v>1711675000</v>
      </c>
      <c r="E30" s="169">
        <f t="shared" si="6"/>
        <v>2088184000</v>
      </c>
      <c r="F30" s="169">
        <f t="shared" si="6"/>
        <v>418558000</v>
      </c>
      <c r="G30" s="169">
        <f t="shared" si="6"/>
        <v>1580745676.6427691</v>
      </c>
      <c r="H30" s="169">
        <f t="shared" si="6"/>
        <v>1562659967.679621</v>
      </c>
      <c r="I30" s="169">
        <f t="shared" si="6"/>
        <v>1557465342.9924791</v>
      </c>
      <c r="J30" s="169">
        <f t="shared" si="6"/>
        <v>1697637223.8618035</v>
      </c>
      <c r="K30" s="256">
        <f t="shared" si="6"/>
        <v>1850424574.0093641</v>
      </c>
      <c r="L30" s="8"/>
      <c r="M30" s="135"/>
      <c r="N30" s="196"/>
      <c r="O30" s="262"/>
    </row>
    <row r="31" spans="2:15">
      <c r="B31" s="203" t="s">
        <v>206</v>
      </c>
      <c r="C31" s="204">
        <f>CF!E32</f>
        <v>-487973000</v>
      </c>
      <c r="D31" s="204">
        <f>CF!F32</f>
        <v>-213415000</v>
      </c>
      <c r="E31" s="204">
        <f>CF!G32</f>
        <v>-232786000</v>
      </c>
      <c r="F31" s="204">
        <f>CF!H32</f>
        <v>-98287000</v>
      </c>
      <c r="G31" s="169">
        <f>G7*M31*0.75+F31</f>
        <v>-300826584.22872555</v>
      </c>
      <c r="H31" s="169">
        <f>H7*$M$31</f>
        <v>-294408212.12817889</v>
      </c>
      <c r="I31" s="169">
        <f>I7*$M$31</f>
        <v>-320904951.219715</v>
      </c>
      <c r="J31" s="169">
        <f>J7*$M$31</f>
        <v>-349786396.82948935</v>
      </c>
      <c r="K31" s="256">
        <f>K7*$M$31</f>
        <v>-381267172.54414344</v>
      </c>
      <c r="M31" s="216">
        <v>-0.04</v>
      </c>
      <c r="N31" s="217"/>
      <c r="O31" s="269"/>
    </row>
    <row r="32" spans="2:15">
      <c r="B32" s="218" t="s">
        <v>207</v>
      </c>
      <c r="C32" s="219">
        <f t="shared" ref="C32:K32" si="7">SUM(C30:C31)</f>
        <v>414911000</v>
      </c>
      <c r="D32" s="219">
        <f t="shared" si="7"/>
        <v>1498260000</v>
      </c>
      <c r="E32" s="219">
        <f t="shared" si="7"/>
        <v>1855398000</v>
      </c>
      <c r="F32" s="219">
        <f t="shared" si="7"/>
        <v>320271000</v>
      </c>
      <c r="G32" s="220">
        <f t="shared" si="7"/>
        <v>1279919092.4140434</v>
      </c>
      <c r="H32" s="219">
        <f t="shared" si="7"/>
        <v>1268251755.5514421</v>
      </c>
      <c r="I32" s="219">
        <f t="shared" si="7"/>
        <v>1236560391.7727642</v>
      </c>
      <c r="J32" s="219">
        <f t="shared" si="7"/>
        <v>1347850827.0323143</v>
      </c>
      <c r="K32" s="221">
        <f t="shared" si="7"/>
        <v>1469157401.4652207</v>
      </c>
    </row>
    <row r="33" spans="2:15">
      <c r="B33" s="7"/>
      <c r="C33" s="8"/>
      <c r="D33" s="8"/>
      <c r="E33" s="8"/>
      <c r="F33" s="262"/>
      <c r="G33" s="7"/>
      <c r="H33" s="8"/>
      <c r="I33" s="8"/>
      <c r="J33" s="8"/>
      <c r="K33" s="262"/>
    </row>
    <row r="34" spans="2:15">
      <c r="B34" s="7" t="s">
        <v>208</v>
      </c>
      <c r="C34" s="8"/>
      <c r="D34" s="8"/>
      <c r="E34" s="8"/>
      <c r="F34" s="262"/>
      <c r="G34" s="246">
        <v>0.75</v>
      </c>
      <c r="H34" s="246">
        <v>1.75</v>
      </c>
      <c r="I34" s="246">
        <v>2.75</v>
      </c>
      <c r="J34" s="246">
        <v>3.75</v>
      </c>
      <c r="K34" s="246">
        <v>4.75</v>
      </c>
    </row>
    <row r="35" spans="2:15">
      <c r="B35" s="203" t="s">
        <v>209</v>
      </c>
      <c r="C35" s="151"/>
      <c r="D35" s="151"/>
      <c r="E35" s="151"/>
      <c r="F35" s="269"/>
      <c r="G35" s="206">
        <f>(G32)/((1+$J$46)^(G34))</f>
        <v>1173785474.8462415</v>
      </c>
      <c r="H35" s="204">
        <f>(H32)/((1+$J$46)^(H34))</f>
        <v>1036302717.6827357</v>
      </c>
      <c r="I35" s="204">
        <f>(I32)/((1+$J$46)^(I34))</f>
        <v>900267242.13045883</v>
      </c>
      <c r="J35" s="204">
        <f>(J32)/((1+$J$46)^(J34))</f>
        <v>874325001.21580803</v>
      </c>
      <c r="K35" s="205">
        <f>(K32)/((1+$J$46)^(K34))</f>
        <v>849130315.95149875</v>
      </c>
    </row>
    <row r="37" spans="2:15">
      <c r="B37" s="373" t="s">
        <v>210</v>
      </c>
      <c r="C37" s="373"/>
      <c r="H37" s="373" t="s">
        <v>211</v>
      </c>
      <c r="I37" s="373"/>
      <c r="J37" s="373"/>
      <c r="L37" s="373" t="s">
        <v>212</v>
      </c>
      <c r="M37" s="373"/>
      <c r="N37" s="373"/>
      <c r="O37" s="373"/>
    </row>
    <row r="38" spans="2:15">
      <c r="B38" s="155" t="s">
        <v>213</v>
      </c>
      <c r="C38" s="192">
        <f>SUM(G35:K35)</f>
        <v>4833810751.8267431</v>
      </c>
      <c r="H38" s="374" t="s">
        <v>133</v>
      </c>
      <c r="I38" s="374"/>
      <c r="J38" s="337">
        <f>Beta!K12</f>
        <v>1.7059073987637985</v>
      </c>
      <c r="L38" s="7" t="s">
        <v>214</v>
      </c>
      <c r="M38" s="166">
        <f>O38/($O$38+$O$39)</f>
        <v>0.9250100888924192</v>
      </c>
      <c r="N38" s="8"/>
      <c r="O38" s="222">
        <f>C45*Valuation!C9</f>
        <v>14939655120</v>
      </c>
    </row>
    <row r="39" spans="2:15">
      <c r="B39" s="135" t="s">
        <v>215</v>
      </c>
      <c r="C39" s="192">
        <f>((K32*(1+J41))/(J46-J41))/((1+J46)^K34)</f>
        <v>9471403099.1989021</v>
      </c>
      <c r="H39" s="375" t="s">
        <v>216</v>
      </c>
      <c r="I39" s="375"/>
      <c r="J39" s="292">
        <v>2.9899999999999999E-2</v>
      </c>
      <c r="L39" s="203" t="s">
        <v>217</v>
      </c>
      <c r="M39" s="183">
        <f>O39/($O$38+$O$39)</f>
        <v>7.4989911107580756E-2</v>
      </c>
      <c r="N39" s="151"/>
      <c r="O39" s="205">
        <f>Obligations!C21+BS!H30</f>
        <v>1211147232.7487338</v>
      </c>
    </row>
    <row r="40" spans="2:15">
      <c r="B40" s="135" t="s">
        <v>218</v>
      </c>
      <c r="C40" s="192">
        <f>C38+C39</f>
        <v>14305213851.025646</v>
      </c>
      <c r="H40" s="375" t="s">
        <v>219</v>
      </c>
      <c r="I40" s="375"/>
      <c r="J40" s="223">
        <v>0.06</v>
      </c>
    </row>
    <row r="41" spans="2:15">
      <c r="B41" s="135" t="s">
        <v>220</v>
      </c>
      <c r="C41" s="192">
        <f>BS!H8</f>
        <v>649940000</v>
      </c>
      <c r="H41" s="378" t="s">
        <v>221</v>
      </c>
      <c r="I41" s="378"/>
      <c r="J41" s="224">
        <v>0.03</v>
      </c>
      <c r="L41" s="373" t="s">
        <v>222</v>
      </c>
      <c r="M41" s="373"/>
      <c r="N41" s="373"/>
      <c r="O41" s="373"/>
    </row>
    <row r="42" spans="2:15">
      <c r="B42" s="135" t="s">
        <v>217</v>
      </c>
      <c r="C42" s="192">
        <f>O39</f>
        <v>1211147232.7487338</v>
      </c>
      <c r="L42" s="203" t="s">
        <v>223</v>
      </c>
      <c r="M42" s="151"/>
      <c r="N42" s="151"/>
      <c r="O42" s="225">
        <v>0.35</v>
      </c>
    </row>
    <row r="43" spans="2:15">
      <c r="B43" s="149" t="s">
        <v>224</v>
      </c>
      <c r="C43" s="226">
        <f>C40-(C42-C41)</f>
        <v>13744006618.276913</v>
      </c>
      <c r="H43" s="373" t="s">
        <v>225</v>
      </c>
      <c r="I43" s="373"/>
      <c r="J43" s="373"/>
    </row>
    <row r="44" spans="2:15">
      <c r="H44" s="374" t="s">
        <v>226</v>
      </c>
      <c r="I44" s="374"/>
      <c r="J44" s="293">
        <f>J39+J38*J40</f>
        <v>0.13225444392582791</v>
      </c>
    </row>
    <row r="45" spans="2:15">
      <c r="B45" s="227" t="s">
        <v>227</v>
      </c>
      <c r="C45" s="255">
        <v>222714000</v>
      </c>
      <c r="H45" s="375" t="s">
        <v>157</v>
      </c>
      <c r="I45" s="375"/>
      <c r="J45" s="294">
        <v>1E-4</v>
      </c>
      <c r="K45" s="246"/>
    </row>
    <row r="46" spans="2:15">
      <c r="B46" s="228" t="s">
        <v>6</v>
      </c>
      <c r="C46" s="229">
        <f>C43/C45</f>
        <v>61.711462316140491</v>
      </c>
      <c r="H46" s="376" t="s">
        <v>228</v>
      </c>
      <c r="I46" s="376"/>
      <c r="J46" s="294">
        <f>(M38*J44)+((M39*J45)*(1-O42))</f>
        <v>0.12234156927646954</v>
      </c>
    </row>
    <row r="47" spans="2:15">
      <c r="B47" s="230" t="s">
        <v>229</v>
      </c>
      <c r="C47" s="224">
        <f>(C46-Valuation!C9)/Valuation!C9</f>
        <v>-8.0031867678287238E-2</v>
      </c>
    </row>
    <row r="49" spans="4:14">
      <c r="F49" s="377" t="s">
        <v>228</v>
      </c>
      <c r="G49" s="377"/>
      <c r="H49" s="377"/>
      <c r="I49" s="377"/>
      <c r="J49" s="377"/>
      <c r="K49" s="377"/>
      <c r="L49" s="377"/>
      <c r="M49" s="377"/>
      <c r="N49" s="377"/>
    </row>
    <row r="50" spans="4:14">
      <c r="E50" s="231">
        <v>107.89945610180899</v>
      </c>
      <c r="F50" s="232">
        <v>0.105</v>
      </c>
      <c r="G50" s="232">
        <v>0.107</v>
      </c>
      <c r="H50" s="232">
        <v>0.109</v>
      </c>
      <c r="I50" s="232">
        <v>0.111</v>
      </c>
      <c r="J50" s="233">
        <v>0.11310000000000001</v>
      </c>
      <c r="K50" s="232">
        <v>0.11600000000000001</v>
      </c>
      <c r="L50" s="232">
        <v>0.11899999999999999</v>
      </c>
      <c r="M50" s="232">
        <v>0.122</v>
      </c>
      <c r="N50" s="234">
        <v>0.125</v>
      </c>
    </row>
    <row r="51" spans="4:14">
      <c r="D51" s="235"/>
      <c r="E51" s="236">
        <v>2.2499999999999999E-2</v>
      </c>
      <c r="F51" s="237">
        <v>107.89945610180899</v>
      </c>
      <c r="G51" s="237">
        <v>107.89945610180899</v>
      </c>
      <c r="H51" s="237">
        <v>107.89945610180899</v>
      </c>
      <c r="I51" s="237">
        <v>107.89945610180899</v>
      </c>
      <c r="J51" s="237">
        <v>107.89945610180899</v>
      </c>
      <c r="K51" s="237">
        <v>107.89945610180899</v>
      </c>
      <c r="L51" s="237">
        <v>107.89945610180899</v>
      </c>
      <c r="M51" s="237">
        <v>107.89945610180899</v>
      </c>
      <c r="N51" s="238">
        <v>107.89945610180899</v>
      </c>
    </row>
    <row r="52" spans="4:14">
      <c r="D52" s="239"/>
      <c r="E52" s="236">
        <v>2.5000000000000001E-2</v>
      </c>
      <c r="F52" s="237">
        <v>107.89945610180899</v>
      </c>
      <c r="G52" s="237">
        <v>107.89945610180899</v>
      </c>
      <c r="H52" s="237">
        <v>107.89945610180899</v>
      </c>
      <c r="I52" s="237">
        <v>107.89945610180899</v>
      </c>
      <c r="J52" s="237">
        <v>107.89945610180899</v>
      </c>
      <c r="K52" s="237">
        <v>107.89945610180899</v>
      </c>
      <c r="L52" s="237">
        <v>107.89945610180899</v>
      </c>
      <c r="M52" s="237">
        <v>107.89945610180899</v>
      </c>
      <c r="N52" s="238">
        <v>107.89945610180899</v>
      </c>
    </row>
    <row r="53" spans="4:14" ht="14.4" customHeight="1">
      <c r="D53" s="372" t="s">
        <v>221</v>
      </c>
      <c r="E53" s="236">
        <v>2.75E-2</v>
      </c>
      <c r="F53" s="237">
        <v>107.89945610180899</v>
      </c>
      <c r="G53" s="237">
        <v>107.89945610180899</v>
      </c>
      <c r="H53" s="237">
        <v>107.89945610180899</v>
      </c>
      <c r="I53" s="237">
        <v>107.89945610180899</v>
      </c>
      <c r="J53" s="237">
        <v>107.89945610180899</v>
      </c>
      <c r="K53" s="237">
        <v>107.89945610180899</v>
      </c>
      <c r="L53" s="237">
        <v>107.89945610180899</v>
      </c>
      <c r="M53" s="237">
        <v>107.89945610180899</v>
      </c>
      <c r="N53" s="238">
        <v>107.89945610180899</v>
      </c>
    </row>
    <row r="54" spans="4:14">
      <c r="D54" s="372"/>
      <c r="E54" s="240">
        <v>0.03</v>
      </c>
      <c r="F54" s="237">
        <v>107.89945610180899</v>
      </c>
      <c r="G54" s="237">
        <v>107.89945610180899</v>
      </c>
      <c r="H54" s="237">
        <v>107.89945610180899</v>
      </c>
      <c r="I54" s="237">
        <v>107.89945610180899</v>
      </c>
      <c r="J54" s="241">
        <v>107.89945610180899</v>
      </c>
      <c r="K54" s="237">
        <v>107.89945610180899</v>
      </c>
      <c r="L54" s="237">
        <v>107.89945610180899</v>
      </c>
      <c r="M54" s="237">
        <v>107.89945610180899</v>
      </c>
      <c r="N54" s="238">
        <v>107.89945610180899</v>
      </c>
    </row>
    <row r="55" spans="4:14">
      <c r="D55" s="372"/>
      <c r="E55" s="236">
        <v>3.2500000000000001E-2</v>
      </c>
      <c r="F55" s="237">
        <v>107.89945610180899</v>
      </c>
      <c r="G55" s="237">
        <v>107.89945610180899</v>
      </c>
      <c r="H55" s="237">
        <v>107.89945610180899</v>
      </c>
      <c r="I55" s="237">
        <v>107.89945610180899</v>
      </c>
      <c r="J55" s="237">
        <v>107.89945610180899</v>
      </c>
      <c r="K55" s="237">
        <v>107.89945610180899</v>
      </c>
      <c r="L55" s="237">
        <v>107.89945610180899</v>
      </c>
      <c r="M55" s="237">
        <v>107.89945610180899</v>
      </c>
      <c r="N55" s="238">
        <v>107.89945610180899</v>
      </c>
    </row>
    <row r="56" spans="4:14">
      <c r="D56" s="239"/>
      <c r="E56" s="236">
        <v>3.5000000000000003E-2</v>
      </c>
      <c r="F56" s="237">
        <v>107.89945610180899</v>
      </c>
      <c r="G56" s="237">
        <v>107.89945610180899</v>
      </c>
      <c r="H56" s="237">
        <v>107.89945610180899</v>
      </c>
      <c r="I56" s="237">
        <v>107.89945610180899</v>
      </c>
      <c r="J56" s="237">
        <v>107.89945610180899</v>
      </c>
      <c r="K56" s="237">
        <v>107.89945610180899</v>
      </c>
      <c r="L56" s="237">
        <v>107.89945610180899</v>
      </c>
      <c r="M56" s="237">
        <v>107.89945610180899</v>
      </c>
      <c r="N56" s="238">
        <v>107.89945610180899</v>
      </c>
    </row>
    <row r="57" spans="4:14">
      <c r="D57" s="242"/>
      <c r="E57" s="243">
        <v>3.7499999999999999E-2</v>
      </c>
      <c r="F57" s="244">
        <v>107.89945610180899</v>
      </c>
      <c r="G57" s="244">
        <v>107.89945610180899</v>
      </c>
      <c r="H57" s="244">
        <v>107.89945610180899</v>
      </c>
      <c r="I57" s="244">
        <v>107.89945610180899</v>
      </c>
      <c r="J57" s="244">
        <v>107.89945610180899</v>
      </c>
      <c r="K57" s="244">
        <v>107.89945610180899</v>
      </c>
      <c r="L57" s="244">
        <v>107.89945610180899</v>
      </c>
      <c r="M57" s="244">
        <v>107.89945610180899</v>
      </c>
      <c r="N57" s="245">
        <v>107.89945610180899</v>
      </c>
    </row>
  </sheetData>
  <mergeCells count="17">
    <mergeCell ref="G5:H5"/>
    <mergeCell ref="I5:J5"/>
    <mergeCell ref="M5:O5"/>
    <mergeCell ref="B37:C37"/>
    <mergeCell ref="H37:J37"/>
    <mergeCell ref="L37:O37"/>
    <mergeCell ref="H38:I38"/>
    <mergeCell ref="H39:I39"/>
    <mergeCell ref="H40:I40"/>
    <mergeCell ref="H41:I41"/>
    <mergeCell ref="L41:O41"/>
    <mergeCell ref="D53:D55"/>
    <mergeCell ref="H43:J43"/>
    <mergeCell ref="H44:I44"/>
    <mergeCell ref="H45:I45"/>
    <mergeCell ref="H46:I46"/>
    <mergeCell ref="F49:N49"/>
  </mergeCells>
  <pageMargins left="0.7" right="0.7" top="0.75" bottom="0.75" header="0.51180555555555496" footer="0.51180555555555496"/>
  <pageSetup firstPageNumber="0" orientation="portrait" horizontalDpi="4294967293" verticalDpi="0" r:id="rId1"/>
  <ignoredErrors>
    <ignoredError sqref="G28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1:AA30"/>
  <sheetViews>
    <sheetView zoomScale="60" zoomScaleNormal="60" workbookViewId="0">
      <selection activeCell="L22" sqref="L22"/>
    </sheetView>
  </sheetViews>
  <sheetFormatPr defaultRowHeight="14.4"/>
  <cols>
    <col min="1" max="1" width="2.33203125"/>
    <col min="2" max="2" width="25.44140625"/>
    <col min="3" max="4" width="8.109375"/>
    <col min="5" max="8" width="8.88671875" style="246"/>
    <col min="9" max="9" width="5.33203125"/>
    <col min="10" max="10" width="17.5546875"/>
    <col min="11" max="11" width="9.33203125"/>
    <col min="12" max="12" width="13.6640625"/>
    <col min="13" max="13" width="9.33203125"/>
    <col min="14" max="14" width="13.6640625" customWidth="1"/>
    <col min="15" max="15" width="9.33203125"/>
    <col min="16" max="16" width="16.6640625"/>
    <col min="17" max="17" width="9.33203125"/>
    <col min="18" max="18" width="13.6640625" customWidth="1"/>
    <col min="19" max="19" width="9.33203125"/>
    <col min="20" max="20" width="15.6640625"/>
    <col min="21" max="21" width="9.33203125"/>
    <col min="22" max="22" width="11.33203125"/>
    <col min="23" max="23" width="8.5546875" style="246"/>
    <col min="24" max="27" width="8.88671875" style="246"/>
    <col min="28" max="1026" width="8.5546875"/>
  </cols>
  <sheetData>
    <row r="1" spans="2:27" ht="15" thickBot="1"/>
    <row r="2" spans="2:27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X2"/>
      <c r="Y2"/>
      <c r="Z2"/>
      <c r="AA2"/>
    </row>
    <row r="3" spans="2:27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X3"/>
      <c r="Y3"/>
      <c r="Z3"/>
      <c r="AA3"/>
    </row>
    <row r="4" spans="2:27">
      <c r="B4" s="7" t="s">
        <v>230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262"/>
      <c r="U4" s="246"/>
      <c r="V4" s="246"/>
      <c r="X4"/>
      <c r="Y4"/>
      <c r="Z4"/>
      <c r="AA4"/>
    </row>
    <row r="5" spans="2:27" ht="43.2">
      <c r="B5" s="7"/>
      <c r="C5" s="100" t="s">
        <v>231</v>
      </c>
      <c r="D5" s="247" t="s">
        <v>232</v>
      </c>
      <c r="E5" s="248" t="s">
        <v>236</v>
      </c>
      <c r="F5" s="248" t="s">
        <v>233</v>
      </c>
      <c r="G5" s="100" t="s">
        <v>235</v>
      </c>
      <c r="H5" s="100" t="s">
        <v>234</v>
      </c>
      <c r="I5" s="8"/>
      <c r="J5" s="8"/>
      <c r="K5" s="8"/>
      <c r="L5" s="8"/>
      <c r="M5" s="8"/>
      <c r="N5" s="8"/>
      <c r="O5" s="8"/>
      <c r="P5" s="8"/>
      <c r="Q5" s="8"/>
      <c r="R5" s="262"/>
      <c r="U5" s="246"/>
      <c r="V5" s="249"/>
      <c r="X5"/>
      <c r="Y5"/>
      <c r="Z5"/>
      <c r="AA5"/>
    </row>
    <row r="6" spans="2:27" ht="15" thickBot="1">
      <c r="B6" s="7"/>
      <c r="C6" s="250" t="s">
        <v>125</v>
      </c>
      <c r="D6" s="250" t="s">
        <v>237</v>
      </c>
      <c r="E6" s="250" t="s">
        <v>241</v>
      </c>
      <c r="F6" s="250" t="s">
        <v>238</v>
      </c>
      <c r="G6" s="250" t="s">
        <v>240</v>
      </c>
      <c r="H6" s="250" t="s">
        <v>239</v>
      </c>
      <c r="I6" s="8"/>
      <c r="J6" s="250" t="s">
        <v>242</v>
      </c>
      <c r="K6" s="251"/>
      <c r="L6" s="250" t="s">
        <v>243</v>
      </c>
      <c r="M6" s="251"/>
      <c r="N6" s="250" t="s">
        <v>244</v>
      </c>
      <c r="O6" s="8"/>
      <c r="P6" s="250" t="s">
        <v>245</v>
      </c>
      <c r="Q6" s="8"/>
      <c r="R6" s="252" t="s">
        <v>1</v>
      </c>
      <c r="U6" s="246"/>
      <c r="V6" s="249"/>
      <c r="X6"/>
      <c r="Y6"/>
      <c r="Z6"/>
      <c r="AA6"/>
    </row>
    <row r="7" spans="2:27">
      <c r="B7" s="17" t="s">
        <v>246</v>
      </c>
      <c r="C7" s="253" t="s">
        <v>301</v>
      </c>
      <c r="D7" s="254" t="s">
        <v>303</v>
      </c>
      <c r="E7" s="254" t="s">
        <v>302</v>
      </c>
      <c r="F7" s="254" t="s">
        <v>304</v>
      </c>
      <c r="G7" s="254" t="s">
        <v>305</v>
      </c>
      <c r="H7" s="254" t="s">
        <v>306</v>
      </c>
      <c r="I7" s="146"/>
      <c r="J7" s="146"/>
      <c r="K7" s="146"/>
      <c r="L7" s="146"/>
      <c r="M7" s="146"/>
      <c r="N7" s="146"/>
      <c r="O7" s="146"/>
      <c r="P7" s="146"/>
      <c r="Q7" s="146"/>
      <c r="R7" s="18"/>
      <c r="T7" s="382" t="s">
        <v>247</v>
      </c>
      <c r="U7" s="383"/>
      <c r="V7" s="255">
        <f>DCF!G7</f>
        <v>6751319474.2908516</v>
      </c>
      <c r="X7"/>
      <c r="Y7"/>
      <c r="Z7"/>
      <c r="AA7"/>
    </row>
    <row r="8" spans="2:27">
      <c r="B8" s="7"/>
      <c r="C8" s="160"/>
      <c r="D8" s="196"/>
      <c r="E8" s="196"/>
      <c r="F8" s="196"/>
      <c r="G8" s="196"/>
      <c r="H8" s="196"/>
      <c r="I8" s="8"/>
      <c r="J8" s="8"/>
      <c r="K8" s="8"/>
      <c r="L8" s="8"/>
      <c r="M8" s="8"/>
      <c r="N8" s="8"/>
      <c r="O8" s="8"/>
      <c r="P8" s="8"/>
      <c r="Q8" s="8"/>
      <c r="R8" s="262"/>
      <c r="T8" s="384" t="s">
        <v>248</v>
      </c>
      <c r="U8" s="385"/>
      <c r="V8" s="256">
        <f>DCF!G22</f>
        <v>1344998138.3306243</v>
      </c>
      <c r="X8"/>
      <c r="Y8"/>
      <c r="Z8"/>
      <c r="AA8"/>
    </row>
    <row r="9" spans="2:27">
      <c r="B9" s="15" t="s">
        <v>249</v>
      </c>
      <c r="C9" s="160"/>
      <c r="D9" s="196"/>
      <c r="E9" s="196"/>
      <c r="F9" s="196"/>
      <c r="G9" s="196"/>
      <c r="H9" s="196"/>
      <c r="I9" s="8"/>
      <c r="J9" s="8"/>
      <c r="K9" s="8"/>
      <c r="L9" s="100" t="s">
        <v>250</v>
      </c>
      <c r="M9" s="8"/>
      <c r="N9" s="8"/>
      <c r="O9" s="8"/>
      <c r="P9" s="8"/>
      <c r="Q9" s="8"/>
      <c r="R9" s="262"/>
      <c r="T9" s="380" t="s">
        <v>251</v>
      </c>
      <c r="U9" s="380"/>
      <c r="V9" s="257">
        <f>Historical!N7</f>
        <v>6.039127034360769</v>
      </c>
      <c r="X9"/>
      <c r="Y9"/>
      <c r="Z9"/>
      <c r="AA9"/>
    </row>
    <row r="10" spans="2:27">
      <c r="B10" s="17" t="s">
        <v>252</v>
      </c>
      <c r="C10" s="258">
        <v>20.58</v>
      </c>
      <c r="D10" s="10">
        <v>9.6999999999999993</v>
      </c>
      <c r="E10" s="10">
        <v>21.3</v>
      </c>
      <c r="F10" s="10">
        <v>14.54</v>
      </c>
      <c r="G10" s="10">
        <v>17.350000000000001</v>
      </c>
      <c r="H10" s="10">
        <v>18.670000000000002</v>
      </c>
      <c r="I10" s="146"/>
      <c r="J10" s="259">
        <f>SUMPRODUCT(D10:H10,D11:H11)</f>
        <v>15.995000000000001</v>
      </c>
      <c r="K10" s="146"/>
      <c r="L10" s="260">
        <f>V9</f>
        <v>6.039127034360769</v>
      </c>
      <c r="M10" s="161"/>
      <c r="N10" s="343">
        <f>L10*J10</f>
        <v>96.595836914600511</v>
      </c>
      <c r="O10" s="261"/>
      <c r="P10" s="261">
        <f>N10/(1+$V$14)</f>
        <v>85.312835319662781</v>
      </c>
      <c r="Q10" s="161"/>
      <c r="R10" s="310">
        <v>0.25</v>
      </c>
      <c r="T10" s="380" t="s">
        <v>227</v>
      </c>
      <c r="U10" s="380"/>
      <c r="V10" s="262">
        <f>DCF!C45</f>
        <v>222714000</v>
      </c>
      <c r="X10"/>
      <c r="Y10"/>
      <c r="Z10"/>
      <c r="AA10"/>
    </row>
    <row r="11" spans="2:27">
      <c r="B11" s="263" t="s">
        <v>1</v>
      </c>
      <c r="C11" s="258"/>
      <c r="D11" s="295">
        <v>0.25</v>
      </c>
      <c r="E11" s="295">
        <v>0.25</v>
      </c>
      <c r="F11" s="295">
        <v>0.2</v>
      </c>
      <c r="G11" s="295">
        <v>0.2</v>
      </c>
      <c r="H11" s="295">
        <v>0.1</v>
      </c>
      <c r="I11" s="146"/>
      <c r="J11" s="259"/>
      <c r="K11" s="146"/>
      <c r="L11" s="146"/>
      <c r="M11" s="146"/>
      <c r="N11" s="259"/>
      <c r="O11" s="146"/>
      <c r="P11" s="261"/>
      <c r="Q11" s="146"/>
      <c r="R11" s="264"/>
      <c r="T11" s="380" t="s">
        <v>214</v>
      </c>
      <c r="U11" s="380"/>
      <c r="V11" s="256">
        <f>BS!H41</f>
        <v>5837392000</v>
      </c>
      <c r="X11"/>
      <c r="Y11"/>
      <c r="Z11"/>
      <c r="AA11"/>
    </row>
    <row r="12" spans="2:27">
      <c r="B12" s="7"/>
      <c r="C12" s="160"/>
      <c r="D12" s="296"/>
      <c r="E12" s="296"/>
      <c r="F12" s="296"/>
      <c r="G12" s="296"/>
      <c r="H12" s="296"/>
      <c r="I12" s="8"/>
      <c r="J12" s="237"/>
      <c r="K12" s="8"/>
      <c r="L12" s="8"/>
      <c r="M12" s="8"/>
      <c r="N12" s="237"/>
      <c r="O12" s="8"/>
      <c r="P12" s="261"/>
      <c r="Q12" s="8"/>
      <c r="R12" s="14"/>
      <c r="T12" s="380" t="s">
        <v>253</v>
      </c>
      <c r="U12" s="380"/>
      <c r="V12" s="265">
        <f>'DCF Growth Rates'!J98</f>
        <v>0</v>
      </c>
      <c r="X12"/>
      <c r="Y12"/>
      <c r="Z12"/>
      <c r="AA12"/>
    </row>
    <row r="13" spans="2:27">
      <c r="B13" s="15" t="s">
        <v>254</v>
      </c>
      <c r="C13" s="160"/>
      <c r="D13" s="296"/>
      <c r="E13" s="296"/>
      <c r="F13" s="296"/>
      <c r="G13" s="296"/>
      <c r="H13" s="296"/>
      <c r="I13" s="8"/>
      <c r="J13" s="237"/>
      <c r="K13" s="8"/>
      <c r="L13" s="100" t="s">
        <v>255</v>
      </c>
      <c r="M13" s="8"/>
      <c r="N13" s="237"/>
      <c r="O13" s="8"/>
      <c r="P13" s="261"/>
      <c r="Q13" s="8"/>
      <c r="R13" s="14"/>
      <c r="T13" s="380" t="s">
        <v>256</v>
      </c>
      <c r="U13" s="380"/>
      <c r="V13" s="256">
        <f>DCF!G17+DCF!G16</f>
        <v>2227078942.5760422</v>
      </c>
      <c r="X13"/>
      <c r="Y13"/>
      <c r="Z13"/>
      <c r="AA13"/>
    </row>
    <row r="14" spans="2:27">
      <c r="B14" s="17" t="s">
        <v>257</v>
      </c>
      <c r="C14" s="258">
        <v>2.16</v>
      </c>
      <c r="D14" s="297">
        <v>1.25</v>
      </c>
      <c r="E14" s="297">
        <v>2.12</v>
      </c>
      <c r="F14" s="297">
        <v>1.46</v>
      </c>
      <c r="G14" s="297">
        <v>1.66</v>
      </c>
      <c r="H14" s="297">
        <v>2.09</v>
      </c>
      <c r="I14" s="146"/>
      <c r="J14" s="259">
        <f>SUMPRODUCT(D14:H14,D15:H15)</f>
        <v>1.6755000000000002</v>
      </c>
      <c r="K14" s="146"/>
      <c r="L14" s="266">
        <f>V7/V10</f>
        <v>30.313853077448439</v>
      </c>
      <c r="M14" s="146"/>
      <c r="N14" s="344">
        <f>L14*J14</f>
        <v>50.790860831264865</v>
      </c>
      <c r="O14" s="146"/>
      <c r="P14" s="261">
        <f t="shared" ref="P14" si="0">N14/(1+$V$14)</f>
        <v>44.858168677315511</v>
      </c>
      <c r="Q14" s="146"/>
      <c r="R14" s="311">
        <v>0.25</v>
      </c>
      <c r="T14" s="380" t="s">
        <v>226</v>
      </c>
      <c r="U14" s="380"/>
      <c r="V14" s="267">
        <f>DCF!J44</f>
        <v>0.13225444392582791</v>
      </c>
      <c r="X14"/>
      <c r="Y14"/>
      <c r="Z14"/>
      <c r="AA14"/>
    </row>
    <row r="15" spans="2:27">
      <c r="B15" s="263" t="s">
        <v>1</v>
      </c>
      <c r="C15" s="258"/>
      <c r="D15" s="295">
        <v>0.25</v>
      </c>
      <c r="E15" s="295">
        <v>0.25</v>
      </c>
      <c r="F15" s="295">
        <v>0.2</v>
      </c>
      <c r="G15" s="295">
        <v>0.2</v>
      </c>
      <c r="H15" s="295">
        <v>0.1</v>
      </c>
      <c r="I15" s="146"/>
      <c r="J15" s="259"/>
      <c r="K15" s="146"/>
      <c r="L15" s="146"/>
      <c r="M15" s="146"/>
      <c r="N15" s="259"/>
      <c r="O15" s="146"/>
      <c r="P15" s="261"/>
      <c r="Q15" s="146"/>
      <c r="R15" s="264"/>
      <c r="T15" s="380" t="s">
        <v>202</v>
      </c>
      <c r="U15" s="380"/>
      <c r="V15" s="256">
        <f>BS!H8</f>
        <v>649940000</v>
      </c>
      <c r="X15"/>
      <c r="Y15"/>
      <c r="Z15"/>
      <c r="AA15"/>
    </row>
    <row r="16" spans="2:27">
      <c r="B16" s="7"/>
      <c r="C16" s="160"/>
      <c r="D16" s="296"/>
      <c r="E16" s="296"/>
      <c r="F16" s="296"/>
      <c r="G16" s="296"/>
      <c r="H16" s="296"/>
      <c r="I16" s="8"/>
      <c r="J16" s="237"/>
      <c r="K16" s="8"/>
      <c r="L16" s="8"/>
      <c r="M16" s="8"/>
      <c r="N16" s="237"/>
      <c r="O16" s="8"/>
      <c r="P16" s="261"/>
      <c r="Q16" s="8"/>
      <c r="R16" s="14"/>
      <c r="T16" s="380" t="s">
        <v>258</v>
      </c>
      <c r="U16" s="380"/>
      <c r="V16" s="256">
        <f>BS!H30</f>
        <v>1211097000</v>
      </c>
      <c r="X16"/>
      <c r="Y16"/>
      <c r="Z16"/>
      <c r="AA16"/>
    </row>
    <row r="17" spans="2:27">
      <c r="B17" s="15" t="s">
        <v>259</v>
      </c>
      <c r="C17" s="160"/>
      <c r="D17" s="296"/>
      <c r="E17" s="296"/>
      <c r="F17" s="296"/>
      <c r="G17" s="296"/>
      <c r="H17" s="296"/>
      <c r="I17" s="8"/>
      <c r="J17" s="237"/>
      <c r="K17" s="8"/>
      <c r="L17" s="100" t="s">
        <v>260</v>
      </c>
      <c r="M17" s="8"/>
      <c r="N17" s="342"/>
      <c r="O17" s="8"/>
      <c r="P17" s="261"/>
      <c r="Q17" s="8"/>
      <c r="R17" s="14"/>
      <c r="T17" s="380" t="s">
        <v>261</v>
      </c>
      <c r="U17" s="380"/>
      <c r="V17" s="268">
        <v>0</v>
      </c>
      <c r="X17"/>
      <c r="Y17"/>
      <c r="Z17"/>
      <c r="AA17"/>
    </row>
    <row r="18" spans="2:27" ht="15" thickBot="1">
      <c r="B18" s="17" t="s">
        <v>262</v>
      </c>
      <c r="C18" s="258">
        <v>2.4300000000000002</v>
      </c>
      <c r="D18" s="297">
        <v>5.65</v>
      </c>
      <c r="E18" s="297">
        <v>2.59</v>
      </c>
      <c r="F18" s="297">
        <v>2.38</v>
      </c>
      <c r="G18" s="297">
        <v>2.94</v>
      </c>
      <c r="H18" s="297">
        <v>3.98</v>
      </c>
      <c r="I18" s="146"/>
      <c r="J18" s="259">
        <f>SUMPRODUCT(D18:H18,D19:H19)</f>
        <v>3.5220000000000002</v>
      </c>
      <c r="K18" s="146"/>
      <c r="L18" s="266">
        <f>V11/V10</f>
        <v>26.210260693086202</v>
      </c>
      <c r="M18" s="146"/>
      <c r="N18" s="344">
        <f>L18*J18</f>
        <v>92.312538161049602</v>
      </c>
      <c r="O18" s="146"/>
      <c r="P18" s="261">
        <f>L18*J18</f>
        <v>92.312538161049602</v>
      </c>
      <c r="Q18" s="146"/>
      <c r="R18" s="311">
        <v>0.25</v>
      </c>
      <c r="T18" s="381" t="s">
        <v>263</v>
      </c>
      <c r="U18" s="381"/>
      <c r="V18" s="269">
        <v>0</v>
      </c>
      <c r="X18"/>
      <c r="Y18"/>
      <c r="Z18"/>
      <c r="AA18"/>
    </row>
    <row r="19" spans="2:27">
      <c r="B19" s="263" t="s">
        <v>1</v>
      </c>
      <c r="C19" s="258"/>
      <c r="D19" s="295">
        <v>0.25</v>
      </c>
      <c r="E19" s="295">
        <v>0.25</v>
      </c>
      <c r="F19" s="295">
        <v>0.2</v>
      </c>
      <c r="G19" s="295">
        <v>0.2</v>
      </c>
      <c r="H19" s="295">
        <v>0.1</v>
      </c>
      <c r="I19" s="146"/>
      <c r="J19" s="259"/>
      <c r="K19" s="146"/>
      <c r="L19" s="146"/>
      <c r="M19" s="146"/>
      <c r="N19" s="259"/>
      <c r="O19" s="146"/>
      <c r="P19" s="146"/>
      <c r="Q19" s="146"/>
      <c r="R19" s="264"/>
      <c r="T19" s="246"/>
      <c r="U19" s="246"/>
      <c r="V19" s="246"/>
      <c r="X19"/>
      <c r="Y19"/>
      <c r="Z19"/>
      <c r="AA19"/>
    </row>
    <row r="20" spans="2:27">
      <c r="B20" s="7"/>
      <c r="C20" s="160"/>
      <c r="D20" s="296"/>
      <c r="E20" s="296"/>
      <c r="F20" s="296"/>
      <c r="G20" s="296"/>
      <c r="H20" s="296"/>
      <c r="I20" s="8"/>
      <c r="J20" s="237"/>
      <c r="K20" s="8"/>
      <c r="L20" s="8"/>
      <c r="M20" s="8"/>
      <c r="N20" s="237"/>
      <c r="O20" s="8"/>
      <c r="P20" s="146"/>
      <c r="Q20" s="8"/>
      <c r="R20" s="14"/>
      <c r="T20" s="246"/>
      <c r="U20" s="246"/>
      <c r="V20" s="246"/>
      <c r="X20"/>
      <c r="Y20"/>
      <c r="Z20"/>
      <c r="AA20"/>
    </row>
    <row r="21" spans="2:27">
      <c r="B21" s="15" t="s">
        <v>264</v>
      </c>
      <c r="C21" s="160"/>
      <c r="D21" s="296"/>
      <c r="E21" s="296"/>
      <c r="F21" s="296"/>
      <c r="G21" s="296"/>
      <c r="H21" s="296"/>
      <c r="I21" s="8"/>
      <c r="J21" s="237"/>
      <c r="K21" s="8"/>
      <c r="L21" s="100" t="s">
        <v>265</v>
      </c>
      <c r="M21" s="8"/>
      <c r="N21" s="237"/>
      <c r="O21" s="8"/>
      <c r="P21" s="146"/>
      <c r="Q21" s="8"/>
      <c r="R21" s="14"/>
      <c r="T21" s="246"/>
      <c r="U21" s="246"/>
      <c r="V21" s="246"/>
      <c r="X21"/>
      <c r="Y21"/>
      <c r="Z21"/>
      <c r="AA21"/>
    </row>
    <row r="22" spans="2:27">
      <c r="B22" s="17" t="s">
        <v>266</v>
      </c>
      <c r="C22" s="258">
        <v>1.23</v>
      </c>
      <c r="D22" s="297">
        <v>1.32</v>
      </c>
      <c r="E22" s="297">
        <v>1.78</v>
      </c>
      <c r="F22" s="297">
        <v>3.48</v>
      </c>
      <c r="G22" s="297">
        <v>1.51</v>
      </c>
      <c r="H22" s="297">
        <v>3.17</v>
      </c>
      <c r="I22" s="146"/>
      <c r="J22" s="259">
        <f>SUMPRODUCT(D22:H22,D23:H23)</f>
        <v>2.0900000000000003</v>
      </c>
      <c r="K22" s="146"/>
      <c r="L22" s="362">
        <v>0.59</v>
      </c>
      <c r="M22" s="146"/>
      <c r="N22" s="344">
        <f>J22*(L22*100)*(V9)</f>
        <v>744.68475460702655</v>
      </c>
      <c r="O22" s="146"/>
      <c r="P22" s="261">
        <f>N22/(1+$V$14)</f>
        <v>657.70088923211108</v>
      </c>
      <c r="Q22" s="146"/>
      <c r="R22" s="311">
        <v>0</v>
      </c>
      <c r="T22" s="246"/>
      <c r="U22" s="246"/>
      <c r="V22" s="246"/>
      <c r="X22"/>
      <c r="Y22"/>
      <c r="Z22"/>
      <c r="AA22"/>
    </row>
    <row r="23" spans="2:27">
      <c r="B23" s="263" t="s">
        <v>1</v>
      </c>
      <c r="C23" s="258"/>
      <c r="D23" s="295">
        <v>0.25</v>
      </c>
      <c r="E23" s="295">
        <v>0.25</v>
      </c>
      <c r="F23" s="295">
        <v>0.2</v>
      </c>
      <c r="G23" s="295">
        <v>0.2</v>
      </c>
      <c r="H23" s="295">
        <v>0.1</v>
      </c>
      <c r="I23" s="146"/>
      <c r="J23" s="259"/>
      <c r="K23" s="146"/>
      <c r="L23" s="146"/>
      <c r="M23" s="146"/>
      <c r="N23" s="259"/>
      <c r="O23" s="146"/>
      <c r="P23" s="259"/>
      <c r="Q23" s="146"/>
      <c r="R23" s="264"/>
      <c r="T23" s="246"/>
      <c r="U23" s="246"/>
      <c r="V23" s="246"/>
      <c r="X23"/>
      <c r="Y23"/>
      <c r="Z23"/>
      <c r="AA23"/>
    </row>
    <row r="24" spans="2:27">
      <c r="B24" s="7"/>
      <c r="C24" s="160"/>
      <c r="D24" s="296"/>
      <c r="E24" s="296"/>
      <c r="F24" s="296"/>
      <c r="G24" s="296"/>
      <c r="H24" s="296"/>
      <c r="I24" s="8"/>
      <c r="J24" s="237"/>
      <c r="K24" s="8"/>
      <c r="L24" s="8"/>
      <c r="M24" s="8"/>
      <c r="N24" s="237"/>
      <c r="O24" s="8"/>
      <c r="P24" s="237"/>
      <c r="Q24" s="8"/>
      <c r="R24" s="14"/>
      <c r="T24" s="246"/>
      <c r="U24" s="246"/>
      <c r="V24" s="246"/>
      <c r="X24"/>
      <c r="Y24"/>
      <c r="Z24"/>
      <c r="AA24"/>
    </row>
    <row r="25" spans="2:27">
      <c r="B25" s="15" t="s">
        <v>267</v>
      </c>
      <c r="C25" s="160"/>
      <c r="D25" s="296"/>
      <c r="E25" s="296"/>
      <c r="F25" s="296"/>
      <c r="G25" s="296"/>
      <c r="H25" s="296"/>
      <c r="I25" s="8"/>
      <c r="J25" s="237"/>
      <c r="K25" s="8"/>
      <c r="L25" s="100" t="s">
        <v>268</v>
      </c>
      <c r="M25" s="8"/>
      <c r="N25" s="237"/>
      <c r="O25" s="8"/>
      <c r="P25" s="237"/>
      <c r="Q25" s="8"/>
      <c r="R25" s="14"/>
      <c r="X25"/>
      <c r="Y25"/>
      <c r="Z25"/>
      <c r="AA25"/>
    </row>
    <row r="26" spans="2:27" ht="15" thickBot="1">
      <c r="B26" s="312" t="s">
        <v>269</v>
      </c>
      <c r="C26" s="313">
        <v>6.32</v>
      </c>
      <c r="D26" s="314">
        <v>7.05</v>
      </c>
      <c r="E26" s="314">
        <v>8.0399999999999991</v>
      </c>
      <c r="F26" s="314">
        <v>6.01</v>
      </c>
      <c r="G26" s="314">
        <v>6.34</v>
      </c>
      <c r="H26" s="314">
        <v>7.57</v>
      </c>
      <c r="I26" s="280"/>
      <c r="J26" s="279">
        <f>SUMPRODUCT(D26:H26,D27:H27)</f>
        <v>6.9994999999999994</v>
      </c>
      <c r="K26" s="280"/>
      <c r="L26" s="315">
        <f>V13/V10</f>
        <v>9.9997258482899234</v>
      </c>
      <c r="M26" s="151"/>
      <c r="N26" s="345">
        <f>J26*L26-(V16+V17+V18)/V10+(V15)/V10</f>
        <v>67.473450517529216</v>
      </c>
      <c r="O26" s="151"/>
      <c r="P26" s="244">
        <f>N26/(1+$V$14)</f>
        <v>59.592126910609224</v>
      </c>
      <c r="Q26" s="151"/>
      <c r="R26" s="316">
        <v>0.25</v>
      </c>
      <c r="X26"/>
      <c r="Y26"/>
      <c r="Z26"/>
      <c r="AA26"/>
    </row>
    <row r="27" spans="2:27" ht="15" thickBot="1">
      <c r="B27" s="203" t="s">
        <v>1</v>
      </c>
      <c r="C27" s="271"/>
      <c r="D27" s="309">
        <v>0.25</v>
      </c>
      <c r="E27" s="309">
        <v>0.25</v>
      </c>
      <c r="F27" s="309">
        <v>0.2</v>
      </c>
      <c r="G27" s="309">
        <v>0.2</v>
      </c>
      <c r="H27" s="309">
        <v>0.1</v>
      </c>
      <c r="I27" s="151"/>
      <c r="J27" s="151"/>
      <c r="K27" s="151"/>
      <c r="L27" s="151"/>
      <c r="M27" s="151"/>
      <c r="N27" s="151"/>
      <c r="O27" s="151"/>
      <c r="P27" s="151"/>
      <c r="Q27" s="151"/>
      <c r="R27" s="22"/>
      <c r="X27"/>
      <c r="Y27"/>
      <c r="Z27"/>
      <c r="AA27"/>
    </row>
    <row r="28" spans="2:27" ht="15" thickBot="1">
      <c r="X28"/>
      <c r="Y28"/>
      <c r="Z28"/>
      <c r="AA28"/>
    </row>
    <row r="29" spans="2:27">
      <c r="P29" s="207" t="s">
        <v>0</v>
      </c>
      <c r="Q29" s="2"/>
      <c r="R29" s="272">
        <f>SUMPRODUCT(P10:P26,R10:R26)</f>
        <v>70.518917267159281</v>
      </c>
    </row>
    <row r="30" spans="2:27" ht="15" thickBot="1">
      <c r="P30" s="381" t="s">
        <v>229</v>
      </c>
      <c r="Q30" s="381"/>
      <c r="R30" s="273">
        <f>(R29-Valuation!C9)/Valuation!C9</f>
        <v>5.1265910363137795E-2</v>
      </c>
    </row>
  </sheetData>
  <mergeCells count="13">
    <mergeCell ref="T7:U7"/>
    <mergeCell ref="T8:U8"/>
    <mergeCell ref="T9:U9"/>
    <mergeCell ref="T10:U10"/>
    <mergeCell ref="T11:U11"/>
    <mergeCell ref="T17:U17"/>
    <mergeCell ref="T18:U18"/>
    <mergeCell ref="P30:Q30"/>
    <mergeCell ref="T12:U12"/>
    <mergeCell ref="T13:U13"/>
    <mergeCell ref="T14:U14"/>
    <mergeCell ref="T15:U15"/>
    <mergeCell ref="T16:U16"/>
  </mergeCells>
  <pageMargins left="0.7" right="0.7" top="0.75" bottom="0.75" header="0.51180555555555496" footer="0.51180555555555496"/>
  <pageSetup firstPageNumber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E084352A9DD44782AAE30CCB053054" ma:contentTypeVersion="3" ma:contentTypeDescription="Create a new document." ma:contentTypeScope="" ma:versionID="4af07afffe989817c7d9e0f3d5944535">
  <xsd:schema xmlns:xsd="http://www.w3.org/2001/XMLSchema" xmlns:xs="http://www.w3.org/2001/XMLSchema" xmlns:p="http://schemas.microsoft.com/office/2006/metadata/properties" xmlns:ns2="faf8ab08-df85-4b45-9a25-4853a5308fc4" targetNamespace="http://schemas.microsoft.com/office/2006/metadata/properties" ma:root="true" ma:fieldsID="a3e24726ebf187f996c2857b7fdaaed8" ns2:_="">
    <xsd:import namespace="faf8ab08-df85-4b45-9a25-4853a5308fc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8ab08-df85-4b45-9a25-4853a5308fc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26F37E-BD1A-42D1-82D9-3766F6A3D9C0}"/>
</file>

<file path=customXml/itemProps2.xml><?xml version="1.0" encoding="utf-8"?>
<ds:datastoreItem xmlns:ds="http://schemas.openxmlformats.org/officeDocument/2006/customXml" ds:itemID="{00284FF9-E6EA-4C47-81A1-36E814316B3D}"/>
</file>

<file path=customXml/itemProps3.xml><?xml version="1.0" encoding="utf-8"?>
<ds:datastoreItem xmlns:ds="http://schemas.openxmlformats.org/officeDocument/2006/customXml" ds:itemID="{75BB9C92-B909-4009-9E8D-4080C6FC4E6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Valuation</vt:lpstr>
      <vt:lpstr>BS</vt:lpstr>
      <vt:lpstr>IS</vt:lpstr>
      <vt:lpstr>CF</vt:lpstr>
      <vt:lpstr>Beta</vt:lpstr>
      <vt:lpstr>Obligations</vt:lpstr>
      <vt:lpstr>DCF Growth Rates</vt:lpstr>
      <vt:lpstr>DCF</vt:lpstr>
      <vt:lpstr>Relative</vt:lpstr>
      <vt:lpstr>Historical</vt:lpstr>
      <vt:lpstr>DuPoint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AHast_000</dc:creator>
  <cp:lastModifiedBy>AHastings756@gmail.com</cp:lastModifiedBy>
  <cp:revision>0</cp:revision>
  <dcterms:created xsi:type="dcterms:W3CDTF">2006-09-16T00:00:00Z</dcterms:created>
  <dcterms:modified xsi:type="dcterms:W3CDTF">2015-05-27T09:55:29Z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0x01010007E084352A9DD44782AAE30CCB053054</vt:lpwstr>
  </property>
</Properties>
</file>