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56" windowWidth="28800" windowHeight="13176" tabRatio="819" activeTab="9"/>
  </bookViews>
  <sheets>
    <sheet name="Financials &gt;" sheetId="2" r:id="rId1"/>
    <sheet name="BS" sheetId="4" r:id="rId2"/>
    <sheet name="IS" sheetId="3" r:id="rId3"/>
    <sheet name="CF" sheetId="1" r:id="rId4"/>
    <sheet name="Valuations &gt;" sheetId="5" r:id="rId5"/>
    <sheet name="Valuation" sheetId="12" r:id="rId6"/>
    <sheet name="Beta" sheetId="6" r:id="rId7"/>
    <sheet name="Obligations" sheetId="7" r:id="rId8"/>
    <sheet name="DCF Growth Rates" sheetId="8" r:id="rId9"/>
    <sheet name="DCF" sheetId="9" r:id="rId10"/>
    <sheet name="Relative" sheetId="10" r:id="rId11"/>
    <sheet name="Historical" sheetId="11" r:id="rId12"/>
    <sheet name="DuPont" sheetId="13" r:id="rId13"/>
  </sheets>
  <definedNames>
    <definedName name="AS2DocOpenMode" hidden="1">"AS2DocumentEdit"</definedName>
    <definedName name="BalSheet" hidden="1">{"closed",#N/A,FALSE,"Consolidated Products - Budget";"expanded",#N/A,FALSE,"Consolidated Products - Budget"}</definedName>
    <definedName name="BS" hidden="1">{"closed",#N/A,FALSE,"Consolidated Products - Budget";"expanded",#N/A,FALSE,"Consolidated Products - Budget"}</definedName>
    <definedName name="Cash" hidden="1">{"closed",#N/A,FALSE,"Consolidated Products - Budget";"expanded",#N/A,FALSE,"Consolidated Products - Budget"}</definedName>
    <definedName name="MBV" hidden="1">{"closed",#N/A,FALSE,"Consolidated Products - Budget";"expanded",#N/A,FALSE,"Consolidated Products - Budget"}</definedName>
    <definedName name="Pivot2" hidden="1">{"closed",#N/A,FALSE,"Consolidated Products - Budget";"expanded",#N/A,FALSE,"Consolidated Products - Budget"}</definedName>
    <definedName name="summary" hidden="1">{"closed",#N/A,FALSE,"Consolidated Products - Budget";"expanded",#N/A,FALSE,"Consolidated Products - Budget"}</definedName>
    <definedName name="wrn.prodcon." hidden="1">{"closed",#N/A,FALSE,"Consolidated Products - Budget";"expanded",#N/A,FALSE,"Consolidated Products - Budget"}</definedName>
    <definedName name="XRefCopyRangeCount" hidden="1">2</definedName>
  </definedNames>
  <calcPr calcId="144525" concurrentCalc="0"/>
</workbook>
</file>

<file path=xl/calcChain.xml><?xml version="1.0" encoding="utf-8"?>
<calcChain xmlns="http://schemas.openxmlformats.org/spreadsheetml/2006/main">
  <c r="K48" i="9" l="1"/>
  <c r="C47" i="9"/>
  <c r="C49" i="9"/>
  <c r="P40" i="9"/>
  <c r="P41" i="9"/>
  <c r="N40" i="9"/>
  <c r="K46" i="9"/>
  <c r="N41" i="9"/>
  <c r="F7" i="9"/>
  <c r="H7" i="9"/>
  <c r="N8" i="9"/>
  <c r="H8" i="9"/>
  <c r="H9" i="9"/>
  <c r="H12" i="9"/>
  <c r="N13" i="9"/>
  <c r="H13" i="9"/>
  <c r="N14" i="9"/>
  <c r="H14" i="9"/>
  <c r="H15" i="9"/>
  <c r="H17" i="9"/>
  <c r="N18" i="9"/>
  <c r="H18" i="9"/>
  <c r="N19" i="9"/>
  <c r="H19" i="9"/>
  <c r="H20" i="9"/>
  <c r="N21" i="9"/>
  <c r="H21" i="9"/>
  <c r="N16" i="9"/>
  <c r="H16" i="9"/>
  <c r="N25" i="9"/>
  <c r="H25" i="9"/>
  <c r="N27" i="9"/>
  <c r="H27" i="9"/>
  <c r="N26" i="9"/>
  <c r="H26" i="9"/>
  <c r="N28" i="9"/>
  <c r="H28" i="9"/>
  <c r="H29" i="9"/>
  <c r="F25" i="9"/>
  <c r="F27" i="9"/>
  <c r="F26" i="9"/>
  <c r="F28" i="9"/>
  <c r="F29" i="9"/>
  <c r="H30" i="9"/>
  <c r="H32" i="9"/>
  <c r="N33" i="9"/>
  <c r="H33" i="9"/>
  <c r="H34" i="9"/>
  <c r="H37" i="9"/>
  <c r="I7" i="9"/>
  <c r="I8" i="9"/>
  <c r="I9" i="9"/>
  <c r="I12" i="9"/>
  <c r="I13" i="9"/>
  <c r="I14" i="9"/>
  <c r="I15" i="9"/>
  <c r="I17" i="9"/>
  <c r="I18" i="9"/>
  <c r="I19" i="9"/>
  <c r="I20" i="9"/>
  <c r="I21" i="9"/>
  <c r="I16" i="9"/>
  <c r="I25" i="9"/>
  <c r="I27" i="9"/>
  <c r="I26" i="9"/>
  <c r="I28" i="9"/>
  <c r="I29" i="9"/>
  <c r="I30" i="9"/>
  <c r="I32" i="9"/>
  <c r="I33" i="9"/>
  <c r="I34" i="9"/>
  <c r="I37" i="9"/>
  <c r="J7" i="9"/>
  <c r="J8" i="9"/>
  <c r="J9" i="9"/>
  <c r="J12" i="9"/>
  <c r="J13" i="9"/>
  <c r="J14" i="9"/>
  <c r="J15" i="9"/>
  <c r="J17" i="9"/>
  <c r="J18" i="9"/>
  <c r="J19" i="9"/>
  <c r="J20" i="9"/>
  <c r="J21" i="9"/>
  <c r="J16" i="9"/>
  <c r="J25" i="9"/>
  <c r="J27" i="9"/>
  <c r="J26" i="9"/>
  <c r="J28" i="9"/>
  <c r="J29" i="9"/>
  <c r="J30" i="9"/>
  <c r="J32" i="9"/>
  <c r="J33" i="9"/>
  <c r="J34" i="9"/>
  <c r="J37" i="9"/>
  <c r="K7" i="9"/>
  <c r="K8" i="9"/>
  <c r="K9" i="9"/>
  <c r="K12" i="9"/>
  <c r="K13" i="9"/>
  <c r="K14" i="9"/>
  <c r="K15" i="9"/>
  <c r="K17" i="9"/>
  <c r="K18" i="9"/>
  <c r="K19" i="9"/>
  <c r="K20" i="9"/>
  <c r="K21" i="9"/>
  <c r="K16" i="9"/>
  <c r="K25" i="9"/>
  <c r="K27" i="9"/>
  <c r="K26" i="9"/>
  <c r="K28" i="9"/>
  <c r="K29" i="9"/>
  <c r="K30" i="9"/>
  <c r="K32" i="9"/>
  <c r="K33" i="9"/>
  <c r="K34" i="9"/>
  <c r="K37" i="9"/>
  <c r="L7" i="9"/>
  <c r="L8" i="9"/>
  <c r="L9" i="9"/>
  <c r="L12" i="9"/>
  <c r="L13" i="9"/>
  <c r="L14" i="9"/>
  <c r="L15" i="9"/>
  <c r="L17" i="9"/>
  <c r="L18" i="9"/>
  <c r="L19" i="9"/>
  <c r="L20" i="9"/>
  <c r="L21" i="9"/>
  <c r="L16" i="9"/>
  <c r="L25" i="9"/>
  <c r="L27" i="9"/>
  <c r="L26" i="9"/>
  <c r="L28" i="9"/>
  <c r="L29" i="9"/>
  <c r="L30" i="9"/>
  <c r="L32" i="9"/>
  <c r="L33" i="9"/>
  <c r="L34" i="9"/>
  <c r="L37" i="9"/>
  <c r="C40" i="9"/>
  <c r="C41" i="9"/>
  <c r="C42" i="9"/>
  <c r="C44" i="9"/>
  <c r="C43" i="9"/>
  <c r="C45" i="9"/>
  <c r="C48" i="9"/>
  <c r="E53" i="9"/>
  <c r="H22" i="9"/>
  <c r="N7" i="11"/>
  <c r="V9" i="10"/>
  <c r="L10" i="10"/>
  <c r="N10" i="10"/>
  <c r="P10" i="10"/>
  <c r="V7" i="10"/>
  <c r="V10" i="10"/>
  <c r="L14" i="10"/>
  <c r="N14" i="10"/>
  <c r="P14" i="10"/>
  <c r="V11" i="10"/>
  <c r="L18" i="10"/>
  <c r="N18" i="10"/>
  <c r="P18" i="10"/>
  <c r="V12" i="10"/>
  <c r="L22" i="10"/>
  <c r="N22" i="10"/>
  <c r="P22" i="10"/>
  <c r="V13" i="10"/>
  <c r="L26" i="10"/>
  <c r="N26" i="10"/>
  <c r="P26" i="10"/>
  <c r="R29" i="10"/>
  <c r="C7" i="12"/>
  <c r="D7" i="12"/>
  <c r="C6" i="12"/>
  <c r="C18" i="11"/>
  <c r="D18" i="11"/>
  <c r="G18" i="11"/>
  <c r="H18" i="11"/>
  <c r="K18" i="11"/>
  <c r="L18" i="11"/>
  <c r="C20" i="11"/>
  <c r="C21" i="11"/>
  <c r="C8" i="12"/>
  <c r="C10" i="12"/>
  <c r="C11" i="12"/>
  <c r="C14" i="8"/>
  <c r="C10" i="8"/>
  <c r="C15" i="8"/>
  <c r="D14" i="8"/>
  <c r="D10" i="8"/>
  <c r="D15" i="8"/>
  <c r="E14" i="8"/>
  <c r="E10" i="8"/>
  <c r="E15" i="8"/>
  <c r="F14" i="8"/>
  <c r="F10" i="8"/>
  <c r="F15" i="8"/>
  <c r="G14" i="8"/>
  <c r="G10" i="8"/>
  <c r="G15" i="8"/>
  <c r="I15" i="8"/>
  <c r="C24" i="8"/>
  <c r="C25" i="8"/>
  <c r="D24" i="8"/>
  <c r="D25" i="8"/>
  <c r="E24" i="8"/>
  <c r="E25" i="8"/>
  <c r="F24" i="8"/>
  <c r="F25" i="8"/>
  <c r="G24" i="8"/>
  <c r="G25" i="8"/>
  <c r="H25" i="8"/>
  <c r="C29" i="8"/>
  <c r="C30" i="8"/>
  <c r="D29" i="8"/>
  <c r="D30" i="8"/>
  <c r="E29" i="8"/>
  <c r="E30" i="8"/>
  <c r="F29" i="8"/>
  <c r="F30" i="8"/>
  <c r="G29" i="8"/>
  <c r="G30" i="8"/>
  <c r="H30" i="8"/>
  <c r="C39" i="8"/>
  <c r="C40" i="8"/>
  <c r="D39" i="8"/>
  <c r="D40" i="8"/>
  <c r="E39" i="8"/>
  <c r="E40" i="8"/>
  <c r="F39" i="8"/>
  <c r="F40" i="8"/>
  <c r="G39" i="8"/>
  <c r="G40" i="8"/>
  <c r="I40" i="8"/>
  <c r="C44" i="8"/>
  <c r="C45" i="8"/>
  <c r="D44" i="8"/>
  <c r="D45" i="8"/>
  <c r="E44" i="8"/>
  <c r="E45" i="8"/>
  <c r="F44" i="8"/>
  <c r="F45" i="8"/>
  <c r="G44" i="8"/>
  <c r="G45" i="8"/>
  <c r="I45" i="8"/>
  <c r="C54" i="8"/>
  <c r="C55" i="8"/>
  <c r="C56" i="8"/>
  <c r="D54" i="8"/>
  <c r="D55" i="8"/>
  <c r="D56" i="8"/>
  <c r="E54" i="8"/>
  <c r="E55" i="8"/>
  <c r="E56" i="8"/>
  <c r="F54" i="8"/>
  <c r="F55" i="8"/>
  <c r="F56" i="8"/>
  <c r="G54" i="8"/>
  <c r="G55" i="8"/>
  <c r="G56" i="8"/>
  <c r="I56" i="8"/>
  <c r="D8" i="12"/>
  <c r="C61" i="8"/>
  <c r="C62" i="8"/>
  <c r="D61" i="8"/>
  <c r="D62" i="8"/>
  <c r="E61" i="8"/>
  <c r="E62" i="8"/>
  <c r="F61" i="8"/>
  <c r="F62" i="8"/>
  <c r="G61" i="8"/>
  <c r="G62" i="8"/>
  <c r="H62" i="8"/>
  <c r="C71" i="8"/>
  <c r="C72" i="8"/>
  <c r="D71" i="8"/>
  <c r="D72" i="8"/>
  <c r="E71" i="8"/>
  <c r="E72" i="8"/>
  <c r="F71" i="8"/>
  <c r="F72" i="8"/>
  <c r="G71" i="8"/>
  <c r="G72" i="8"/>
  <c r="H72" i="8"/>
  <c r="C76" i="8"/>
  <c r="C77" i="8"/>
  <c r="D76" i="8"/>
  <c r="D77" i="8"/>
  <c r="E76" i="8"/>
  <c r="E77" i="8"/>
  <c r="F76" i="8"/>
  <c r="F77" i="8"/>
  <c r="G76" i="8"/>
  <c r="G77" i="8"/>
  <c r="H77" i="8"/>
  <c r="C87" i="8"/>
  <c r="C88" i="8"/>
  <c r="D87" i="8"/>
  <c r="D88" i="8"/>
  <c r="E87" i="8"/>
  <c r="E88" i="8"/>
  <c r="F87" i="8"/>
  <c r="F88" i="8"/>
  <c r="G87" i="8"/>
  <c r="G88" i="8"/>
  <c r="H88" i="8"/>
  <c r="C92" i="8"/>
  <c r="C93" i="8"/>
  <c r="D92" i="8"/>
  <c r="D93" i="8"/>
  <c r="E92" i="8"/>
  <c r="E93" i="8"/>
  <c r="F92" i="8"/>
  <c r="F93" i="8"/>
  <c r="G92" i="8"/>
  <c r="G93" i="8"/>
  <c r="H93" i="8"/>
  <c r="C66" i="8"/>
  <c r="C67" i="8"/>
  <c r="D66" i="8"/>
  <c r="D67" i="8"/>
  <c r="E66" i="8"/>
  <c r="E67" i="8"/>
  <c r="F66" i="8"/>
  <c r="F67" i="8"/>
  <c r="G66" i="8"/>
  <c r="G67" i="8"/>
  <c r="H67" i="8"/>
  <c r="D6" i="12"/>
  <c r="J26" i="10"/>
  <c r="E14" i="7"/>
  <c r="F14" i="7"/>
  <c r="G14" i="7"/>
  <c r="C15" i="7"/>
  <c r="G33" i="9"/>
  <c r="F33" i="9"/>
  <c r="G9" i="9"/>
  <c r="G17" i="9"/>
  <c r="G25" i="9"/>
  <c r="G27" i="9"/>
  <c r="G26" i="9"/>
  <c r="G28" i="9"/>
  <c r="G29" i="9"/>
  <c r="G30" i="9"/>
  <c r="G32" i="9"/>
  <c r="G34" i="9"/>
  <c r="L22" i="9"/>
  <c r="L24" i="9"/>
  <c r="K22" i="9"/>
  <c r="K24" i="9"/>
  <c r="J22" i="9"/>
  <c r="J24" i="9"/>
  <c r="I22" i="9"/>
  <c r="I24" i="9"/>
  <c r="H24" i="9"/>
  <c r="G22" i="9"/>
  <c r="G10" i="9"/>
  <c r="F9" i="9"/>
  <c r="F12" i="9"/>
  <c r="F13" i="9"/>
  <c r="F14" i="9"/>
  <c r="F15" i="9"/>
  <c r="F17" i="9"/>
  <c r="F18" i="9"/>
  <c r="F19" i="9"/>
  <c r="F21" i="9"/>
  <c r="F22" i="9"/>
  <c r="L10" i="9"/>
  <c r="K10" i="9"/>
  <c r="J10" i="9"/>
  <c r="I10" i="9"/>
  <c r="H10" i="9"/>
  <c r="V14" i="10"/>
  <c r="J10" i="10"/>
  <c r="J14" i="10"/>
  <c r="J18" i="10"/>
  <c r="D98" i="8"/>
  <c r="D99" i="8"/>
  <c r="E98" i="8"/>
  <c r="E99" i="8"/>
  <c r="F98" i="8"/>
  <c r="F99" i="8"/>
  <c r="G98" i="8"/>
  <c r="G99" i="8"/>
  <c r="H98" i="8"/>
  <c r="H99" i="8"/>
  <c r="J22" i="10"/>
  <c r="V16" i="10"/>
  <c r="V15" i="10"/>
  <c r="G24" i="9"/>
  <c r="F24" i="9"/>
  <c r="E9" i="9"/>
  <c r="E12" i="9"/>
  <c r="E13" i="9"/>
  <c r="E14" i="9"/>
  <c r="E15" i="9"/>
  <c r="E17" i="9"/>
  <c r="E18" i="9"/>
  <c r="E19" i="9"/>
  <c r="E21" i="9"/>
  <c r="E22" i="9"/>
  <c r="E23" i="9"/>
  <c r="E24" i="9"/>
  <c r="D9" i="9"/>
  <c r="D12" i="9"/>
  <c r="D13" i="9"/>
  <c r="D14" i="9"/>
  <c r="D15" i="9"/>
  <c r="D17" i="9"/>
  <c r="D18" i="9"/>
  <c r="D19" i="9"/>
  <c r="D21" i="9"/>
  <c r="D22" i="9"/>
  <c r="D23" i="9"/>
  <c r="D24" i="9"/>
  <c r="C9" i="9"/>
  <c r="C12" i="9"/>
  <c r="C13" i="9"/>
  <c r="C14" i="9"/>
  <c r="C15" i="9"/>
  <c r="C17" i="9"/>
  <c r="C18" i="9"/>
  <c r="C19" i="9"/>
  <c r="C21" i="9"/>
  <c r="C22" i="9"/>
  <c r="C23" i="9"/>
  <c r="C24" i="9"/>
  <c r="E28" i="9"/>
  <c r="D28" i="9"/>
  <c r="C28" i="9"/>
  <c r="E25" i="9"/>
  <c r="E27" i="9"/>
  <c r="E26" i="9"/>
  <c r="E29" i="9"/>
  <c r="C50" i="9"/>
  <c r="K11" i="11"/>
  <c r="L11" i="11"/>
  <c r="M11" i="11"/>
  <c r="C15" i="11"/>
  <c r="K12" i="11"/>
  <c r="L12" i="11"/>
  <c r="M12" i="11"/>
  <c r="C16" i="11"/>
  <c r="C17" i="11"/>
  <c r="E7" i="9"/>
  <c r="D11" i="8"/>
  <c r="E11" i="8"/>
  <c r="F11" i="8"/>
  <c r="G11" i="8"/>
  <c r="H11" i="8"/>
  <c r="C19" i="8"/>
  <c r="C20" i="8"/>
  <c r="D19" i="8"/>
  <c r="D20" i="8"/>
  <c r="E19" i="8"/>
  <c r="E20" i="8"/>
  <c r="F19" i="8"/>
  <c r="F20" i="8"/>
  <c r="G19" i="8"/>
  <c r="G20" i="8"/>
  <c r="H20" i="8"/>
  <c r="D15" i="11"/>
  <c r="D16" i="11"/>
  <c r="D17" i="11"/>
  <c r="I11" i="11"/>
  <c r="J11" i="11"/>
  <c r="G15" i="11"/>
  <c r="I12" i="11"/>
  <c r="J12" i="11"/>
  <c r="G16" i="11"/>
  <c r="G17" i="11"/>
  <c r="H15" i="11"/>
  <c r="H16" i="11"/>
  <c r="H17" i="11"/>
  <c r="G11" i="11"/>
  <c r="H11" i="11"/>
  <c r="K15" i="11"/>
  <c r="G12" i="11"/>
  <c r="H12" i="11"/>
  <c r="K16" i="11"/>
  <c r="K17" i="11"/>
  <c r="L15" i="11"/>
  <c r="L16" i="11"/>
  <c r="L17" i="11"/>
  <c r="V8" i="10"/>
  <c r="F8" i="9"/>
  <c r="E42" i="8"/>
  <c r="F42" i="8"/>
  <c r="G42" i="8"/>
  <c r="D42" i="8"/>
  <c r="D41" i="8"/>
  <c r="D12" i="8"/>
  <c r="E12" i="8"/>
  <c r="F12" i="8"/>
  <c r="G12" i="8"/>
  <c r="E17" i="8"/>
  <c r="D17" i="8"/>
  <c r="F16" i="8"/>
  <c r="G16" i="8"/>
  <c r="F17" i="8"/>
  <c r="E22" i="8"/>
  <c r="D22" i="8"/>
  <c r="G21" i="8"/>
  <c r="F21" i="8"/>
  <c r="F22" i="8"/>
  <c r="E27" i="8"/>
  <c r="D27" i="8"/>
  <c r="F26" i="8"/>
  <c r="G26" i="8"/>
  <c r="D26" i="8"/>
  <c r="F27" i="8"/>
  <c r="E32" i="8"/>
  <c r="D32" i="8"/>
  <c r="F31" i="8"/>
  <c r="G31" i="8"/>
  <c r="D31" i="8"/>
  <c r="F32" i="8"/>
  <c r="C34" i="8"/>
  <c r="E34" i="8"/>
  <c r="E37" i="8"/>
  <c r="D34" i="8"/>
  <c r="D37" i="8"/>
  <c r="F34" i="8"/>
  <c r="F36" i="8"/>
  <c r="G34" i="8"/>
  <c r="G36" i="8"/>
  <c r="E35" i="8"/>
  <c r="F35" i="8"/>
  <c r="D36" i="8"/>
  <c r="F37" i="8"/>
  <c r="E47" i="8"/>
  <c r="D47" i="8"/>
  <c r="F46" i="8"/>
  <c r="G46" i="8"/>
  <c r="F47" i="8"/>
  <c r="C49" i="8"/>
  <c r="E49" i="8"/>
  <c r="E52" i="8"/>
  <c r="D49" i="8"/>
  <c r="D52" i="8"/>
  <c r="F49" i="8"/>
  <c r="F51" i="8"/>
  <c r="G49" i="8"/>
  <c r="G51" i="8"/>
  <c r="E50" i="8"/>
  <c r="F50" i="8"/>
  <c r="D51" i="8"/>
  <c r="F52" i="8"/>
  <c r="E59" i="8"/>
  <c r="D57" i="8"/>
  <c r="F58" i="8"/>
  <c r="G59" i="8"/>
  <c r="E57" i="8"/>
  <c r="F57" i="8"/>
  <c r="D58" i="8"/>
  <c r="E58" i="8"/>
  <c r="F59" i="8"/>
  <c r="E64" i="8"/>
  <c r="F63" i="8"/>
  <c r="G64" i="8"/>
  <c r="D63" i="8"/>
  <c r="E63" i="8"/>
  <c r="F64" i="8"/>
  <c r="E69" i="8"/>
  <c r="G69" i="8"/>
  <c r="F68" i="8"/>
  <c r="F69" i="8"/>
  <c r="E74" i="8"/>
  <c r="F73" i="8"/>
  <c r="G74" i="8"/>
  <c r="D73" i="8"/>
  <c r="E73" i="8"/>
  <c r="F74" i="8"/>
  <c r="D79" i="8"/>
  <c r="E78" i="8"/>
  <c r="F79" i="8"/>
  <c r="G79" i="8"/>
  <c r="C78" i="8"/>
  <c r="D78" i="8"/>
  <c r="E79" i="8"/>
  <c r="G80" i="8"/>
  <c r="C82" i="8"/>
  <c r="F82" i="8"/>
  <c r="F85" i="8"/>
  <c r="D82" i="8"/>
  <c r="D84" i="8"/>
  <c r="E82" i="8"/>
  <c r="E83" i="8"/>
  <c r="G82" i="8"/>
  <c r="G84" i="8"/>
  <c r="C83" i="8"/>
  <c r="F83" i="8"/>
  <c r="G83" i="8"/>
  <c r="E84" i="8"/>
  <c r="F84" i="8"/>
  <c r="E85" i="8"/>
  <c r="D89" i="8"/>
  <c r="E89" i="8"/>
  <c r="F89" i="8"/>
  <c r="G89" i="8"/>
  <c r="D90" i="8"/>
  <c r="E90" i="8"/>
  <c r="E95" i="8"/>
  <c r="D100" i="8"/>
  <c r="E100" i="8"/>
  <c r="F100" i="8"/>
  <c r="G100" i="8"/>
  <c r="H100" i="8"/>
  <c r="I100" i="8"/>
  <c r="I99" i="8"/>
  <c r="E58" i="9"/>
  <c r="E59" i="9"/>
  <c r="E60" i="9"/>
  <c r="E56" i="9"/>
  <c r="E55" i="9"/>
  <c r="E54" i="9"/>
  <c r="D33" i="9"/>
  <c r="E33" i="9"/>
  <c r="C33" i="9"/>
  <c r="F20" i="9"/>
  <c r="F16" i="9"/>
  <c r="C25" i="9"/>
  <c r="C27" i="9"/>
  <c r="C26" i="9"/>
  <c r="C29" i="9"/>
  <c r="D27" i="9"/>
  <c r="D26" i="9"/>
  <c r="D25" i="9"/>
  <c r="D20" i="9"/>
  <c r="E20" i="9"/>
  <c r="C20" i="9"/>
  <c r="D16" i="9"/>
  <c r="E16" i="9"/>
  <c r="C16" i="9"/>
  <c r="D8" i="9"/>
  <c r="E8" i="9"/>
  <c r="C8" i="9"/>
  <c r="C7" i="9"/>
  <c r="D7" i="9"/>
  <c r="G13" i="13"/>
  <c r="G12" i="13"/>
  <c r="G11" i="13"/>
  <c r="G10" i="13"/>
  <c r="G9" i="13"/>
  <c r="G7" i="13"/>
  <c r="G6" i="13"/>
  <c r="G8" i="13"/>
  <c r="D13" i="13"/>
  <c r="E13" i="13"/>
  <c r="F13" i="13"/>
  <c r="D12" i="13"/>
  <c r="E12" i="13"/>
  <c r="F12" i="13"/>
  <c r="D11" i="13"/>
  <c r="E11" i="13"/>
  <c r="E9" i="13"/>
  <c r="E10" i="13"/>
  <c r="E14" i="13"/>
  <c r="F11" i="13"/>
  <c r="D10" i="13"/>
  <c r="F10" i="13"/>
  <c r="D9" i="13"/>
  <c r="F9" i="13"/>
  <c r="D7" i="13"/>
  <c r="D6" i="13"/>
  <c r="D8" i="13"/>
  <c r="E7" i="13"/>
  <c r="E6" i="13"/>
  <c r="E8" i="13"/>
  <c r="F7" i="13"/>
  <c r="F6" i="13"/>
  <c r="F8" i="13"/>
  <c r="C12" i="13"/>
  <c r="C11" i="13"/>
  <c r="C10" i="13"/>
  <c r="C9" i="13"/>
  <c r="C7" i="13"/>
  <c r="C6" i="13"/>
  <c r="C13" i="13"/>
  <c r="C8" i="13"/>
  <c r="J13" i="3"/>
  <c r="J14" i="3"/>
  <c r="J12" i="3"/>
  <c r="G41" i="8"/>
  <c r="F41" i="8"/>
  <c r="G94" i="8"/>
  <c r="G95" i="8"/>
  <c r="F94" i="8"/>
  <c r="F95" i="8"/>
  <c r="E68" i="8"/>
  <c r="G63" i="8"/>
  <c r="H63" i="8"/>
  <c r="G47" i="8"/>
  <c r="H47" i="8"/>
  <c r="I42" i="8"/>
  <c r="H42" i="8"/>
  <c r="G58" i="8"/>
  <c r="H58" i="8"/>
  <c r="D95" i="8"/>
  <c r="I93" i="8"/>
  <c r="D83" i="8"/>
  <c r="H83" i="8"/>
  <c r="H79" i="8"/>
  <c r="I79" i="8"/>
  <c r="E36" i="8"/>
  <c r="I36" i="8"/>
  <c r="G27" i="8"/>
  <c r="I27" i="8"/>
  <c r="G22" i="8"/>
  <c r="I22" i="8"/>
  <c r="H22" i="8"/>
  <c r="H89" i="8"/>
  <c r="I89" i="8"/>
  <c r="I12" i="8"/>
  <c r="H12" i="8"/>
  <c r="D94" i="8"/>
  <c r="E94" i="8"/>
  <c r="G90" i="8"/>
  <c r="G85" i="8"/>
  <c r="I83" i="8"/>
  <c r="E80" i="8"/>
  <c r="D74" i="8"/>
  <c r="D69" i="8"/>
  <c r="D64" i="8"/>
  <c r="D59" i="8"/>
  <c r="D50" i="8"/>
  <c r="D35" i="8"/>
  <c r="F90" i="8"/>
  <c r="I90" i="8"/>
  <c r="D80" i="8"/>
  <c r="G68" i="8"/>
  <c r="I63" i="8"/>
  <c r="I58" i="8"/>
  <c r="G57" i="8"/>
  <c r="G52" i="8"/>
  <c r="I52" i="8"/>
  <c r="E51" i="8"/>
  <c r="H51" i="8"/>
  <c r="C50" i="8"/>
  <c r="I47" i="8"/>
  <c r="E46" i="8"/>
  <c r="E41" i="8"/>
  <c r="H41" i="8"/>
  <c r="G37" i="8"/>
  <c r="H37" i="8"/>
  <c r="H36" i="8"/>
  <c r="C35" i="8"/>
  <c r="G32" i="8"/>
  <c r="H32" i="8"/>
  <c r="E31" i="8"/>
  <c r="H31" i="8"/>
  <c r="H27" i="8"/>
  <c r="E26" i="8"/>
  <c r="H26" i="8"/>
  <c r="G17" i="8"/>
  <c r="I17" i="8"/>
  <c r="E16" i="8"/>
  <c r="G78" i="8"/>
  <c r="D46" i="8"/>
  <c r="D16" i="8"/>
  <c r="D85" i="8"/>
  <c r="F78" i="8"/>
  <c r="H78" i="8"/>
  <c r="G73" i="8"/>
  <c r="H73" i="8"/>
  <c r="D68" i="8"/>
  <c r="C57" i="8"/>
  <c r="G50" i="8"/>
  <c r="G35" i="8"/>
  <c r="F80" i="8"/>
  <c r="F10" i="9"/>
  <c r="D29" i="9"/>
  <c r="C10" i="9"/>
  <c r="D10" i="9"/>
  <c r="E10" i="9"/>
  <c r="G14" i="13"/>
  <c r="F14" i="13"/>
  <c r="D14" i="13"/>
  <c r="C14" i="13"/>
  <c r="J28" i="3"/>
  <c r="J27" i="3"/>
  <c r="J6" i="3"/>
  <c r="J7" i="3"/>
  <c r="J9" i="3"/>
  <c r="J10" i="3"/>
  <c r="J11" i="3"/>
  <c r="J15" i="3"/>
  <c r="J17" i="3"/>
  <c r="J18" i="3"/>
  <c r="J19" i="3"/>
  <c r="J20" i="3"/>
  <c r="J21" i="3"/>
  <c r="J22" i="3"/>
  <c r="J24" i="3"/>
  <c r="J25" i="3"/>
  <c r="J5" i="3"/>
  <c r="F30" i="9"/>
  <c r="H68" i="8"/>
  <c r="I68" i="8"/>
  <c r="I72" i="8"/>
  <c r="H85" i="8"/>
  <c r="I85" i="8"/>
  <c r="I20" i="8"/>
  <c r="H35" i="8"/>
  <c r="I35" i="8"/>
  <c r="D21" i="8"/>
  <c r="H59" i="8"/>
  <c r="I59" i="8"/>
  <c r="I88" i="8"/>
  <c r="I32" i="8"/>
  <c r="I11" i="8"/>
  <c r="H50" i="8"/>
  <c r="I50" i="8"/>
  <c r="H64" i="8"/>
  <c r="I64" i="8"/>
  <c r="I31" i="8"/>
  <c r="I41" i="8"/>
  <c r="I37" i="8"/>
  <c r="H52" i="8"/>
  <c r="H16" i="8"/>
  <c r="I16" i="8"/>
  <c r="I25" i="8"/>
  <c r="H69" i="8"/>
  <c r="I69" i="8"/>
  <c r="I51" i="8"/>
  <c r="H56" i="8"/>
  <c r="H40" i="8"/>
  <c r="I78" i="8"/>
  <c r="H46" i="8"/>
  <c r="I46" i="8"/>
  <c r="I73" i="8"/>
  <c r="H74" i="8"/>
  <c r="I74" i="8"/>
  <c r="I57" i="8"/>
  <c r="H57" i="8"/>
  <c r="I26" i="8"/>
  <c r="H90" i="8"/>
  <c r="I62" i="8"/>
  <c r="H15" i="8"/>
  <c r="I30" i="8"/>
  <c r="H80" i="8"/>
  <c r="I80" i="8"/>
  <c r="H17" i="8"/>
  <c r="I67" i="8"/>
  <c r="H45" i="8"/>
  <c r="H94" i="8"/>
  <c r="I94" i="8"/>
  <c r="H95" i="8"/>
  <c r="I95" i="8"/>
  <c r="E21" i="8"/>
  <c r="I77" i="8"/>
  <c r="F32" i="9"/>
  <c r="F34" i="9"/>
  <c r="E30" i="9"/>
  <c r="E32" i="9"/>
  <c r="E34" i="9"/>
  <c r="D30" i="9"/>
  <c r="D32" i="9"/>
  <c r="D34" i="9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F8" i="6"/>
  <c r="F6" i="6"/>
  <c r="F5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R182" i="6"/>
  <c r="R183" i="6"/>
  <c r="R184" i="6"/>
  <c r="R185" i="6"/>
  <c r="R186" i="6"/>
  <c r="R187" i="6"/>
  <c r="R188" i="6"/>
  <c r="R189" i="6"/>
  <c r="R190" i="6"/>
  <c r="R191" i="6"/>
  <c r="R192" i="6"/>
  <c r="R193" i="6"/>
  <c r="R194" i="6"/>
  <c r="R195" i="6"/>
  <c r="R196" i="6"/>
  <c r="R197" i="6"/>
  <c r="R198" i="6"/>
  <c r="R199" i="6"/>
  <c r="R200" i="6"/>
  <c r="R201" i="6"/>
  <c r="R202" i="6"/>
  <c r="R203" i="6"/>
  <c r="R204" i="6"/>
  <c r="R205" i="6"/>
  <c r="R206" i="6"/>
  <c r="R207" i="6"/>
  <c r="R208" i="6"/>
  <c r="R209" i="6"/>
  <c r="R210" i="6"/>
  <c r="R211" i="6"/>
  <c r="R212" i="6"/>
  <c r="R213" i="6"/>
  <c r="R214" i="6"/>
  <c r="R215" i="6"/>
  <c r="R216" i="6"/>
  <c r="R217" i="6"/>
  <c r="E8" i="6"/>
  <c r="E7" i="6"/>
  <c r="E6" i="6"/>
  <c r="E5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  <c r="J703" i="6"/>
  <c r="J704" i="6"/>
  <c r="J705" i="6"/>
  <c r="J706" i="6"/>
  <c r="J707" i="6"/>
  <c r="J708" i="6"/>
  <c r="J709" i="6"/>
  <c r="J710" i="6"/>
  <c r="J711" i="6"/>
  <c r="J712" i="6"/>
  <c r="J713" i="6"/>
  <c r="J714" i="6"/>
  <c r="J715" i="6"/>
  <c r="J716" i="6"/>
  <c r="J717" i="6"/>
  <c r="J718" i="6"/>
  <c r="J719" i="6"/>
  <c r="J720" i="6"/>
  <c r="J721" i="6"/>
  <c r="J722" i="6"/>
  <c r="J723" i="6"/>
  <c r="J724" i="6"/>
  <c r="J725" i="6"/>
  <c r="J726" i="6"/>
  <c r="J727" i="6"/>
  <c r="J728" i="6"/>
  <c r="J729" i="6"/>
  <c r="J730" i="6"/>
  <c r="J731" i="6"/>
  <c r="J732" i="6"/>
  <c r="J733" i="6"/>
  <c r="J734" i="6"/>
  <c r="J735" i="6"/>
  <c r="J736" i="6"/>
  <c r="J737" i="6"/>
  <c r="J738" i="6"/>
  <c r="J739" i="6"/>
  <c r="J740" i="6"/>
  <c r="J741" i="6"/>
  <c r="J742" i="6"/>
  <c r="J743" i="6"/>
  <c r="J744" i="6"/>
  <c r="J745" i="6"/>
  <c r="J746" i="6"/>
  <c r="J747" i="6"/>
  <c r="J748" i="6"/>
  <c r="J749" i="6"/>
  <c r="J750" i="6"/>
  <c r="J751" i="6"/>
  <c r="J752" i="6"/>
  <c r="J753" i="6"/>
  <c r="J754" i="6"/>
  <c r="J755" i="6"/>
  <c r="J756" i="6"/>
  <c r="J757" i="6"/>
  <c r="J758" i="6"/>
  <c r="J759" i="6"/>
  <c r="J760" i="6"/>
  <c r="J761" i="6"/>
  <c r="J762" i="6"/>
  <c r="J763" i="6"/>
  <c r="J764" i="6"/>
  <c r="J765" i="6"/>
  <c r="J766" i="6"/>
  <c r="J767" i="6"/>
  <c r="J768" i="6"/>
  <c r="J769" i="6"/>
  <c r="J770" i="6"/>
  <c r="J771" i="6"/>
  <c r="J772" i="6"/>
  <c r="J773" i="6"/>
  <c r="J774" i="6"/>
  <c r="J775" i="6"/>
  <c r="J776" i="6"/>
  <c r="J777" i="6"/>
  <c r="J778" i="6"/>
  <c r="J779" i="6"/>
  <c r="J780" i="6"/>
  <c r="J781" i="6"/>
  <c r="J782" i="6"/>
  <c r="J783" i="6"/>
  <c r="J784" i="6"/>
  <c r="J785" i="6"/>
  <c r="J786" i="6"/>
  <c r="J787" i="6"/>
  <c r="J788" i="6"/>
  <c r="J789" i="6"/>
  <c r="J790" i="6"/>
  <c r="J791" i="6"/>
  <c r="J792" i="6"/>
  <c r="J793" i="6"/>
  <c r="J794" i="6"/>
  <c r="J795" i="6"/>
  <c r="J796" i="6"/>
  <c r="J797" i="6"/>
  <c r="J798" i="6"/>
  <c r="J799" i="6"/>
  <c r="J800" i="6"/>
  <c r="J801" i="6"/>
  <c r="J802" i="6"/>
  <c r="J803" i="6"/>
  <c r="J804" i="6"/>
  <c r="J805" i="6"/>
  <c r="J806" i="6"/>
  <c r="J807" i="6"/>
  <c r="J808" i="6"/>
  <c r="J809" i="6"/>
  <c r="J810" i="6"/>
  <c r="J811" i="6"/>
  <c r="J812" i="6"/>
  <c r="J813" i="6"/>
  <c r="J814" i="6"/>
  <c r="J815" i="6"/>
  <c r="J816" i="6"/>
  <c r="J817" i="6"/>
  <c r="J818" i="6"/>
  <c r="J819" i="6"/>
  <c r="J820" i="6"/>
  <c r="J821" i="6"/>
  <c r="J822" i="6"/>
  <c r="J823" i="6"/>
  <c r="J824" i="6"/>
  <c r="J825" i="6"/>
  <c r="J826" i="6"/>
  <c r="J827" i="6"/>
  <c r="J828" i="6"/>
  <c r="J829" i="6"/>
  <c r="J830" i="6"/>
  <c r="J831" i="6"/>
  <c r="J832" i="6"/>
  <c r="J833" i="6"/>
  <c r="J834" i="6"/>
  <c r="J835" i="6"/>
  <c r="J836" i="6"/>
  <c r="J837" i="6"/>
  <c r="J838" i="6"/>
  <c r="J839" i="6"/>
  <c r="J840" i="6"/>
  <c r="J841" i="6"/>
  <c r="J842" i="6"/>
  <c r="J843" i="6"/>
  <c r="J844" i="6"/>
  <c r="J845" i="6"/>
  <c r="J846" i="6"/>
  <c r="J847" i="6"/>
  <c r="J848" i="6"/>
  <c r="J849" i="6"/>
  <c r="J850" i="6"/>
  <c r="J851" i="6"/>
  <c r="J852" i="6"/>
  <c r="J853" i="6"/>
  <c r="J854" i="6"/>
  <c r="J855" i="6"/>
  <c r="J856" i="6"/>
  <c r="J857" i="6"/>
  <c r="J858" i="6"/>
  <c r="J859" i="6"/>
  <c r="J860" i="6"/>
  <c r="J861" i="6"/>
  <c r="J862" i="6"/>
  <c r="J863" i="6"/>
  <c r="J864" i="6"/>
  <c r="J865" i="6"/>
  <c r="J866" i="6"/>
  <c r="J867" i="6"/>
  <c r="J868" i="6"/>
  <c r="J869" i="6"/>
  <c r="J870" i="6"/>
  <c r="J871" i="6"/>
  <c r="J872" i="6"/>
  <c r="J873" i="6"/>
  <c r="J874" i="6"/>
  <c r="J875" i="6"/>
  <c r="J876" i="6"/>
  <c r="J877" i="6"/>
  <c r="J878" i="6"/>
  <c r="J879" i="6"/>
  <c r="J880" i="6"/>
  <c r="J881" i="6"/>
  <c r="J882" i="6"/>
  <c r="J883" i="6"/>
  <c r="J884" i="6"/>
  <c r="J885" i="6"/>
  <c r="J886" i="6"/>
  <c r="J887" i="6"/>
  <c r="J888" i="6"/>
  <c r="J889" i="6"/>
  <c r="J890" i="6"/>
  <c r="J891" i="6"/>
  <c r="J892" i="6"/>
  <c r="J893" i="6"/>
  <c r="J894" i="6"/>
  <c r="J895" i="6"/>
  <c r="J896" i="6"/>
  <c r="J897" i="6"/>
  <c r="J898" i="6"/>
  <c r="J899" i="6"/>
  <c r="J900" i="6"/>
  <c r="J901" i="6"/>
  <c r="J902" i="6"/>
  <c r="J903" i="6"/>
  <c r="J904" i="6"/>
  <c r="J905" i="6"/>
  <c r="J906" i="6"/>
  <c r="J907" i="6"/>
  <c r="J908" i="6"/>
  <c r="J909" i="6"/>
  <c r="J910" i="6"/>
  <c r="J911" i="6"/>
  <c r="J912" i="6"/>
  <c r="J913" i="6"/>
  <c r="J914" i="6"/>
  <c r="J915" i="6"/>
  <c r="J916" i="6"/>
  <c r="J917" i="6"/>
  <c r="J918" i="6"/>
  <c r="J919" i="6"/>
  <c r="J920" i="6"/>
  <c r="J921" i="6"/>
  <c r="J922" i="6"/>
  <c r="J923" i="6"/>
  <c r="J924" i="6"/>
  <c r="J925" i="6"/>
  <c r="J926" i="6"/>
  <c r="J927" i="6"/>
  <c r="J928" i="6"/>
  <c r="J929" i="6"/>
  <c r="J930" i="6"/>
  <c r="J931" i="6"/>
  <c r="J932" i="6"/>
  <c r="J933" i="6"/>
  <c r="J934" i="6"/>
  <c r="J935" i="6"/>
  <c r="J936" i="6"/>
  <c r="J937" i="6"/>
  <c r="J938" i="6"/>
  <c r="J939" i="6"/>
  <c r="J940" i="6"/>
  <c r="J941" i="6"/>
  <c r="J942" i="6"/>
  <c r="J943" i="6"/>
  <c r="J944" i="6"/>
  <c r="J945" i="6"/>
  <c r="J946" i="6"/>
  <c r="J947" i="6"/>
  <c r="J948" i="6"/>
  <c r="J949" i="6"/>
  <c r="J950" i="6"/>
  <c r="J951" i="6"/>
  <c r="J952" i="6"/>
  <c r="J953" i="6"/>
  <c r="J954" i="6"/>
  <c r="J955" i="6"/>
  <c r="J956" i="6"/>
  <c r="J957" i="6"/>
  <c r="J958" i="6"/>
  <c r="J959" i="6"/>
  <c r="J960" i="6"/>
  <c r="J961" i="6"/>
  <c r="J962" i="6"/>
  <c r="J963" i="6"/>
  <c r="J964" i="6"/>
  <c r="J965" i="6"/>
  <c r="J966" i="6"/>
  <c r="J967" i="6"/>
  <c r="J968" i="6"/>
  <c r="J969" i="6"/>
  <c r="J970" i="6"/>
  <c r="J971" i="6"/>
  <c r="J972" i="6"/>
  <c r="J973" i="6"/>
  <c r="J974" i="6"/>
  <c r="J975" i="6"/>
  <c r="J976" i="6"/>
  <c r="J977" i="6"/>
  <c r="J978" i="6"/>
  <c r="J979" i="6"/>
  <c r="J980" i="6"/>
  <c r="J981" i="6"/>
  <c r="J982" i="6"/>
  <c r="J983" i="6"/>
  <c r="J984" i="6"/>
  <c r="J985" i="6"/>
  <c r="J986" i="6"/>
  <c r="J987" i="6"/>
  <c r="J988" i="6"/>
  <c r="J989" i="6"/>
  <c r="J990" i="6"/>
  <c r="J991" i="6"/>
  <c r="J992" i="6"/>
  <c r="J993" i="6"/>
  <c r="J994" i="6"/>
  <c r="J995" i="6"/>
  <c r="J996" i="6"/>
  <c r="J997" i="6"/>
  <c r="J998" i="6"/>
  <c r="J999" i="6"/>
  <c r="J1000" i="6"/>
  <c r="J1001" i="6"/>
  <c r="J1002" i="6"/>
  <c r="J1003" i="6"/>
  <c r="J1004" i="6"/>
  <c r="J1005" i="6"/>
  <c r="J1006" i="6"/>
  <c r="J1007" i="6"/>
  <c r="J1008" i="6"/>
  <c r="J1009" i="6"/>
  <c r="J1010" i="6"/>
  <c r="J1011" i="6"/>
  <c r="J1012" i="6"/>
  <c r="J1013" i="6"/>
  <c r="J1014" i="6"/>
  <c r="J1015" i="6"/>
  <c r="J1016" i="6"/>
  <c r="J1017" i="6"/>
  <c r="J1018" i="6"/>
  <c r="J1019" i="6"/>
  <c r="J1020" i="6"/>
  <c r="J1021" i="6"/>
  <c r="J1022" i="6"/>
  <c r="J1023" i="6"/>
  <c r="J1024" i="6"/>
  <c r="J1025" i="6"/>
  <c r="J1026" i="6"/>
  <c r="J1027" i="6"/>
  <c r="J1028" i="6"/>
  <c r="J1029" i="6"/>
  <c r="J1030" i="6"/>
  <c r="J1031" i="6"/>
  <c r="J1032" i="6"/>
  <c r="J1033" i="6"/>
  <c r="J1034" i="6"/>
  <c r="J1035" i="6"/>
  <c r="J1036" i="6"/>
  <c r="J1037" i="6"/>
  <c r="J1038" i="6"/>
  <c r="J1039" i="6"/>
  <c r="J1040" i="6"/>
  <c r="J1041" i="6"/>
  <c r="J1042" i="6"/>
  <c r="J1043" i="6"/>
  <c r="J1044" i="6"/>
  <c r="J1045" i="6"/>
  <c r="J1046" i="6"/>
  <c r="J1047" i="6"/>
  <c r="J1048" i="6"/>
  <c r="J1049" i="6"/>
  <c r="J1050" i="6"/>
  <c r="J1051" i="6"/>
  <c r="J1052" i="6"/>
  <c r="J1053" i="6"/>
  <c r="J1054" i="6"/>
  <c r="J1055" i="6"/>
  <c r="J1056" i="6"/>
  <c r="J1057" i="6"/>
  <c r="J1058" i="6"/>
  <c r="J1059" i="6"/>
  <c r="J1060" i="6"/>
  <c r="J1061" i="6"/>
  <c r="J1062" i="6"/>
  <c r="J1063" i="6"/>
  <c r="J1064" i="6"/>
  <c r="J1065" i="6"/>
  <c r="J1066" i="6"/>
  <c r="J1067" i="6"/>
  <c r="J1068" i="6"/>
  <c r="J1069" i="6"/>
  <c r="J1070" i="6"/>
  <c r="J1071" i="6"/>
  <c r="J1072" i="6"/>
  <c r="J1073" i="6"/>
  <c r="J1074" i="6"/>
  <c r="J1075" i="6"/>
  <c r="J1076" i="6"/>
  <c r="J1077" i="6"/>
  <c r="J1078" i="6"/>
  <c r="J1079" i="6"/>
  <c r="J1080" i="6"/>
  <c r="J1081" i="6"/>
  <c r="J1082" i="6"/>
  <c r="J1083" i="6"/>
  <c r="J1084" i="6"/>
  <c r="J1085" i="6"/>
  <c r="J1086" i="6"/>
  <c r="J1087" i="6"/>
  <c r="J1088" i="6"/>
  <c r="J1089" i="6"/>
  <c r="J1090" i="6"/>
  <c r="J1091" i="6"/>
  <c r="J1092" i="6"/>
  <c r="J1093" i="6"/>
  <c r="J1094" i="6"/>
  <c r="J1095" i="6"/>
  <c r="J1096" i="6"/>
  <c r="J1097" i="6"/>
  <c r="J1098" i="6"/>
  <c r="J1099" i="6"/>
  <c r="J1100" i="6"/>
  <c r="J1101" i="6"/>
  <c r="J1102" i="6"/>
  <c r="J1103" i="6"/>
  <c r="J1104" i="6"/>
  <c r="J1105" i="6"/>
  <c r="J1106" i="6"/>
  <c r="J1107" i="6"/>
  <c r="J1108" i="6"/>
  <c r="J1109" i="6"/>
  <c r="J1110" i="6"/>
  <c r="J1111" i="6"/>
  <c r="J1112" i="6"/>
  <c r="J1113" i="6"/>
  <c r="J1114" i="6"/>
  <c r="J1115" i="6"/>
  <c r="J1116" i="6"/>
  <c r="J1117" i="6"/>
  <c r="J1118" i="6"/>
  <c r="J1119" i="6"/>
  <c r="J1120" i="6"/>
  <c r="J1121" i="6"/>
  <c r="J1122" i="6"/>
  <c r="J1123" i="6"/>
  <c r="J1124" i="6"/>
  <c r="J1125" i="6"/>
  <c r="J1126" i="6"/>
  <c r="J1127" i="6"/>
  <c r="J1128" i="6"/>
  <c r="J1129" i="6"/>
  <c r="J1130" i="6"/>
  <c r="J1131" i="6"/>
  <c r="J1132" i="6"/>
  <c r="J1133" i="6"/>
  <c r="J1134" i="6"/>
  <c r="J1135" i="6"/>
  <c r="J1136" i="6"/>
  <c r="J1137" i="6"/>
  <c r="J1138" i="6"/>
  <c r="J1139" i="6"/>
  <c r="J1140" i="6"/>
  <c r="J1141" i="6"/>
  <c r="J1142" i="6"/>
  <c r="J1143" i="6"/>
  <c r="J1144" i="6"/>
  <c r="J1145" i="6"/>
  <c r="J1146" i="6"/>
  <c r="J1147" i="6"/>
  <c r="J1148" i="6"/>
  <c r="J1149" i="6"/>
  <c r="J1150" i="6"/>
  <c r="J1151" i="6"/>
  <c r="J1152" i="6"/>
  <c r="J1153" i="6"/>
  <c r="J1154" i="6"/>
  <c r="J1155" i="6"/>
  <c r="J1156" i="6"/>
  <c r="J1157" i="6"/>
  <c r="J1158" i="6"/>
  <c r="J1159" i="6"/>
  <c r="J1160" i="6"/>
  <c r="J1161" i="6"/>
  <c r="J1162" i="6"/>
  <c r="J1163" i="6"/>
  <c r="J1164" i="6"/>
  <c r="J1165" i="6"/>
  <c r="J1166" i="6"/>
  <c r="J1167" i="6"/>
  <c r="J1168" i="6"/>
  <c r="J1169" i="6"/>
  <c r="J1170" i="6"/>
  <c r="J1171" i="6"/>
  <c r="J1172" i="6"/>
  <c r="J1173" i="6"/>
  <c r="J1174" i="6"/>
  <c r="J1175" i="6"/>
  <c r="J1176" i="6"/>
  <c r="J1177" i="6"/>
  <c r="J1178" i="6"/>
  <c r="J1179" i="6"/>
  <c r="J1180" i="6"/>
  <c r="J1181" i="6"/>
  <c r="J1182" i="6"/>
  <c r="J1183" i="6"/>
  <c r="J1184" i="6"/>
  <c r="J1185" i="6"/>
  <c r="J1186" i="6"/>
  <c r="J1187" i="6"/>
  <c r="J1188" i="6"/>
  <c r="J1189" i="6"/>
  <c r="J1190" i="6"/>
  <c r="J1191" i="6"/>
  <c r="J1192" i="6"/>
  <c r="J1193" i="6"/>
  <c r="J1194" i="6"/>
  <c r="J1195" i="6"/>
  <c r="J1196" i="6"/>
  <c r="J1197" i="6"/>
  <c r="J1198" i="6"/>
  <c r="J1199" i="6"/>
  <c r="J1200" i="6"/>
  <c r="J1201" i="6"/>
  <c r="J1202" i="6"/>
  <c r="J1203" i="6"/>
  <c r="J1204" i="6"/>
  <c r="J1205" i="6"/>
  <c r="J1206" i="6"/>
  <c r="J1207" i="6"/>
  <c r="J1208" i="6"/>
  <c r="J1209" i="6"/>
  <c r="J1210" i="6"/>
  <c r="J1211" i="6"/>
  <c r="J1212" i="6"/>
  <c r="J1213" i="6"/>
  <c r="J1214" i="6"/>
  <c r="J1215" i="6"/>
  <c r="J1216" i="6"/>
  <c r="J1217" i="6"/>
  <c r="J1218" i="6"/>
  <c r="J1219" i="6"/>
  <c r="J1220" i="6"/>
  <c r="J1221" i="6"/>
  <c r="J1222" i="6"/>
  <c r="J1223" i="6"/>
  <c r="J1224" i="6"/>
  <c r="J1225" i="6"/>
  <c r="J1226" i="6"/>
  <c r="J1227" i="6"/>
  <c r="J1228" i="6"/>
  <c r="J1229" i="6"/>
  <c r="J1230" i="6"/>
  <c r="J1231" i="6"/>
  <c r="J1232" i="6"/>
  <c r="J1233" i="6"/>
  <c r="J1234" i="6"/>
  <c r="J1235" i="6"/>
  <c r="J1236" i="6"/>
  <c r="J1237" i="6"/>
  <c r="J1238" i="6"/>
  <c r="J1239" i="6"/>
  <c r="J1240" i="6"/>
  <c r="J1241" i="6"/>
  <c r="J1242" i="6"/>
  <c r="J1243" i="6"/>
  <c r="J1244" i="6"/>
  <c r="J1245" i="6"/>
  <c r="J1246" i="6"/>
  <c r="J1247" i="6"/>
  <c r="J1248" i="6"/>
  <c r="J1249" i="6"/>
  <c r="J1250" i="6"/>
  <c r="J1251" i="6"/>
  <c r="J1252" i="6"/>
  <c r="J1253" i="6"/>
  <c r="J1254" i="6"/>
  <c r="J1255" i="6"/>
  <c r="J1256" i="6"/>
  <c r="J125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001" i="6"/>
  <c r="L1002" i="6"/>
  <c r="L1003" i="6"/>
  <c r="L1004" i="6"/>
  <c r="L1005" i="6"/>
  <c r="L1006" i="6"/>
  <c r="L1007" i="6"/>
  <c r="L1008" i="6"/>
  <c r="L1009" i="6"/>
  <c r="L1010" i="6"/>
  <c r="L1011" i="6"/>
  <c r="L1012" i="6"/>
  <c r="L1013" i="6"/>
  <c r="L1014" i="6"/>
  <c r="L1015" i="6"/>
  <c r="L1016" i="6"/>
  <c r="L1017" i="6"/>
  <c r="L1018" i="6"/>
  <c r="L1019" i="6"/>
  <c r="L1020" i="6"/>
  <c r="L1021" i="6"/>
  <c r="L1022" i="6"/>
  <c r="L1023" i="6"/>
  <c r="L1024" i="6"/>
  <c r="L1025" i="6"/>
  <c r="L1026" i="6"/>
  <c r="L1027" i="6"/>
  <c r="L1028" i="6"/>
  <c r="L1029" i="6"/>
  <c r="L1030" i="6"/>
  <c r="L1031" i="6"/>
  <c r="L1032" i="6"/>
  <c r="L1033" i="6"/>
  <c r="L1034" i="6"/>
  <c r="L1035" i="6"/>
  <c r="L1036" i="6"/>
  <c r="L1037" i="6"/>
  <c r="L1038" i="6"/>
  <c r="L1039" i="6"/>
  <c r="L1040" i="6"/>
  <c r="L1041" i="6"/>
  <c r="L1042" i="6"/>
  <c r="L1043" i="6"/>
  <c r="L1044" i="6"/>
  <c r="L1045" i="6"/>
  <c r="L1046" i="6"/>
  <c r="L1047" i="6"/>
  <c r="L1048" i="6"/>
  <c r="L1049" i="6"/>
  <c r="L1050" i="6"/>
  <c r="L1051" i="6"/>
  <c r="L1052" i="6"/>
  <c r="L1053" i="6"/>
  <c r="L1054" i="6"/>
  <c r="L1055" i="6"/>
  <c r="L1056" i="6"/>
  <c r="L1057" i="6"/>
  <c r="L1058" i="6"/>
  <c r="L1059" i="6"/>
  <c r="L1060" i="6"/>
  <c r="L1061" i="6"/>
  <c r="L1062" i="6"/>
  <c r="L1063" i="6"/>
  <c r="L1064" i="6"/>
  <c r="L1065" i="6"/>
  <c r="L1066" i="6"/>
  <c r="L1067" i="6"/>
  <c r="L1068" i="6"/>
  <c r="L1069" i="6"/>
  <c r="L1070" i="6"/>
  <c r="L1071" i="6"/>
  <c r="L1072" i="6"/>
  <c r="L1073" i="6"/>
  <c r="L1074" i="6"/>
  <c r="L1075" i="6"/>
  <c r="L1076" i="6"/>
  <c r="L1077" i="6"/>
  <c r="L1078" i="6"/>
  <c r="L1079" i="6"/>
  <c r="L1080" i="6"/>
  <c r="L1081" i="6"/>
  <c r="L1082" i="6"/>
  <c r="L1083" i="6"/>
  <c r="L1084" i="6"/>
  <c r="L1085" i="6"/>
  <c r="L1086" i="6"/>
  <c r="L1087" i="6"/>
  <c r="L1088" i="6"/>
  <c r="L1089" i="6"/>
  <c r="L1090" i="6"/>
  <c r="L1091" i="6"/>
  <c r="L1092" i="6"/>
  <c r="L1093" i="6"/>
  <c r="L1094" i="6"/>
  <c r="L1095" i="6"/>
  <c r="L1096" i="6"/>
  <c r="L1097" i="6"/>
  <c r="L1098" i="6"/>
  <c r="L1099" i="6"/>
  <c r="L1100" i="6"/>
  <c r="L1101" i="6"/>
  <c r="L1102" i="6"/>
  <c r="L1103" i="6"/>
  <c r="L1104" i="6"/>
  <c r="L1105" i="6"/>
  <c r="L1106" i="6"/>
  <c r="L1107" i="6"/>
  <c r="L1108" i="6"/>
  <c r="L1109" i="6"/>
  <c r="L1110" i="6"/>
  <c r="L1111" i="6"/>
  <c r="L1112" i="6"/>
  <c r="L1113" i="6"/>
  <c r="L1114" i="6"/>
  <c r="L1115" i="6"/>
  <c r="L1116" i="6"/>
  <c r="L1117" i="6"/>
  <c r="L1118" i="6"/>
  <c r="L1119" i="6"/>
  <c r="L1120" i="6"/>
  <c r="L1121" i="6"/>
  <c r="L1122" i="6"/>
  <c r="L1123" i="6"/>
  <c r="L1124" i="6"/>
  <c r="L1125" i="6"/>
  <c r="L1126" i="6"/>
  <c r="L1127" i="6"/>
  <c r="L1128" i="6"/>
  <c r="L1129" i="6"/>
  <c r="L1130" i="6"/>
  <c r="L1131" i="6"/>
  <c r="L1132" i="6"/>
  <c r="L1133" i="6"/>
  <c r="L1134" i="6"/>
  <c r="L1135" i="6"/>
  <c r="L1136" i="6"/>
  <c r="L1137" i="6"/>
  <c r="L1138" i="6"/>
  <c r="L1139" i="6"/>
  <c r="L1140" i="6"/>
  <c r="L1141" i="6"/>
  <c r="L1142" i="6"/>
  <c r="L1143" i="6"/>
  <c r="L1144" i="6"/>
  <c r="L1145" i="6"/>
  <c r="L1146" i="6"/>
  <c r="L1147" i="6"/>
  <c r="L1148" i="6"/>
  <c r="L1149" i="6"/>
  <c r="L1150" i="6"/>
  <c r="L1151" i="6"/>
  <c r="L1152" i="6"/>
  <c r="L1153" i="6"/>
  <c r="L1154" i="6"/>
  <c r="L1155" i="6"/>
  <c r="L1156" i="6"/>
  <c r="L1157" i="6"/>
  <c r="L1158" i="6"/>
  <c r="L1159" i="6"/>
  <c r="L1160" i="6"/>
  <c r="L1161" i="6"/>
  <c r="L1162" i="6"/>
  <c r="L1163" i="6"/>
  <c r="L1164" i="6"/>
  <c r="L1165" i="6"/>
  <c r="L1166" i="6"/>
  <c r="L1167" i="6"/>
  <c r="L1168" i="6"/>
  <c r="L1169" i="6"/>
  <c r="L1170" i="6"/>
  <c r="L1171" i="6"/>
  <c r="L1172" i="6"/>
  <c r="L1173" i="6"/>
  <c r="L1174" i="6"/>
  <c r="L1175" i="6"/>
  <c r="L1176" i="6"/>
  <c r="L1177" i="6"/>
  <c r="L1178" i="6"/>
  <c r="L1179" i="6"/>
  <c r="L1180" i="6"/>
  <c r="L1181" i="6"/>
  <c r="L1182" i="6"/>
  <c r="L1183" i="6"/>
  <c r="L1184" i="6"/>
  <c r="L1185" i="6"/>
  <c r="L1186" i="6"/>
  <c r="L1187" i="6"/>
  <c r="L1188" i="6"/>
  <c r="L1189" i="6"/>
  <c r="L1190" i="6"/>
  <c r="L1191" i="6"/>
  <c r="L1192" i="6"/>
  <c r="L1193" i="6"/>
  <c r="L1194" i="6"/>
  <c r="L1195" i="6"/>
  <c r="L1196" i="6"/>
  <c r="L1197" i="6"/>
  <c r="L1198" i="6"/>
  <c r="L1199" i="6"/>
  <c r="L1200" i="6"/>
  <c r="L1201" i="6"/>
  <c r="L1202" i="6"/>
  <c r="L1203" i="6"/>
  <c r="L1204" i="6"/>
  <c r="L1205" i="6"/>
  <c r="L1206" i="6"/>
  <c r="L1207" i="6"/>
  <c r="L1208" i="6"/>
  <c r="L1209" i="6"/>
  <c r="L1210" i="6"/>
  <c r="L1211" i="6"/>
  <c r="L1212" i="6"/>
  <c r="L1213" i="6"/>
  <c r="L1214" i="6"/>
  <c r="L1215" i="6"/>
  <c r="L1216" i="6"/>
  <c r="L1217" i="6"/>
  <c r="L1218" i="6"/>
  <c r="L1219" i="6"/>
  <c r="L1220" i="6"/>
  <c r="L1221" i="6"/>
  <c r="L1222" i="6"/>
  <c r="L1223" i="6"/>
  <c r="L1224" i="6"/>
  <c r="L1225" i="6"/>
  <c r="L1226" i="6"/>
  <c r="L1227" i="6"/>
  <c r="L1228" i="6"/>
  <c r="L1229" i="6"/>
  <c r="L1230" i="6"/>
  <c r="L1231" i="6"/>
  <c r="L1232" i="6"/>
  <c r="L1233" i="6"/>
  <c r="L1234" i="6"/>
  <c r="L1235" i="6"/>
  <c r="L1236" i="6"/>
  <c r="L1237" i="6"/>
  <c r="L1238" i="6"/>
  <c r="L1239" i="6"/>
  <c r="L1240" i="6"/>
  <c r="L1241" i="6"/>
  <c r="L1242" i="6"/>
  <c r="L1243" i="6"/>
  <c r="L1244" i="6"/>
  <c r="L1245" i="6"/>
  <c r="L1246" i="6"/>
  <c r="L1247" i="6"/>
  <c r="L1248" i="6"/>
  <c r="L1249" i="6"/>
  <c r="L1250" i="6"/>
  <c r="L1251" i="6"/>
  <c r="L1252" i="6"/>
  <c r="L1253" i="6"/>
  <c r="L1254" i="6"/>
  <c r="L1255" i="6"/>
  <c r="L1256" i="6"/>
  <c r="L1257" i="6"/>
  <c r="D8" i="6"/>
  <c r="D7" i="6"/>
  <c r="D6" i="6"/>
  <c r="J9" i="1"/>
  <c r="J12" i="1"/>
  <c r="J13" i="1"/>
  <c r="J14" i="1"/>
  <c r="J15" i="1"/>
  <c r="J16" i="1"/>
  <c r="J17" i="1"/>
  <c r="J19" i="1"/>
  <c r="J20" i="1"/>
  <c r="J21" i="1"/>
  <c r="J22" i="1"/>
  <c r="J23" i="1"/>
  <c r="J24" i="1"/>
  <c r="J25" i="1"/>
  <c r="J26" i="1"/>
  <c r="J28" i="1"/>
  <c r="J29" i="1"/>
  <c r="J30" i="1"/>
  <c r="J31" i="1"/>
  <c r="J32" i="1"/>
  <c r="J33" i="1"/>
  <c r="J35" i="1"/>
  <c r="J36" i="1"/>
  <c r="J37" i="1"/>
  <c r="J38" i="1"/>
  <c r="J39" i="1"/>
  <c r="J40" i="1"/>
  <c r="J41" i="1"/>
  <c r="J43" i="1"/>
  <c r="J44" i="1"/>
  <c r="J45" i="1"/>
  <c r="J46" i="1"/>
  <c r="J47" i="1"/>
  <c r="J49" i="1"/>
  <c r="J50" i="1"/>
  <c r="J53" i="1"/>
  <c r="J11" i="1"/>
  <c r="H21" i="8"/>
  <c r="I21" i="8"/>
  <c r="C32" i="9"/>
  <c r="C34" i="9"/>
  <c r="J53" i="9"/>
  <c r="I53" i="9"/>
  <c r="H53" i="9"/>
  <c r="G53" i="9"/>
  <c r="F53" i="9"/>
  <c r="J6" i="4"/>
  <c r="J7" i="4"/>
  <c r="J8" i="4"/>
  <c r="J9" i="4"/>
  <c r="J10" i="4"/>
  <c r="J11" i="4"/>
  <c r="J12" i="4"/>
  <c r="J13" i="4"/>
  <c r="J14" i="4"/>
  <c r="J15" i="4"/>
  <c r="J17" i="4"/>
  <c r="J18" i="4"/>
  <c r="J19" i="4"/>
  <c r="J20" i="4"/>
  <c r="J21" i="4"/>
  <c r="J22" i="4"/>
  <c r="J23" i="4"/>
  <c r="J24" i="4"/>
  <c r="J25" i="4"/>
  <c r="J26" i="4"/>
  <c r="J27" i="4"/>
  <c r="J30" i="4"/>
  <c r="J31" i="4"/>
  <c r="J32" i="4"/>
  <c r="J33" i="4"/>
  <c r="J34" i="4"/>
  <c r="J35" i="4"/>
  <c r="J36" i="4"/>
  <c r="J37" i="4"/>
  <c r="J5" i="4"/>
  <c r="K53" i="9"/>
  <c r="L53" i="9"/>
  <c r="M53" i="9"/>
  <c r="N53" i="9"/>
  <c r="E12" i="11"/>
  <c r="F12" i="11"/>
  <c r="D12" i="11"/>
  <c r="E11" i="11"/>
  <c r="F11" i="11"/>
  <c r="D11" i="11"/>
  <c r="F15" i="11"/>
  <c r="J15" i="11"/>
  <c r="M15" i="11"/>
  <c r="N16" i="11"/>
  <c r="N15" i="11"/>
  <c r="E16" i="11"/>
  <c r="J16" i="11"/>
  <c r="M16" i="11"/>
  <c r="F16" i="11"/>
  <c r="I16" i="11"/>
  <c r="E15" i="11"/>
  <c r="I15" i="11"/>
  <c r="C22" i="11"/>
  <c r="R30" i="10"/>
  <c r="F7" i="6"/>
  <c r="D5" i="6"/>
  <c r="D10" i="6"/>
</calcChain>
</file>

<file path=xl/comments1.xml><?xml version="1.0" encoding="utf-8"?>
<comments xmlns="http://schemas.openxmlformats.org/spreadsheetml/2006/main">
  <authors>
    <author>Arun Varghese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close 11/10/2015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AHastings756@gmail.com</author>
  </authors>
  <commentList>
    <comment ref="C14" authorId="0">
      <text>
        <r>
          <rPr>
            <sz val="9"/>
            <color indexed="81"/>
            <rFont val="Tahoma"/>
            <family val="2"/>
          </rPr>
          <t xml:space="preserve">Could not find any bonds for WDC so I took the weighted average of the relatives Cost of Debt and used it for this. Sandisks cost of debt was 0.5%
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B29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Not entirely sure I did this correctly. =IS!C11+IS!C12
C11: Charges related to arbutration award
C12: Employee termination, asset impairment and other charges</t>
        </r>
      </text>
    </comment>
    <comment ref="H8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Would naturally be the average of all the ammounts however since -92% is the only value the mean will be set to that.</t>
        </r>
      </text>
    </comment>
    <comment ref="I8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Would naturally be the median of all the ammounts however since -92% is the only value the median will be set to that.</t>
        </r>
      </text>
    </comment>
  </commentList>
</comments>
</file>

<file path=xl/comments4.xml><?xml version="1.0" encoding="utf-8"?>
<comments xmlns="http://schemas.openxmlformats.org/spreadsheetml/2006/main">
  <authors>
    <author>Microsoft Office User</author>
    <author>AHastings756@gmail.com</author>
  </authors>
  <commentList>
    <comment ref="F22" authorId="0">
      <text>
        <r>
          <rPr>
            <sz val="10"/>
            <color indexed="81"/>
            <rFont val="Calibri"/>
          </rPr>
          <t xml:space="preserve">NI for 2015 is $1,465
</t>
        </r>
      </text>
    </comment>
    <comment ref="K40" authorId="1">
      <text>
        <r>
          <rPr>
            <b/>
            <sz val="9"/>
            <color indexed="81"/>
            <rFont val="Tahoma"/>
            <family val="2"/>
          </rPr>
          <t>I decided to use 1.54(the weekly beta for WDC) because I felt that it was the closest beta to represent the average from the data taken and therefore the best beta to represent the company.</t>
        </r>
      </text>
    </comment>
    <comment ref="K47" authorId="1">
      <text>
        <r>
          <rPr>
            <b/>
            <sz val="9"/>
            <color indexed="81"/>
            <rFont val="Tahoma"/>
            <family val="2"/>
          </rPr>
          <t>Could not find any bonds for WDC so I took the weighted average of the relatives Cost of Debt and used it for this. Sandisks cost of debt was 0.5%</t>
        </r>
      </text>
    </comment>
  </commentList>
</comments>
</file>

<file path=xl/comments5.xml><?xml version="1.0" encoding="utf-8"?>
<comments xmlns="http://schemas.openxmlformats.org/spreadsheetml/2006/main">
  <authors>
    <author>owner</author>
  </authors>
  <commentList>
    <comment ref="E22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Value online was either presented as a 0 or this when looked for.</t>
        </r>
      </text>
    </comment>
  </commentList>
</comments>
</file>

<file path=xl/sharedStrings.xml><?xml version="1.0" encoding="utf-8"?>
<sst xmlns="http://schemas.openxmlformats.org/spreadsheetml/2006/main" count="472" uniqueCount="315">
  <si>
    <t>Cash and cash equivalents</t>
  </si>
  <si>
    <t>Accounts receivable, net</t>
  </si>
  <si>
    <t>Other current assets</t>
  </si>
  <si>
    <t>Total current assets</t>
  </si>
  <si>
    <t>Goodwill</t>
  </si>
  <si>
    <t>Other non-current assets</t>
  </si>
  <si>
    <t>Total assets</t>
  </si>
  <si>
    <t>Current liabilities:</t>
  </si>
  <si>
    <t>Total current liabilities</t>
  </si>
  <si>
    <t>Total liabilities</t>
  </si>
  <si>
    <t>Retained earnings</t>
  </si>
  <si>
    <t>Amortization of acquisition-related intangible assets</t>
  </si>
  <si>
    <t>Operating expenses:</t>
  </si>
  <si>
    <t>Research and development</t>
  </si>
  <si>
    <t>Total operating expenses</t>
  </si>
  <si>
    <t>Net income</t>
  </si>
  <si>
    <t>Net Sales</t>
  </si>
  <si>
    <t>Other liabilities</t>
  </si>
  <si>
    <t>Net cash provided by operating activities</t>
  </si>
  <si>
    <t>Acquisitions, net of cash acquired</t>
  </si>
  <si>
    <t>Net cash used in investing activities</t>
  </si>
  <si>
    <t>Supplemental disclosure of cash flow information:</t>
  </si>
  <si>
    <t>SNDK</t>
  </si>
  <si>
    <t>Beta</t>
  </si>
  <si>
    <t>Total Contractual cash obligations</t>
  </si>
  <si>
    <t>Total</t>
  </si>
  <si>
    <t>2 - 3 Years</t>
  </si>
  <si>
    <t>4 - 5 Years</t>
  </si>
  <si>
    <t>More than 5 Years</t>
  </si>
  <si>
    <t>Less than 1 Year</t>
  </si>
  <si>
    <t>Payments due by Period</t>
  </si>
  <si>
    <t>Growth Rates</t>
  </si>
  <si>
    <t>Period Ending</t>
  </si>
  <si>
    <t># of Years Discounted</t>
  </si>
  <si>
    <t>YOY</t>
  </si>
  <si>
    <t>CAGR</t>
  </si>
  <si>
    <t>Cost of Goods Sold</t>
  </si>
  <si>
    <t>% Revenue</t>
  </si>
  <si>
    <t>Research and Development</t>
  </si>
  <si>
    <t>Total Operating Expenses</t>
  </si>
  <si>
    <t>Interest Income</t>
  </si>
  <si>
    <t>Interest (Expense) other Income (Expense), net</t>
  </si>
  <si>
    <t>Total Other Income (Expense), net</t>
  </si>
  <si>
    <t>Provision for Income Taxes</t>
  </si>
  <si>
    <t>EBT</t>
  </si>
  <si>
    <t>% EBT</t>
  </si>
  <si>
    <t>Depreciation and Amoratization</t>
  </si>
  <si>
    <t>Capital Expenditure</t>
  </si>
  <si>
    <t>Total Current Assets</t>
  </si>
  <si>
    <t>Cash and Cash Equivelant</t>
  </si>
  <si>
    <t xml:space="preserve">Total Current Liabilities </t>
  </si>
  <si>
    <t>Earnings per Share</t>
  </si>
  <si>
    <t>Mean</t>
  </si>
  <si>
    <t>Median</t>
  </si>
  <si>
    <t>3-Year</t>
  </si>
  <si>
    <t>5-Year</t>
  </si>
  <si>
    <t>Discounted Cash Flows Model ($MM)</t>
  </si>
  <si>
    <t>2011A</t>
  </si>
  <si>
    <t>2012A</t>
  </si>
  <si>
    <t>2013A</t>
  </si>
  <si>
    <t>2016E</t>
  </si>
  <si>
    <t>2017E</t>
  </si>
  <si>
    <t>2018E</t>
  </si>
  <si>
    <t xml:space="preserve">Sales, Marketing and Administrative </t>
  </si>
  <si>
    <t>Gross Margin %</t>
  </si>
  <si>
    <t>Current Assets</t>
  </si>
  <si>
    <t>Short-Term Debt</t>
  </si>
  <si>
    <t>∆ Net Working Capital</t>
  </si>
  <si>
    <t>% Current Assets</t>
  </si>
  <si>
    <t>Free Cash Flow</t>
  </si>
  <si>
    <t>Cash from Operations</t>
  </si>
  <si>
    <t>Discount Period</t>
  </si>
  <si>
    <t>PV of Future Cash Flow</t>
  </si>
  <si>
    <t>Stage 1</t>
  </si>
  <si>
    <t>Stage 2</t>
  </si>
  <si>
    <t>Stage 3</t>
  </si>
  <si>
    <t>CAPM Assumptions</t>
  </si>
  <si>
    <t>Risk Free</t>
  </si>
  <si>
    <t>Risk Premium</t>
  </si>
  <si>
    <t>Terminal Growth Rate</t>
  </si>
  <si>
    <t>WACC Assumptions</t>
  </si>
  <si>
    <t>Cost of Equity</t>
  </si>
  <si>
    <t>Cost of Debt</t>
  </si>
  <si>
    <t>Cost of Capital</t>
  </si>
  <si>
    <t>Capital Structure</t>
  </si>
  <si>
    <t>Other Assumptions</t>
  </si>
  <si>
    <t>Equity</t>
  </si>
  <si>
    <t>Debt</t>
  </si>
  <si>
    <t>Tax Rate</t>
  </si>
  <si>
    <t>DCF Calculations</t>
  </si>
  <si>
    <t>∑ of PV of Future Cash Flows</t>
  </si>
  <si>
    <t>PV of Terminal Value</t>
  </si>
  <si>
    <t>Enterprise Value</t>
  </si>
  <si>
    <t>Cash</t>
  </si>
  <si>
    <t>Equity Value</t>
  </si>
  <si>
    <t>Shares Outstanding</t>
  </si>
  <si>
    <t>Intrinsic Value</t>
  </si>
  <si>
    <t>Valuation</t>
  </si>
  <si>
    <t>DCF</t>
  </si>
  <si>
    <t>Relatives</t>
  </si>
  <si>
    <t>Historical</t>
  </si>
  <si>
    <t>Current Price</t>
  </si>
  <si>
    <t>Margin of Safety</t>
  </si>
  <si>
    <t>Total (PV)</t>
  </si>
  <si>
    <t>Weights</t>
  </si>
  <si>
    <t>Relative Valuation</t>
  </si>
  <si>
    <t>Historical Valuation</t>
  </si>
  <si>
    <t>2006A</t>
  </si>
  <si>
    <t>2007A</t>
  </si>
  <si>
    <t>2009A</t>
  </si>
  <si>
    <t>2008A</t>
  </si>
  <si>
    <t>2010A</t>
  </si>
  <si>
    <t>Market Cap</t>
  </si>
  <si>
    <t>Price to Earnings</t>
  </si>
  <si>
    <t>P/E (ttm)</t>
  </si>
  <si>
    <t>Price to Sales</t>
  </si>
  <si>
    <t>P/S (ttm)</t>
  </si>
  <si>
    <t>Price to Book</t>
  </si>
  <si>
    <t>P/BV (mrq)</t>
  </si>
  <si>
    <t>Price to Earnings Growth</t>
  </si>
  <si>
    <t>PEG (5 yr expected)</t>
  </si>
  <si>
    <t>Enterprise Value to EBITDA</t>
  </si>
  <si>
    <t>EV/EBITDA (ttm)</t>
  </si>
  <si>
    <t>Diluted EPS</t>
  </si>
  <si>
    <t>High P/E</t>
  </si>
  <si>
    <t>Low Price</t>
  </si>
  <si>
    <t>High Price</t>
  </si>
  <si>
    <t>Low P/E</t>
  </si>
  <si>
    <t>7-Year</t>
  </si>
  <si>
    <t>Average</t>
  </si>
  <si>
    <t>Max</t>
  </si>
  <si>
    <t>Min</t>
  </si>
  <si>
    <t>High</t>
  </si>
  <si>
    <t>Low</t>
  </si>
  <si>
    <t>Value Per Share</t>
  </si>
  <si>
    <t>Discounted</t>
  </si>
  <si>
    <t>STX</t>
  </si>
  <si>
    <t>Seagate Technology</t>
  </si>
  <si>
    <t>Western Digital</t>
  </si>
  <si>
    <t>WDC</t>
  </si>
  <si>
    <t>NetApp</t>
  </si>
  <si>
    <t>NTAP</t>
  </si>
  <si>
    <t>EMC</t>
  </si>
  <si>
    <t>EPS Growth (5 yr)</t>
  </si>
  <si>
    <t>Cash and Cash Equivalents</t>
  </si>
  <si>
    <t>Long-Term Debt</t>
  </si>
  <si>
    <t>Minority Interest</t>
  </si>
  <si>
    <t>Preferred Shares</t>
  </si>
  <si>
    <t>Weighted Average</t>
  </si>
  <si>
    <t>EPS</t>
  </si>
  <si>
    <t>Rev/Share</t>
  </si>
  <si>
    <t>BV/Share</t>
  </si>
  <si>
    <t>Earnings Growth</t>
  </si>
  <si>
    <t>EBITDA/Share</t>
  </si>
  <si>
    <t>Valutation</t>
  </si>
  <si>
    <t>Discounted Value</t>
  </si>
  <si>
    <t>DuPont</t>
  </si>
  <si>
    <t>Profit Margin</t>
  </si>
  <si>
    <t>Asset Turnover</t>
  </si>
  <si>
    <t>Return on Assets</t>
  </si>
  <si>
    <t>Interest Burden</t>
  </si>
  <si>
    <t>Tax Burden</t>
  </si>
  <si>
    <t>Operating Profit Margin</t>
  </si>
  <si>
    <t>Leverage Ratio</t>
  </si>
  <si>
    <t>Return on Equity</t>
  </si>
  <si>
    <t>Overvalued</t>
  </si>
  <si>
    <t>Undervalued</t>
  </si>
  <si>
    <t>% Current Liabilities</t>
  </si>
  <si>
    <t>Consolidated Balance Sheets (USD $)</t>
  </si>
  <si>
    <t>FY Q1 2015</t>
  </si>
  <si>
    <t>FY Q2 2015</t>
  </si>
  <si>
    <t>FY Q3 2015</t>
  </si>
  <si>
    <t>FY Q4 2015</t>
  </si>
  <si>
    <t>In Millions, unless otherwise specified</t>
  </si>
  <si>
    <t>Current assets:</t>
  </si>
  <si>
    <t>Short-term investments</t>
  </si>
  <si>
    <t>Inventories</t>
  </si>
  <si>
    <t>Property, plant and equipment, net</t>
  </si>
  <si>
    <t>Other intangible assets, net</t>
  </si>
  <si>
    <t>Accounts payable</t>
  </si>
  <si>
    <t>Accrued arbitration award</t>
  </si>
  <si>
    <t>Accrued expenses</t>
  </si>
  <si>
    <t>Accrued compensation</t>
  </si>
  <si>
    <t>Accrued warranty</t>
  </si>
  <si>
    <t>Revolving credit facility</t>
  </si>
  <si>
    <t>Current portion of long-term debt</t>
  </si>
  <si>
    <t>Long-term debt</t>
  </si>
  <si>
    <t>  </t>
  </si>
  <si>
    <t>Shareholders' equity:</t>
  </si>
  <si>
    <t>Preferred stock, $.01 par value; authorized - 5 shares; issued and outstanding - none</t>
  </si>
  <si>
    <t>Common stock, $.01 par value; authorized - 450 shares; issued and outstanding - 246 and 233 shares, respectively</t>
  </si>
  <si>
    <t>Additional paid-in capital</t>
  </si>
  <si>
    <t>Accumulated other comprehensive loss</t>
  </si>
  <si>
    <t>Treasury stock - common shares at cost; 15 shares and none, respectively</t>
  </si>
  <si>
    <t>Total shareholders' equity</t>
  </si>
  <si>
    <t>Total liabilities and shareholders' equity</t>
  </si>
  <si>
    <t>Consolidated Statements of Income - USD ($)</t>
  </si>
  <si>
    <t>12 Months Ended</t>
  </si>
  <si>
    <t>shares in Millions, $ in Millions</t>
  </si>
  <si>
    <t>Income Statement [Abstract]</t>
  </si>
  <si>
    <t>Cost of revenue</t>
  </si>
  <si>
    <t>Gross profit</t>
  </si>
  <si>
    <t>Charges related to arbitration award</t>
  </si>
  <si>
    <t>Employee termination, asset impairment and other charges</t>
  </si>
  <si>
    <t>Charges related to flooding, net</t>
  </si>
  <si>
    <t>Operating income</t>
  </si>
  <si>
    <t>Other income (expense):</t>
  </si>
  <si>
    <t>Interest and other income</t>
  </si>
  <si>
    <t>Interest and other expense</t>
  </si>
  <si>
    <t>Total other expense, net</t>
  </si>
  <si>
    <t>Income before income taxes</t>
  </si>
  <si>
    <t>Income tax provision</t>
  </si>
  <si>
    <t>Basic (in dollars per share)</t>
  </si>
  <si>
    <t>Diluted (in dollars per share)</t>
  </si>
  <si>
    <t>Weighted average shares outstanding:</t>
  </si>
  <si>
    <t>Basic (in shares)</t>
  </si>
  <si>
    <t>Diluted (in shares)</t>
  </si>
  <si>
    <t>Consolidated Statements of Cash Flows - USD ($)</t>
  </si>
  <si>
    <t>$ in Millions</t>
  </si>
  <si>
    <t>Adjustments to reconcile net income to net cash provided by operations:</t>
  </si>
  <si>
    <t>Depreciation and amortization</t>
  </si>
  <si>
    <t>Stock-based compensation</t>
  </si>
  <si>
    <t>Deferred income taxes</t>
  </si>
  <si>
    <t>Gain On Insurance Recovery</t>
  </si>
  <si>
    <t>Loss on disposal of assets</t>
  </si>
  <si>
    <t>Non-cash portion of employee termination, asset impairment and other charges</t>
  </si>
  <si>
    <t>Other non-cash operating activities, net</t>
  </si>
  <si>
    <t>Changes in:</t>
  </si>
  <si>
    <t>Other assets and liabilities</t>
  </si>
  <si>
    <t>Purchase of investments</t>
  </si>
  <si>
    <t>Proceeds from sales and maturities of investments</t>
  </si>
  <si>
    <t>Other investing activities, net</t>
  </si>
  <si>
    <t>Cash flows from financing activities</t>
  </si>
  <si>
    <t>Issuance of stock under employee stock plans</t>
  </si>
  <si>
    <t>Taxes paid on vested stock awards under employee stock plans</t>
  </si>
  <si>
    <t>Excess tax benefits from employee stock plans</t>
  </si>
  <si>
    <t>Repurchases of common stock</t>
  </si>
  <si>
    <t>Dividends paid to shareholders</t>
  </si>
  <si>
    <t>Repayment of debt</t>
  </si>
  <si>
    <t>Proceeds from debt, net of issuance costs</t>
  </si>
  <si>
    <t>Net cash provided by (used in) financing activities</t>
  </si>
  <si>
    <t>Effect of exchange rate changes on cash</t>
  </si>
  <si>
    <t>Net increase in cash and cash equivalents</t>
  </si>
  <si>
    <t>Cash and cash equivalents, beginning of year</t>
  </si>
  <si>
    <t>Cash and cash equivalents, end of year</t>
  </si>
  <si>
    <t>Cash paid for income taxes</t>
  </si>
  <si>
    <t>Cash paid for interest</t>
  </si>
  <si>
    <t>Supplemental disclosure of non-cash financing activities:</t>
  </si>
  <si>
    <t>Common stock issued in connection with acquisition</t>
  </si>
  <si>
    <t>Accrual of cash dividend declared</t>
  </si>
  <si>
    <t>Beta Regression (Daily)</t>
  </si>
  <si>
    <t>S&amp;P 500</t>
  </si>
  <si>
    <t>Date</t>
  </si>
  <si>
    <t>Adj Close</t>
  </si>
  <si>
    <t>Change</t>
  </si>
  <si>
    <t>Daily</t>
  </si>
  <si>
    <t>Weekly</t>
  </si>
  <si>
    <t>Monthly</t>
  </si>
  <si>
    <t>Correlation</t>
  </si>
  <si>
    <t>R Square</t>
  </si>
  <si>
    <t>Observations</t>
  </si>
  <si>
    <t>Off-Balance Sheet Obligations ($MM)</t>
  </si>
  <si>
    <t>Operating leases</t>
  </si>
  <si>
    <t>Purchase obligations</t>
  </si>
  <si>
    <t>Revolving credit facility*</t>
  </si>
  <si>
    <t>Long-term debt, including current position*</t>
  </si>
  <si>
    <t>Sales, general and administrative</t>
  </si>
  <si>
    <t>Cash flows from investing activities:</t>
  </si>
  <si>
    <t>Acquistions, of property, plant and equipment</t>
  </si>
  <si>
    <t xml:space="preserve">Short-term marketable securities </t>
  </si>
  <si>
    <t>2014A</t>
  </si>
  <si>
    <t>2019E</t>
  </si>
  <si>
    <t>Total cost of revenue</t>
  </si>
  <si>
    <t>Gross Margin</t>
  </si>
  <si>
    <t>Sales, General, and Administrative</t>
  </si>
  <si>
    <t>Operating income (EBIT)</t>
  </si>
  <si>
    <t>Interest income</t>
  </si>
  <si>
    <t>Interest (expense) and other income (expense), net</t>
  </si>
  <si>
    <t>Income before income taxes (EBT)</t>
  </si>
  <si>
    <t>Provision for income taxes</t>
  </si>
  <si>
    <t>Net Income</t>
  </si>
  <si>
    <t>Current Liabilities</t>
  </si>
  <si>
    <t>Net Working Capital</t>
  </si>
  <si>
    <t>Capital Expenditures</t>
  </si>
  <si>
    <t>Sandisk</t>
  </si>
  <si>
    <t>EMC Corp</t>
  </si>
  <si>
    <t>15.70B</t>
  </si>
  <si>
    <t>11.52B</t>
  </si>
  <si>
    <t>15.76B</t>
  </si>
  <si>
    <t>49.95B</t>
  </si>
  <si>
    <t>10.14B</t>
  </si>
  <si>
    <t>WDC Multiple</t>
  </si>
  <si>
    <t>Company weights</t>
  </si>
  <si>
    <t>Metric weights</t>
  </si>
  <si>
    <t>2015A</t>
  </si>
  <si>
    <t>Earnings per share:</t>
  </si>
  <si>
    <t>Net Sales, Revenue</t>
  </si>
  <si>
    <t>Sales 2016E</t>
  </si>
  <si>
    <t>Net Income 2016E</t>
  </si>
  <si>
    <t>EPS 2016E</t>
  </si>
  <si>
    <t>Amounts in millions</t>
  </si>
  <si>
    <t>Average Beta</t>
  </si>
  <si>
    <t>% of</t>
  </si>
  <si>
    <t>Revenue</t>
  </si>
  <si>
    <t>2020E</t>
  </si>
  <si>
    <t>EBITDA 2016E</t>
  </si>
  <si>
    <t>Under (Over) Valued</t>
  </si>
  <si>
    <t>1Q16</t>
  </si>
  <si>
    <t>Shares outstanding</t>
  </si>
  <si>
    <t>FY Q1 2016</t>
  </si>
  <si>
    <t>Micron</t>
  </si>
  <si>
    <t>MU</t>
  </si>
  <si>
    <t>16.88B</t>
  </si>
  <si>
    <t>Valuation Divided by Current Price</t>
  </si>
  <si>
    <t xml:space="preserve">                              Cost of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</si>
</sst>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#,,"/>
    <numFmt numFmtId="165" formatCode="&quot;$&quot;#,###,,"/>
    <numFmt numFmtId="166" formatCode="_(* #,##0_);_(* \(#,##0\);_(* &quot;-&quot;??_);_(@_)"/>
    <numFmt numFmtId="167" formatCode="0.000"/>
    <numFmt numFmtId="168" formatCode="\$#,##0_);[Red]&quot;($&quot;#,##0\)"/>
    <numFmt numFmtId="169" formatCode="_(\$* #,##0.00_);_(\$* \(#,##0.00\);_(\$* \-??_);_(@_)"/>
    <numFmt numFmtId="170" formatCode="0.0%"/>
    <numFmt numFmtId="171" formatCode="_(* #,##0.00_);_(* \(#,##0.00\);_(* \-??_);_(@_)"/>
    <numFmt numFmtId="172" formatCode="_(&quot;$&quot;* #,##0_);_(&quot;$&quot;* \(#,##0\);_(&quot;$&quot;* &quot;-&quot;??_);_(@_)"/>
    <numFmt numFmtId="173" formatCode="[$$-409]#,##0.00;[Red]\-[$$-409]#,##0.00"/>
    <numFmt numFmtId="174" formatCode="#,##0_)"/>
    <numFmt numFmtId="175" formatCode="&quot;$&quot;#,##0;\-&quot;$&quot;#,##0"/>
    <numFmt numFmtId="176" formatCode="&quot;$&quot;#,##0;[Red]\-&quot;$&quot;#,##0"/>
    <numFmt numFmtId="177" formatCode="&quot;$&quot;#,##0.00;[Red]\-&quot;$&quot;#,##0.00"/>
    <numFmt numFmtId="178" formatCode="_-&quot;$&quot;* #,##0_-;\-&quot;$&quot;* #,##0_-;_-&quot;$&quot;* &quot;-&quot;_-;_-@_-"/>
    <numFmt numFmtId="179" formatCode="_-&quot;$&quot;* #,##0.00_-;\-&quot;$&quot;* #,##0.00_-;_-&quot;$&quot;* &quot;-&quot;??_-;_-@_-"/>
    <numFmt numFmtId="180" formatCode="#,##0;\(#,##0\)"/>
    <numFmt numFmtId="181" formatCode="* #,##0.00_);\(#,##0.00\)"/>
    <numFmt numFmtId="182" formatCode="#,##0;\-#,##0;&quot;-&quot;"/>
    <numFmt numFmtId="183" formatCode="_(* #,##0,,_);_(* \(#,##0,,\);_(* &quot;-&quot;_)"/>
    <numFmt numFmtId="184" formatCode="_(* #,##0_);[Red]_(* \(#,##0\);_(* &quot;&quot;&quot;&quot;&quot;&quot;&quot;&quot;\ \-\ &quot;&quot;&quot;&quot;&quot;&quot;&quot;&quot;_);_(@_)"/>
    <numFmt numFmtId="185" formatCode="_(* #,##0,_);[Red]_(* \(#,##0,\);_(* &quot;&quot;&quot;&quot;&quot;&quot;&quot;&quot;\ \-\ &quot;&quot;&quot;&quot;&quot;&quot;&quot;&quot;_);_(@_)"/>
    <numFmt numFmtId="186" formatCode="0%;\(0%\);;"/>
    <numFmt numFmtId="187" formatCode="0%;\(0%\);&quot;-&quot;"/>
    <numFmt numFmtId="188" formatCode="#,##0\ ;\(#,##0.0\)"/>
    <numFmt numFmtId="189" formatCode="#,##0.00;\-#,##0.00;&quot;-&quot;"/>
    <numFmt numFmtId="190" formatCode="_._.* \(#,##0\)_%;_._.* #,##0_)_%;_._.* 0_)_%;_._.@_)_%"/>
    <numFmt numFmtId="191" formatCode="_._.&quot;$&quot;* \(#,##0\)_%;_._.&quot;$&quot;* #,##0_)_%;_._.&quot;$&quot;* 0_)_%;_._.@_)_%"/>
    <numFmt numFmtId="192" formatCode="&quot;$&quot;0.00_)"/>
    <numFmt numFmtId="193" formatCode="&quot;SFr.&quot;\ #,##0.00;&quot;SFr.&quot;\ \-#,##0.00"/>
    <numFmt numFmtId="194" formatCode="_([$€-2]* #,##0.00_);_([$€-2]* \(#,##0.00\);_([$€-2]* &quot;-&quot;??_)"/>
    <numFmt numFmtId="195" formatCode="#,##0.0_);\(#,##0.0\)"/>
    <numFmt numFmtId="196" formatCode="#,##0.0\ ;\(#,##0.0\)"/>
    <numFmt numFmtId="197" formatCode="0%;\(0%\)"/>
    <numFmt numFmtId="198" formatCode="#,##0;[Red]\(#,##0\)"/>
    <numFmt numFmtId="199" formatCode="#,##0___);\(#,##0.00\)"/>
    <numFmt numFmtId="200" formatCode="#,##0&quot;%&quot;"/>
    <numFmt numFmtId="201" formatCode="#,##0_);[Red]\(#,##0\);&quot;-&quot;"/>
    <numFmt numFmtId="202" formatCode="*-"/>
  </numFmts>
  <fonts count="6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0"/>
      <color indexed="8"/>
      <name val="Calibri"/>
      <family val="2"/>
      <charset val="1"/>
    </font>
    <font>
      <sz val="11"/>
      <color indexed="8"/>
      <name val="Calibri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Helv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3"/>
      <color theme="3"/>
      <name val="Calibri"/>
      <family val="2"/>
    </font>
    <font>
      <sz val="10"/>
      <color indexed="14"/>
      <name val="Arial"/>
      <family val="2"/>
    </font>
    <font>
      <sz val="10"/>
      <name val="Tms Rmn"/>
    </font>
    <font>
      <b/>
      <sz val="10"/>
      <color indexed="8"/>
      <name val="Arial"/>
      <family val="2"/>
    </font>
    <font>
      <sz val="10"/>
      <name val="MS Sans Serif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b/>
      <sz val="11"/>
      <color rgb="FF000000"/>
      <name val="Calibri"/>
      <family val="2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  <font>
      <sz val="10"/>
      <color indexed="81"/>
      <name val="Calibri"/>
    </font>
    <font>
      <sz val="9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7E84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6699FF"/>
        <bgColor rgb="FF993300"/>
      </patternFill>
    </fill>
  </fills>
  <borders count="9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5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24" fillId="0" borderId="0"/>
    <xf numFmtId="0" fontId="17" fillId="0" borderId="0" applyNumberFormat="0" applyFill="0" applyBorder="0" applyAlignment="0" applyProtection="0"/>
    <xf numFmtId="171" fontId="24" fillId="0" borderId="0" applyBorder="0" applyProtection="0"/>
    <xf numFmtId="169" fontId="24" fillId="0" borderId="0" applyBorder="0" applyProtection="0"/>
    <xf numFmtId="9" fontId="24" fillId="0" borderId="0" applyBorder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0" borderId="0"/>
    <xf numFmtId="0" fontId="20" fillId="0" borderId="0"/>
    <xf numFmtId="181" fontId="31" fillId="0" borderId="0">
      <alignment horizontal="center"/>
    </xf>
    <xf numFmtId="37" fontId="32" fillId="0" borderId="0"/>
    <xf numFmtId="37" fontId="33" fillId="0" borderId="0"/>
    <xf numFmtId="175" fontId="34" fillId="0" borderId="34" applyAlignment="0" applyProtection="0"/>
    <xf numFmtId="182" fontId="35" fillId="0" borderId="0" applyFill="0" applyBorder="0" applyAlignment="0"/>
    <xf numFmtId="183" fontId="36" fillId="0" borderId="0" applyFill="0" applyBorder="0" applyAlignment="0"/>
    <xf numFmtId="184" fontId="36" fillId="0" borderId="0" applyFill="0" applyBorder="0" applyAlignment="0"/>
    <xf numFmtId="185" fontId="36" fillId="0" borderId="0" applyFill="0" applyBorder="0" applyAlignment="0"/>
    <xf numFmtId="186" fontId="36" fillId="0" borderId="0" applyFill="0" applyBorder="0" applyAlignment="0"/>
    <xf numFmtId="182" fontId="35" fillId="0" borderId="0" applyFill="0" applyBorder="0" applyAlignment="0"/>
    <xf numFmtId="187" fontId="36" fillId="0" borderId="0" applyFill="0" applyBorder="0" applyAlignment="0"/>
    <xf numFmtId="183" fontId="36" fillId="0" borderId="0" applyFill="0" applyBorder="0" applyAlignment="0"/>
    <xf numFmtId="0" fontId="37" fillId="0" borderId="0" applyFill="0" applyBorder="0" applyProtection="0">
      <alignment horizontal="center"/>
      <protection locked="0"/>
    </xf>
    <xf numFmtId="0" fontId="38" fillId="0" borderId="0"/>
    <xf numFmtId="188" fontId="38" fillId="0" borderId="10"/>
    <xf numFmtId="182" fontId="36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Fill="0" applyBorder="0" applyAlignment="0" applyProtection="0">
      <protection locked="0"/>
    </xf>
    <xf numFmtId="189" fontId="36" fillId="0" borderId="0">
      <alignment horizontal="center"/>
    </xf>
    <xf numFmtId="190" fontId="41" fillId="0" borderId="0" applyFill="0" applyBorder="0" applyProtection="0"/>
    <xf numFmtId="191" fontId="42" fillId="0" borderId="0" applyFont="0" applyFill="0" applyBorder="0" applyAlignment="0" applyProtection="0"/>
    <xf numFmtId="192" fontId="43" fillId="0" borderId="14">
      <protection hidden="1"/>
    </xf>
    <xf numFmtId="183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39" fillId="0" borderId="0" applyNumberFormat="0" applyFill="0" applyBorder="0" applyAlignment="0" applyProtection="0"/>
    <xf numFmtId="1" fontId="31" fillId="0" borderId="0"/>
    <xf numFmtId="14" fontId="44" fillId="0" borderId="0">
      <alignment horizontal="center"/>
    </xf>
    <xf numFmtId="14" fontId="35" fillId="0" borderId="0" applyFill="0" applyBorder="0" applyAlignment="0"/>
    <xf numFmtId="15" fontId="45" fillId="37" borderId="0" applyNumberFormat="0" applyFont="0" applyFill="0" applyBorder="0" applyAlignment="0">
      <alignment horizontal="center" wrapText="1"/>
    </xf>
    <xf numFmtId="0" fontId="35" fillId="0" borderId="46" applyNumberFormat="0" applyFill="0" applyBorder="0" applyAlignment="0" applyProtection="0"/>
    <xf numFmtId="193" fontId="38" fillId="0" borderId="0" applyFont="0" applyFill="0" applyBorder="0" applyAlignment="0" applyProtection="0"/>
    <xf numFmtId="180" fontId="42" fillId="0" borderId="0" applyFont="0" applyFill="0" applyBorder="0" applyAlignment="0" applyProtection="0"/>
    <xf numFmtId="182" fontId="46" fillId="0" borderId="0" applyFill="0" applyBorder="0" applyAlignment="0"/>
    <xf numFmtId="183" fontId="36" fillId="0" borderId="0" applyFill="0" applyBorder="0" applyAlignment="0"/>
    <xf numFmtId="182" fontId="46" fillId="0" borderId="0" applyFill="0" applyBorder="0" applyAlignment="0"/>
    <xf numFmtId="187" fontId="36" fillId="0" borderId="0" applyFill="0" applyBorder="0" applyAlignment="0"/>
    <xf numFmtId="183" fontId="36" fillId="0" borderId="0" applyFill="0" applyBorder="0" applyAlignment="0"/>
    <xf numFmtId="192" fontId="43" fillId="0" borderId="14">
      <protection hidden="1"/>
    </xf>
    <xf numFmtId="194" fontId="36" fillId="0" borderId="0" applyFont="0" applyFill="0" applyBorder="0" applyAlignment="0" applyProtection="0"/>
    <xf numFmtId="38" fontId="47" fillId="37" borderId="0" applyNumberFormat="0" applyBorder="0" applyAlignment="0" applyProtection="0"/>
    <xf numFmtId="0" fontId="48" fillId="0" borderId="33" applyNumberFormat="0" applyAlignment="0" applyProtection="0">
      <alignment horizontal="left" vertical="center"/>
    </xf>
    <xf numFmtId="0" fontId="48" fillId="0" borderId="11">
      <alignment horizontal="left" vertical="center"/>
    </xf>
    <xf numFmtId="14" fontId="49" fillId="38" borderId="14">
      <alignment horizontal="center" vertical="center" wrapText="1"/>
    </xf>
    <xf numFmtId="0" fontId="50" fillId="0" borderId="2" applyNumberFormat="0" applyFill="0" applyAlignment="0" applyProtection="0"/>
    <xf numFmtId="0" fontId="37" fillId="0" borderId="0" applyFill="0" applyAlignment="0" applyProtection="0">
      <protection locked="0"/>
    </xf>
    <xf numFmtId="0" fontId="37" fillId="0" borderId="10" applyFill="0" applyAlignment="0" applyProtection="0">
      <protection locked="0"/>
    </xf>
    <xf numFmtId="10" fontId="47" fillId="39" borderId="46" applyNumberFormat="0" applyBorder="0" applyAlignment="0" applyProtection="0"/>
    <xf numFmtId="182" fontId="51" fillId="0" borderId="0" applyFill="0" applyBorder="0" applyAlignment="0"/>
    <xf numFmtId="183" fontId="36" fillId="0" borderId="0" applyFill="0" applyBorder="0" applyAlignment="0"/>
    <xf numFmtId="182" fontId="51" fillId="0" borderId="0" applyFill="0" applyBorder="0" applyAlignment="0"/>
    <xf numFmtId="187" fontId="36" fillId="0" borderId="0" applyFill="0" applyBorder="0" applyAlignment="0"/>
    <xf numFmtId="183" fontId="36" fillId="0" borderId="0" applyFill="0" applyBorder="0" applyAlignment="0"/>
    <xf numFmtId="176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95" fontId="31" fillId="0" borderId="10"/>
    <xf numFmtId="196" fontId="38" fillId="0" borderId="0"/>
    <xf numFmtId="197" fontId="36" fillId="0" borderId="0"/>
    <xf numFmtId="0" fontId="20" fillId="0" borderId="0"/>
    <xf numFmtId="0" fontId="20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0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5" fillId="0" borderId="0"/>
    <xf numFmtId="0" fontId="36" fillId="0" borderId="0"/>
    <xf numFmtId="0" fontId="20" fillId="0" borderId="0"/>
    <xf numFmtId="0" fontId="30" fillId="0" borderId="0"/>
    <xf numFmtId="0" fontId="20" fillId="0" borderId="0"/>
    <xf numFmtId="0" fontId="36" fillId="0" borderId="0">
      <alignment vertical="top"/>
    </xf>
    <xf numFmtId="0" fontId="20" fillId="0" borderId="0"/>
    <xf numFmtId="0" fontId="20" fillId="0" borderId="0"/>
    <xf numFmtId="198" fontId="35" fillId="40" borderId="0">
      <alignment horizontal="right"/>
    </xf>
    <xf numFmtId="0" fontId="53" fillId="40" borderId="27"/>
    <xf numFmtId="199" fontId="54" fillId="0" borderId="0"/>
    <xf numFmtId="200" fontId="43" fillId="0" borderId="0">
      <protection hidden="1"/>
    </xf>
    <xf numFmtId="186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0" fillId="0" borderId="0" applyFont="0" applyFill="0" applyBorder="0" applyAlignment="0" applyProtection="0"/>
    <xf numFmtId="195" fontId="31" fillId="0" borderId="0"/>
    <xf numFmtId="182" fontId="55" fillId="0" borderId="0" applyFill="0" applyBorder="0" applyAlignment="0"/>
    <xf numFmtId="183" fontId="36" fillId="0" borderId="0" applyFill="0" applyBorder="0" applyAlignment="0"/>
    <xf numFmtId="182" fontId="55" fillId="0" borderId="0" applyFill="0" applyBorder="0" applyAlignment="0"/>
    <xf numFmtId="187" fontId="36" fillId="0" borderId="0" applyFill="0" applyBorder="0" applyAlignment="0"/>
    <xf numFmtId="183" fontId="36" fillId="0" borderId="0" applyFill="0" applyBorder="0" applyAlignment="0"/>
    <xf numFmtId="37" fontId="52" fillId="0" borderId="91"/>
    <xf numFmtId="49" fontId="35" fillId="0" borderId="0" applyFill="0" applyBorder="0" applyAlignment="0"/>
    <xf numFmtId="201" fontId="36" fillId="0" borderId="0" applyFill="0" applyBorder="0" applyAlignment="0"/>
    <xf numFmtId="202" fontId="36" fillId="0" borderId="0" applyFill="0" applyBorder="0" applyAlignment="0"/>
    <xf numFmtId="0" fontId="56" fillId="0" borderId="0" applyFill="0" applyBorder="0" applyProtection="0">
      <alignment horizontal="left" vertical="top"/>
    </xf>
    <xf numFmtId="40" fontId="57" fillId="0" borderId="0"/>
    <xf numFmtId="37" fontId="52" fillId="0" borderId="10"/>
    <xf numFmtId="37" fontId="52" fillId="0" borderId="90"/>
    <xf numFmtId="178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0" fontId="36" fillId="0" borderId="0"/>
    <xf numFmtId="0" fontId="24" fillId="0" borderId="0"/>
    <xf numFmtId="171" fontId="24" fillId="0" borderId="0" applyBorder="0" applyProtection="0"/>
    <xf numFmtId="169" fontId="24" fillId="0" borderId="0" applyBorder="0" applyProtection="0"/>
    <xf numFmtId="9" fontId="24" fillId="0" borderId="0" applyBorder="0" applyProtection="0"/>
    <xf numFmtId="0" fontId="24" fillId="0" borderId="0"/>
    <xf numFmtId="171" fontId="24" fillId="0" borderId="0" applyBorder="0" applyProtection="0"/>
    <xf numFmtId="169" fontId="24" fillId="0" borderId="0" applyBorder="0" applyProtection="0"/>
    <xf numFmtId="9" fontId="24" fillId="0" borderId="0" applyBorder="0" applyProtection="0"/>
    <xf numFmtId="0" fontId="24" fillId="0" borderId="0"/>
    <xf numFmtId="171" fontId="24" fillId="0" borderId="0" applyBorder="0" applyProtection="0"/>
    <xf numFmtId="169" fontId="24" fillId="0" borderId="0" applyBorder="0" applyProtection="0"/>
    <xf numFmtId="9" fontId="24" fillId="0" borderId="0" applyBorder="0" applyProtection="0"/>
    <xf numFmtId="0" fontId="24" fillId="0" borderId="0"/>
    <xf numFmtId="171" fontId="24" fillId="0" borderId="0" applyBorder="0" applyProtection="0"/>
    <xf numFmtId="169" fontId="24" fillId="0" borderId="0" applyBorder="0" applyProtection="0"/>
    <xf numFmtId="9" fontId="24" fillId="0" borderId="0" applyBorder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92" fontId="43" fillId="0" borderId="70">
      <protection hidden="1"/>
    </xf>
    <xf numFmtId="0" fontId="35" fillId="0" borderId="65" applyNumberFormat="0" applyFill="0" applyBorder="0" applyAlignment="0" applyProtection="0"/>
    <xf numFmtId="192" fontId="43" fillId="0" borderId="70">
      <protection hidden="1"/>
    </xf>
    <xf numFmtId="0" fontId="48" fillId="0" borderId="85" applyNumberFormat="0" applyAlignment="0" applyProtection="0">
      <alignment horizontal="left" vertical="center"/>
    </xf>
    <xf numFmtId="14" fontId="49" fillId="38" borderId="70">
      <alignment horizontal="center" vertical="center" wrapText="1"/>
    </xf>
    <xf numFmtId="10" fontId="47" fillId="39" borderId="65" applyNumberFormat="0" applyBorder="0" applyAlignment="0" applyProtection="0"/>
    <xf numFmtId="0" fontId="53" fillId="40" borderId="8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5" fontId="34" fillId="0" borderId="92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93">
      <alignment horizontal="left" vertical="center"/>
    </xf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58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0" xfId="0" applyBorder="1"/>
    <xf numFmtId="0" fontId="0" fillId="0" borderId="0" xfId="0"/>
    <xf numFmtId="0" fontId="0" fillId="0" borderId="0" xfId="0" applyBorder="1" applyAlignment="1">
      <alignment horizontal="right"/>
    </xf>
    <xf numFmtId="164" fontId="0" fillId="0" borderId="0" xfId="0" applyNumberForma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3" fontId="0" fillId="0" borderId="0" xfId="0" applyNumberFormat="1"/>
    <xf numFmtId="164" fontId="0" fillId="0" borderId="10" xfId="0" applyNumberFormat="1" applyBorder="1"/>
    <xf numFmtId="0" fontId="0" fillId="0" borderId="21" xfId="0" applyBorder="1"/>
    <xf numFmtId="0" fontId="0" fillId="0" borderId="20" xfId="0" applyBorder="1"/>
    <xf numFmtId="0" fontId="0" fillId="0" borderId="16" xfId="0" applyBorder="1"/>
    <xf numFmtId="0" fontId="0" fillId="0" borderId="15" xfId="0" applyBorder="1"/>
    <xf numFmtId="0" fontId="0" fillId="0" borderId="28" xfId="0" applyBorder="1"/>
    <xf numFmtId="0" fontId="0" fillId="0" borderId="29" xfId="0" applyBorder="1"/>
    <xf numFmtId="9" fontId="0" fillId="0" borderId="0" xfId="44" applyFont="1" applyBorder="1"/>
    <xf numFmtId="9" fontId="0" fillId="0" borderId="12" xfId="44" applyFont="1" applyBorder="1"/>
    <xf numFmtId="0" fontId="0" fillId="0" borderId="14" xfId="0" applyBorder="1"/>
    <xf numFmtId="2" fontId="0" fillId="0" borderId="12" xfId="0" applyNumberFormat="1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166" fontId="0" fillId="0" borderId="0" xfId="42" applyNumberFormat="1" applyFont="1" applyBorder="1"/>
    <xf numFmtId="0" fontId="0" fillId="0" borderId="21" xfId="0" applyBorder="1" applyAlignment="1">
      <alignment horizontal="left" indent="1"/>
    </xf>
    <xf numFmtId="166" fontId="0" fillId="0" borderId="0" xfId="42" applyNumberFormat="1" applyFont="1" applyBorder="1" applyAlignment="1">
      <alignment horizontal="right"/>
    </xf>
    <xf numFmtId="166" fontId="0" fillId="0" borderId="12" xfId="42" applyNumberFormat="1" applyFont="1" applyBorder="1" applyAlignment="1">
      <alignment horizontal="right"/>
    </xf>
    <xf numFmtId="0" fontId="0" fillId="0" borderId="24" xfId="0" applyBorder="1"/>
    <xf numFmtId="0" fontId="0" fillId="0" borderId="27" xfId="0" applyBorder="1"/>
    <xf numFmtId="0" fontId="0" fillId="0" borderId="35" xfId="0" applyBorder="1"/>
    <xf numFmtId="0" fontId="0" fillId="0" borderId="34" xfId="0" applyBorder="1"/>
    <xf numFmtId="0" fontId="0" fillId="0" borderId="34" xfId="0" applyBorder="1" applyAlignment="1">
      <alignment horizontal="right"/>
    </xf>
    <xf numFmtId="0" fontId="0" fillId="0" borderId="36" xfId="0" applyBorder="1"/>
    <xf numFmtId="164" fontId="0" fillId="0" borderId="36" xfId="0" applyNumberFormat="1" applyBorder="1"/>
    <xf numFmtId="9" fontId="0" fillId="0" borderId="27" xfId="44" applyFont="1" applyBorder="1"/>
    <xf numFmtId="9" fontId="0" fillId="0" borderId="0" xfId="44" applyFont="1" applyFill="1" applyBorder="1"/>
    <xf numFmtId="0" fontId="0" fillId="0" borderId="37" xfId="0" applyBorder="1"/>
    <xf numFmtId="0" fontId="0" fillId="0" borderId="38" xfId="0" applyBorder="1" applyAlignment="1">
      <alignment horizontal="right"/>
    </xf>
    <xf numFmtId="9" fontId="0" fillId="0" borderId="0" xfId="0" applyNumberFormat="1" applyBorder="1"/>
    <xf numFmtId="9" fontId="0" fillId="0" borderId="12" xfId="0" applyNumberFormat="1" applyBorder="1"/>
    <xf numFmtId="0" fontId="0" fillId="0" borderId="20" xfId="0" applyBorder="1" applyAlignment="1">
      <alignment horizontal="left" indent="1"/>
    </xf>
    <xf numFmtId="0" fontId="0" fillId="0" borderId="21" xfId="0" applyBorder="1" applyAlignment="1">
      <alignment horizontal="left"/>
    </xf>
    <xf numFmtId="0" fontId="0" fillId="0" borderId="21" xfId="0" applyBorder="1" applyAlignment="1">
      <alignment wrapText="1"/>
    </xf>
    <xf numFmtId="0" fontId="0" fillId="0" borderId="37" xfId="0" applyBorder="1" applyAlignment="1">
      <alignment horizontal="left"/>
    </xf>
    <xf numFmtId="0" fontId="0" fillId="0" borderId="38" xfId="0" applyBorder="1"/>
    <xf numFmtId="0" fontId="0" fillId="0" borderId="22" xfId="0" applyBorder="1" applyAlignment="1">
      <alignment horizontal="left" indent="1"/>
    </xf>
    <xf numFmtId="9" fontId="0" fillId="0" borderId="14" xfId="44" applyFont="1" applyBorder="1"/>
    <xf numFmtId="8" fontId="0" fillId="0" borderId="0" xfId="0" applyNumberFormat="1" applyBorder="1"/>
    <xf numFmtId="0" fontId="0" fillId="0" borderId="39" xfId="0" applyBorder="1"/>
    <xf numFmtId="9" fontId="0" fillId="0" borderId="14" xfId="0" applyNumberFormat="1" applyBorder="1"/>
    <xf numFmtId="9" fontId="0" fillId="0" borderId="0" xfId="44" applyFont="1"/>
    <xf numFmtId="0" fontId="15" fillId="0" borderId="29" xfId="0" applyFont="1" applyBorder="1"/>
    <xf numFmtId="0" fontId="15" fillId="0" borderId="28" xfId="0" applyFont="1" applyBorder="1"/>
    <xf numFmtId="0" fontId="15" fillId="0" borderId="30" xfId="0" applyFont="1" applyBorder="1"/>
    <xf numFmtId="0" fontId="0" fillId="0" borderId="40" xfId="0" applyBorder="1"/>
    <xf numFmtId="0" fontId="0" fillId="0" borderId="41" xfId="0" applyBorder="1"/>
    <xf numFmtId="0" fontId="0" fillId="0" borderId="22" xfId="0" applyBorder="1"/>
    <xf numFmtId="0" fontId="0" fillId="0" borderId="11" xfId="0" applyBorder="1"/>
    <xf numFmtId="0" fontId="15" fillId="0" borderId="43" xfId="0" applyFont="1" applyBorder="1"/>
    <xf numFmtId="0" fontId="0" fillId="0" borderId="13" xfId="0" applyBorder="1"/>
    <xf numFmtId="0" fontId="15" fillId="0" borderId="42" xfId="0" applyFont="1" applyBorder="1"/>
    <xf numFmtId="1" fontId="0" fillId="0" borderId="13" xfId="0" applyNumberFormat="1" applyBorder="1"/>
    <xf numFmtId="0" fontId="0" fillId="0" borderId="23" xfId="0" applyBorder="1"/>
    <xf numFmtId="2" fontId="0" fillId="0" borderId="0" xfId="0" applyNumberFormat="1" applyBorder="1"/>
    <xf numFmtId="0" fontId="0" fillId="0" borderId="43" xfId="0" applyBorder="1"/>
    <xf numFmtId="2" fontId="0" fillId="0" borderId="34" xfId="0" applyNumberFormat="1" applyBorder="1"/>
    <xf numFmtId="2" fontId="0" fillId="0" borderId="2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3" xfId="0" applyNumberFormat="1" applyBorder="1"/>
    <xf numFmtId="2" fontId="0" fillId="0" borderId="43" xfId="0" applyNumberFormat="1" applyBorder="1"/>
    <xf numFmtId="0" fontId="0" fillId="0" borderId="45" xfId="0" applyBorder="1"/>
    <xf numFmtId="0" fontId="0" fillId="0" borderId="46" xfId="0" applyBorder="1"/>
    <xf numFmtId="44" fontId="0" fillId="0" borderId="40" xfId="0" applyNumberFormat="1" applyBorder="1"/>
    <xf numFmtId="44" fontId="0" fillId="0" borderId="40" xfId="43" applyFont="1" applyBorder="1"/>
    <xf numFmtId="44" fontId="0" fillId="0" borderId="46" xfId="43" applyFont="1" applyBorder="1"/>
    <xf numFmtId="0" fontId="0" fillId="0" borderId="13" xfId="0" applyBorder="1" applyAlignment="1">
      <alignment horizontal="center"/>
    </xf>
    <xf numFmtId="0" fontId="15" fillId="0" borderId="37" xfId="0" applyFont="1" applyBorder="1"/>
    <xf numFmtId="166" fontId="0" fillId="0" borderId="14" xfId="42" applyNumberFormat="1" applyFont="1" applyBorder="1"/>
    <xf numFmtId="166" fontId="0" fillId="0" borderId="11" xfId="42" applyNumberFormat="1" applyFont="1" applyBorder="1"/>
    <xf numFmtId="10" fontId="0" fillId="0" borderId="41" xfId="44" applyNumberFormat="1" applyFont="1" applyBorder="1"/>
    <xf numFmtId="9" fontId="0" fillId="0" borderId="34" xfId="0" applyNumberFormat="1" applyBorder="1"/>
    <xf numFmtId="9" fontId="0" fillId="0" borderId="38" xfId="0" applyNumberFormat="1" applyBorder="1"/>
    <xf numFmtId="0" fontId="0" fillId="0" borderId="12" xfId="0" applyFill="1" applyBorder="1"/>
    <xf numFmtId="6" fontId="0" fillId="0" borderId="0" xfId="0" applyNumberFormat="1"/>
    <xf numFmtId="0" fontId="24" fillId="0" borderId="0" xfId="54"/>
    <xf numFmtId="0" fontId="24" fillId="0" borderId="0" xfId="54"/>
    <xf numFmtId="168" fontId="24" fillId="0" borderId="0" xfId="54" applyNumberFormat="1"/>
    <xf numFmtId="3" fontId="24" fillId="0" borderId="0" xfId="54" applyNumberFormat="1"/>
    <xf numFmtId="6" fontId="24" fillId="0" borderId="0" xfId="54" applyNumberFormat="1"/>
    <xf numFmtId="6" fontId="24" fillId="0" borderId="0" xfId="54" applyNumberFormat="1"/>
    <xf numFmtId="0" fontId="24" fillId="0" borderId="0" xfId="54"/>
    <xf numFmtId="0" fontId="24" fillId="0" borderId="29" xfId="54" applyFont="1" applyBorder="1"/>
    <xf numFmtId="0" fontId="24" fillId="0" borderId="28" xfId="54" applyFont="1" applyBorder="1"/>
    <xf numFmtId="0" fontId="24" fillId="0" borderId="18" xfId="54" applyFont="1" applyBorder="1"/>
    <xf numFmtId="0" fontId="24" fillId="0" borderId="19" xfId="54" applyFont="1" applyBorder="1"/>
    <xf numFmtId="0" fontId="24" fillId="0" borderId="0" xfId="54" applyFont="1" applyBorder="1"/>
    <xf numFmtId="0" fontId="24" fillId="0" borderId="12" xfId="54" applyFont="1" applyBorder="1"/>
    <xf numFmtId="0" fontId="24" fillId="0" borderId="36" xfId="54" applyFont="1" applyBorder="1"/>
    <xf numFmtId="0" fontId="24" fillId="0" borderId="16" xfId="54" applyFont="1" applyBorder="1"/>
    <xf numFmtId="14" fontId="24" fillId="0" borderId="0" xfId="54" applyNumberFormat="1"/>
    <xf numFmtId="170" fontId="24" fillId="0" borderId="27" xfId="58" applyNumberFormat="1" applyFont="1" applyBorder="1" applyAlignment="1" applyProtection="1"/>
    <xf numFmtId="170" fontId="24" fillId="0" borderId="12" xfId="58" applyNumberFormat="1" applyFont="1" applyBorder="1" applyAlignment="1" applyProtection="1"/>
    <xf numFmtId="0" fontId="24" fillId="0" borderId="29" xfId="54" applyFont="1" applyBorder="1"/>
    <xf numFmtId="0" fontId="24" fillId="0" borderId="28" xfId="54" applyFont="1" applyBorder="1"/>
    <xf numFmtId="0" fontId="24" fillId="0" borderId="18" xfId="54" applyFont="1" applyBorder="1"/>
    <xf numFmtId="0" fontId="24" fillId="0" borderId="19" xfId="54" applyFont="1" applyBorder="1"/>
    <xf numFmtId="0" fontId="24" fillId="0" borderId="0" xfId="54" applyFont="1" applyBorder="1"/>
    <xf numFmtId="0" fontId="24" fillId="0" borderId="12" xfId="54" applyFont="1" applyBorder="1"/>
    <xf numFmtId="0" fontId="24" fillId="0" borderId="36" xfId="54" applyFont="1" applyBorder="1"/>
    <xf numFmtId="0" fontId="24" fillId="0" borderId="16" xfId="54" applyFont="1" applyBorder="1"/>
    <xf numFmtId="170" fontId="24" fillId="0" borderId="27" xfId="58" applyNumberFormat="1" applyFont="1" applyBorder="1" applyAlignment="1" applyProtection="1"/>
    <xf numFmtId="0" fontId="24" fillId="0" borderId="29" xfId="54" applyFont="1" applyBorder="1"/>
    <xf numFmtId="0" fontId="24" fillId="0" borderId="28" xfId="54" applyFont="1" applyBorder="1"/>
    <xf numFmtId="0" fontId="24" fillId="0" borderId="18" xfId="54" applyFont="1" applyBorder="1"/>
    <xf numFmtId="0" fontId="24" fillId="0" borderId="19" xfId="54" applyFont="1" applyBorder="1"/>
    <xf numFmtId="0" fontId="24" fillId="0" borderId="0" xfId="54" applyFont="1" applyBorder="1"/>
    <xf numFmtId="0" fontId="24" fillId="0" borderId="12" xfId="54" applyFont="1" applyBorder="1"/>
    <xf numFmtId="0" fontId="24" fillId="0" borderId="36" xfId="54" applyFont="1" applyBorder="1"/>
    <xf numFmtId="0" fontId="24" fillId="0" borderId="16" xfId="54" applyFont="1" applyBorder="1"/>
    <xf numFmtId="14" fontId="24" fillId="0" borderId="0" xfId="54" applyNumberFormat="1"/>
    <xf numFmtId="170" fontId="24" fillId="0" borderId="27" xfId="58" applyNumberFormat="1" applyFont="1" applyBorder="1" applyAlignment="1" applyProtection="1"/>
    <xf numFmtId="170" fontId="24" fillId="0" borderId="12" xfId="58" applyNumberFormat="1" applyFont="1" applyBorder="1" applyAlignment="1" applyProtection="1"/>
    <xf numFmtId="170" fontId="24" fillId="0" borderId="0" xfId="58" applyNumberFormat="1" applyFont="1" applyBorder="1" applyAlignment="1" applyProtection="1"/>
    <xf numFmtId="0" fontId="0" fillId="0" borderId="53" xfId="0" applyBorder="1"/>
    <xf numFmtId="0" fontId="0" fillId="0" borderId="52" xfId="0" applyBorder="1"/>
    <xf numFmtId="0" fontId="26" fillId="33" borderId="21" xfId="0" applyFont="1" applyFill="1" applyBorder="1"/>
    <xf numFmtId="0" fontId="26" fillId="33" borderId="0" xfId="0" applyFont="1" applyFill="1" applyBorder="1"/>
    <xf numFmtId="0" fontId="26" fillId="33" borderId="27" xfId="0" applyFont="1" applyFill="1" applyBorder="1"/>
    <xf numFmtId="0" fontId="0" fillId="33" borderId="29" xfId="0" applyFill="1" applyBorder="1"/>
    <xf numFmtId="0" fontId="0" fillId="33" borderId="0" xfId="0" applyFill="1" applyBorder="1"/>
    <xf numFmtId="0" fontId="0" fillId="33" borderId="12" xfId="0" applyFill="1" applyBorder="1"/>
    <xf numFmtId="0" fontId="24" fillId="0" borderId="0" xfId="54"/>
    <xf numFmtId="0" fontId="24" fillId="0" borderId="0" xfId="54" applyBorder="1"/>
    <xf numFmtId="168" fontId="24" fillId="0" borderId="0" xfId="54" applyNumberFormat="1"/>
    <xf numFmtId="3" fontId="24" fillId="0" borderId="0" xfId="54" applyNumberFormat="1"/>
    <xf numFmtId="3" fontId="24" fillId="0" borderId="0" xfId="54" applyNumberFormat="1" applyBorder="1"/>
    <xf numFmtId="6" fontId="24" fillId="0" borderId="0" xfId="54" applyNumberFormat="1"/>
    <xf numFmtId="0" fontId="0" fillId="34" borderId="0" xfId="0" applyFill="1" applyBorder="1"/>
    <xf numFmtId="0" fontId="0" fillId="0" borderId="0" xfId="0" applyFill="1"/>
    <xf numFmtId="0" fontId="0" fillId="34" borderId="0" xfId="0" applyFill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left" vertical="top" wrapText="1" indent="1"/>
    </xf>
    <xf numFmtId="0" fontId="24" fillId="0" borderId="0" xfId="58" applyNumberFormat="1" applyFont="1" applyBorder="1" applyAlignment="1" applyProtection="1"/>
    <xf numFmtId="0" fontId="25" fillId="0" borderId="0" xfId="54" applyFont="1" applyBorder="1" applyAlignment="1">
      <alignment horizontal="right" vertical="center" wrapText="1"/>
    </xf>
    <xf numFmtId="0" fontId="15" fillId="0" borderId="0" xfId="0" applyFont="1" applyFill="1" applyBorder="1" applyAlignment="1">
      <alignment vertical="top" wrapText="1"/>
    </xf>
    <xf numFmtId="0" fontId="0" fillId="35" borderId="0" xfId="0" applyFill="1"/>
    <xf numFmtId="14" fontId="24" fillId="0" borderId="0" xfId="54" applyNumberFormat="1" applyBorder="1"/>
    <xf numFmtId="0" fontId="24" fillId="0" borderId="0" xfId="54"/>
    <xf numFmtId="3" fontId="24" fillId="0" borderId="0" xfId="54" applyNumberFormat="1"/>
    <xf numFmtId="6" fontId="24" fillId="0" borderId="0" xfId="54" applyNumberFormat="1"/>
    <xf numFmtId="0" fontId="24" fillId="0" borderId="0" xfId="54" applyBorder="1"/>
    <xf numFmtId="0" fontId="0" fillId="0" borderId="0" xfId="0" applyFont="1" applyFill="1" applyBorder="1" applyAlignment="1">
      <alignment vertical="top" wrapText="1"/>
    </xf>
    <xf numFmtId="4" fontId="25" fillId="0" borderId="0" xfId="54" applyNumberFormat="1" applyFont="1" applyBorder="1" applyAlignment="1">
      <alignment horizontal="right" vertical="center" wrapText="1"/>
    </xf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24" fillId="0" borderId="0" xfId="54" applyFont="1"/>
    <xf numFmtId="0" fontId="24" fillId="0" borderId="0" xfId="54" applyFont="1" applyBorder="1"/>
    <xf numFmtId="170" fontId="24" fillId="0" borderId="0" xfId="58" applyNumberFormat="1" applyFont="1" applyBorder="1" applyAlignment="1" applyProtection="1"/>
    <xf numFmtId="170" fontId="24" fillId="0" borderId="31" xfId="58" applyNumberFormat="1" applyFont="1" applyBorder="1" applyAlignment="1" applyProtection="1"/>
    <xf numFmtId="170" fontId="24" fillId="0" borderId="33" xfId="58" applyNumberFormat="1" applyFont="1" applyBorder="1" applyAlignment="1" applyProtection="1"/>
    <xf numFmtId="0" fontId="24" fillId="0" borderId="32" xfId="54" applyFont="1" applyBorder="1"/>
    <xf numFmtId="170" fontId="24" fillId="0" borderId="47" xfId="58" applyNumberFormat="1" applyFont="1" applyBorder="1" applyAlignment="1" applyProtection="1"/>
    <xf numFmtId="2" fontId="24" fillId="0" borderId="36" xfId="58" applyNumberFormat="1" applyFont="1" applyBorder="1" applyAlignment="1" applyProtection="1"/>
    <xf numFmtId="170" fontId="24" fillId="0" borderId="48" xfId="58" applyNumberFormat="1" applyFont="1" applyBorder="1" applyAlignment="1" applyProtection="1"/>
    <xf numFmtId="2" fontId="24" fillId="0" borderId="45" xfId="58" applyNumberFormat="1" applyFont="1" applyBorder="1" applyAlignment="1" applyProtection="1"/>
    <xf numFmtId="0" fontId="24" fillId="0" borderId="27" xfId="58" applyNumberFormat="1" applyFont="1" applyBorder="1" applyAlignment="1" applyProtection="1"/>
    <xf numFmtId="0" fontId="24" fillId="0" borderId="10" xfId="54" applyBorder="1"/>
    <xf numFmtId="172" fontId="0" fillId="0" borderId="0" xfId="43" applyNumberFormat="1" applyFont="1" applyBorder="1"/>
    <xf numFmtId="172" fontId="0" fillId="0" borderId="0" xfId="43" applyNumberFormat="1" applyFont="1" applyBorder="1" applyAlignment="1">
      <alignment wrapText="1"/>
    </xf>
    <xf numFmtId="172" fontId="0" fillId="0" borderId="12" xfId="43" applyNumberFormat="1" applyFont="1" applyBorder="1"/>
    <xf numFmtId="172" fontId="0" fillId="0" borderId="0" xfId="43" applyNumberFormat="1" applyFont="1" applyBorder="1" applyAlignment="1">
      <alignment horizontal="right"/>
    </xf>
    <xf numFmtId="172" fontId="0" fillId="0" borderId="12" xfId="43" applyNumberFormat="1" applyFont="1" applyBorder="1" applyAlignment="1">
      <alignment horizontal="right"/>
    </xf>
    <xf numFmtId="172" fontId="0" fillId="0" borderId="26" xfId="43" applyNumberFormat="1" applyFont="1" applyBorder="1"/>
    <xf numFmtId="172" fontId="0" fillId="0" borderId="25" xfId="43" applyNumberFormat="1" applyFont="1" applyBorder="1"/>
    <xf numFmtId="0" fontId="13" fillId="34" borderId="29" xfId="0" applyFont="1" applyFill="1" applyBorder="1"/>
    <xf numFmtId="0" fontId="13" fillId="34" borderId="0" xfId="0" applyFont="1" applyFill="1" applyBorder="1"/>
    <xf numFmtId="0" fontId="13" fillId="34" borderId="12" xfId="0" applyFont="1" applyFill="1" applyBorder="1"/>
    <xf numFmtId="0" fontId="0" fillId="34" borderId="29" xfId="0" applyFill="1" applyBorder="1"/>
    <xf numFmtId="0" fontId="0" fillId="0" borderId="54" xfId="0" applyBorder="1"/>
    <xf numFmtId="0" fontId="0" fillId="34" borderId="53" xfId="0" applyFill="1" applyBorder="1"/>
    <xf numFmtId="0" fontId="0" fillId="34" borderId="27" xfId="0" applyFill="1" applyBorder="1"/>
    <xf numFmtId="0" fontId="0" fillId="0" borderId="50" xfId="0" applyBorder="1"/>
    <xf numFmtId="2" fontId="0" fillId="0" borderId="27" xfId="0" applyNumberFormat="1" applyBorder="1"/>
    <xf numFmtId="2" fontId="0" fillId="0" borderId="45" xfId="0" applyNumberFormat="1" applyBorder="1"/>
    <xf numFmtId="0" fontId="0" fillId="0" borderId="49" xfId="0" applyBorder="1"/>
    <xf numFmtId="0" fontId="15" fillId="0" borderId="55" xfId="0" applyFont="1" applyBorder="1"/>
    <xf numFmtId="0" fontId="15" fillId="0" borderId="40" xfId="0" applyFont="1" applyBorder="1"/>
    <xf numFmtId="0" fontId="15" fillId="0" borderId="51" xfId="0" applyFont="1" applyFill="1" applyBorder="1"/>
    <xf numFmtId="0" fontId="0" fillId="0" borderId="21" xfId="0" applyFill="1" applyBorder="1"/>
    <xf numFmtId="164" fontId="0" fillId="0" borderId="0" xfId="0" applyNumberFormat="1" applyFill="1" applyBorder="1"/>
    <xf numFmtId="0" fontId="0" fillId="0" borderId="21" xfId="0" applyFill="1" applyBorder="1" applyAlignment="1">
      <alignment horizontal="left" indent="1"/>
    </xf>
    <xf numFmtId="9" fontId="0" fillId="0" borderId="27" xfId="44" applyFont="1" applyFill="1" applyBorder="1"/>
    <xf numFmtId="9" fontId="0" fillId="0" borderId="0" xfId="0" applyNumberFormat="1" applyFill="1" applyBorder="1"/>
    <xf numFmtId="9" fontId="0" fillId="0" borderId="12" xfId="0" applyNumberFormat="1" applyFill="1" applyBorder="1"/>
    <xf numFmtId="0" fontId="0" fillId="0" borderId="20" xfId="0" applyFill="1" applyBorder="1"/>
    <xf numFmtId="164" fontId="0" fillId="0" borderId="10" xfId="0" applyNumberFormat="1" applyFill="1" applyBorder="1"/>
    <xf numFmtId="164" fontId="0" fillId="0" borderId="36" xfId="0" applyNumberFormat="1" applyFill="1" applyBorder="1"/>
    <xf numFmtId="0" fontId="0" fillId="0" borderId="10" xfId="0" applyFill="1" applyBorder="1"/>
    <xf numFmtId="0" fontId="0" fillId="0" borderId="16" xfId="0" applyFill="1" applyBorder="1"/>
    <xf numFmtId="0" fontId="0" fillId="0" borderId="0" xfId="0" applyNumberFormat="1" applyBorder="1"/>
    <xf numFmtId="0" fontId="0" fillId="0" borderId="0" xfId="43" applyNumberFormat="1" applyFont="1" applyBorder="1"/>
    <xf numFmtId="0" fontId="0" fillId="0" borderId="0" xfId="0" applyNumberFormat="1" applyFill="1" applyBorder="1"/>
    <xf numFmtId="3" fontId="24" fillId="0" borderId="10" xfId="54" applyNumberFormat="1" applyBorder="1"/>
    <xf numFmtId="3" fontId="0" fillId="0" borderId="0" xfId="43" applyNumberFormat="1" applyFont="1" applyBorder="1"/>
    <xf numFmtId="3" fontId="0" fillId="0" borderId="0" xfId="0" applyNumberFormat="1" applyBorder="1"/>
    <xf numFmtId="0" fontId="0" fillId="0" borderId="18" xfId="0" applyFill="1" applyBorder="1"/>
    <xf numFmtId="44" fontId="0" fillId="0" borderId="0" xfId="43" applyNumberFormat="1" applyFont="1" applyFill="1" applyBorder="1" applyAlignment="1">
      <alignment horizontal="right"/>
    </xf>
    <xf numFmtId="0" fontId="0" fillId="0" borderId="34" xfId="0" applyNumberFormat="1" applyBorder="1" applyAlignment="1">
      <alignment horizontal="right" indent="1"/>
    </xf>
    <xf numFmtId="0" fontId="27" fillId="0" borderId="0" xfId="0" applyNumberFormat="1" applyFont="1" applyFill="1" applyBorder="1" applyAlignment="1" applyProtection="1"/>
    <xf numFmtId="0" fontId="27" fillId="0" borderId="56" xfId="0" applyNumberFormat="1" applyFont="1" applyFill="1" applyBorder="1" applyAlignment="1" applyProtection="1"/>
    <xf numFmtId="0" fontId="27" fillId="0" borderId="57" xfId="0" applyNumberFormat="1" applyFont="1" applyFill="1" applyBorder="1" applyAlignment="1" applyProtection="1"/>
    <xf numFmtId="0" fontId="27" fillId="0" borderId="58" xfId="0" applyNumberFormat="1" applyFont="1" applyFill="1" applyBorder="1" applyAlignment="1" applyProtection="1"/>
    <xf numFmtId="0" fontId="27" fillId="0" borderId="59" xfId="0" applyNumberFormat="1" applyFont="1" applyFill="1" applyBorder="1" applyAlignment="1" applyProtection="1"/>
    <xf numFmtId="0" fontId="27" fillId="0" borderId="6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>
      <alignment horizontal="right"/>
    </xf>
    <xf numFmtId="0" fontId="27" fillId="0" borderId="60" xfId="0" applyNumberFormat="1" applyFont="1" applyFill="1" applyBorder="1" applyAlignment="1" applyProtection="1">
      <alignment horizontal="right"/>
    </xf>
    <xf numFmtId="0" fontId="28" fillId="0" borderId="59" xfId="0" applyNumberFormat="1" applyFont="1" applyFill="1" applyBorder="1" applyAlignment="1" applyProtection="1"/>
    <xf numFmtId="0" fontId="27" fillId="0" borderId="67" xfId="0" applyNumberFormat="1" applyFont="1" applyFill="1" applyBorder="1" applyAlignment="1" applyProtection="1"/>
    <xf numFmtId="9" fontId="27" fillId="0" borderId="0" xfId="0" applyNumberFormat="1" applyFont="1" applyFill="1" applyBorder="1" applyAlignment="1" applyProtection="1"/>
    <xf numFmtId="0" fontId="27" fillId="0" borderId="69" xfId="0" applyNumberFormat="1" applyFont="1" applyFill="1" applyBorder="1" applyAlignment="1" applyProtection="1"/>
    <xf numFmtId="0" fontId="27" fillId="0" borderId="70" xfId="0" applyNumberFormat="1" applyFont="1" applyFill="1" applyBorder="1" applyAlignment="1" applyProtection="1"/>
    <xf numFmtId="0" fontId="27" fillId="0" borderId="74" xfId="0" applyNumberFormat="1" applyFont="1" applyFill="1" applyBorder="1" applyAlignment="1" applyProtection="1"/>
    <xf numFmtId="0" fontId="27" fillId="0" borderId="77" xfId="0" applyNumberFormat="1" applyFont="1" applyFill="1" applyBorder="1" applyAlignment="1" applyProtection="1"/>
    <xf numFmtId="2" fontId="29" fillId="0" borderId="60" xfId="0" applyNumberFormat="1" applyFont="1" applyFill="1" applyBorder="1" applyAlignment="1" applyProtection="1"/>
    <xf numFmtId="0" fontId="27" fillId="0" borderId="59" xfId="0" applyNumberFormat="1" applyFont="1" applyFill="1" applyBorder="1" applyAlignment="1" applyProtection="1">
      <alignment horizontal="left"/>
    </xf>
    <xf numFmtId="10" fontId="27" fillId="36" borderId="60" xfId="0" applyNumberFormat="1" applyFont="1" applyFill="1" applyBorder="1" applyAlignment="1" applyProtection="1"/>
    <xf numFmtId="9" fontId="27" fillId="0" borderId="70" xfId="0" applyNumberFormat="1" applyFont="1" applyFill="1" applyBorder="1" applyAlignment="1" applyProtection="1"/>
    <xf numFmtId="10" fontId="27" fillId="0" borderId="60" xfId="0" applyNumberFormat="1" applyFont="1" applyFill="1" applyBorder="1" applyAlignment="1" applyProtection="1"/>
    <xf numFmtId="10" fontId="27" fillId="0" borderId="71" xfId="0" applyNumberFormat="1" applyFont="1" applyFill="1" applyBorder="1" applyAlignment="1" applyProtection="1"/>
    <xf numFmtId="9" fontId="27" fillId="0" borderId="71" xfId="0" applyNumberFormat="1" applyFont="1" applyFill="1" applyBorder="1" applyAlignment="1" applyProtection="1"/>
    <xf numFmtId="0" fontId="27" fillId="0" borderId="72" xfId="0" applyNumberFormat="1" applyFont="1" applyFill="1" applyBorder="1" applyAlignment="1" applyProtection="1"/>
    <xf numFmtId="0" fontId="28" fillId="0" borderId="82" xfId="0" applyNumberFormat="1" applyFont="1" applyFill="1" applyBorder="1" applyAlignment="1" applyProtection="1"/>
    <xf numFmtId="0" fontId="28" fillId="0" borderId="67" xfId="0" applyNumberFormat="1" applyFont="1" applyFill="1" applyBorder="1" applyAlignment="1" applyProtection="1"/>
    <xf numFmtId="173" fontId="27" fillId="0" borderId="60" xfId="0" applyNumberFormat="1" applyFont="1" applyFill="1" applyBorder="1" applyAlignment="1" applyProtection="1"/>
    <xf numFmtId="0" fontId="28" fillId="0" borderId="72" xfId="0" applyNumberFormat="1" applyFont="1" applyFill="1" applyBorder="1" applyAlignment="1" applyProtection="1"/>
    <xf numFmtId="169" fontId="27" fillId="0" borderId="86" xfId="0" applyNumberFormat="1" applyFont="1" applyFill="1" applyBorder="1" applyAlignment="1" applyProtection="1"/>
    <xf numFmtId="10" fontId="27" fillId="0" borderId="63" xfId="0" applyNumberFormat="1" applyFont="1" applyFill="1" applyBorder="1" applyAlignment="1" applyProtection="1"/>
    <xf numFmtId="0" fontId="28" fillId="0" borderId="87" xfId="0" applyNumberFormat="1" applyFont="1" applyFill="1" applyBorder="1" applyAlignment="1" applyProtection="1">
      <alignment wrapText="1"/>
    </xf>
    <xf numFmtId="10" fontId="27" fillId="0" borderId="67" xfId="0" applyNumberFormat="1" applyFont="1" applyFill="1" applyBorder="1" applyAlignment="1" applyProtection="1"/>
    <xf numFmtId="0" fontId="28" fillId="0" borderId="88" xfId="0" applyNumberFormat="1" applyFont="1" applyFill="1" applyBorder="1" applyAlignment="1" applyProtection="1">
      <alignment wrapText="1"/>
    </xf>
    <xf numFmtId="0" fontId="28" fillId="0" borderId="89" xfId="0" applyNumberFormat="1" applyFont="1" applyFill="1" applyBorder="1" applyAlignment="1" applyProtection="1">
      <alignment wrapText="1"/>
    </xf>
    <xf numFmtId="9" fontId="0" fillId="0" borderId="38" xfId="44" applyFont="1" applyBorder="1"/>
    <xf numFmtId="0" fontId="30" fillId="0" borderId="10" xfId="0" applyNumberFormat="1" applyFont="1" applyFill="1" applyBorder="1" applyAlignment="1" applyProtection="1"/>
    <xf numFmtId="8" fontId="30" fillId="0" borderId="0" xfId="0" applyNumberFormat="1" applyFont="1" applyFill="1" applyBorder="1" applyAlignment="1" applyProtection="1"/>
    <xf numFmtId="3" fontId="30" fillId="0" borderId="0" xfId="0" applyNumberFormat="1" applyFont="1" applyFill="1" applyBorder="1" applyAlignment="1" applyProtection="1"/>
    <xf numFmtId="9" fontId="0" fillId="0" borderId="15" xfId="44" applyFont="1" applyFill="1" applyBorder="1"/>
    <xf numFmtId="0" fontId="0" fillId="0" borderId="12" xfId="0" applyNumberFormat="1" applyBorder="1"/>
    <xf numFmtId="174" fontId="30" fillId="0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/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6" fontId="0" fillId="0" borderId="0" xfId="0" applyNumberFormat="1"/>
    <xf numFmtId="3" fontId="0" fillId="0" borderId="0" xfId="0" applyNumberFormat="1"/>
    <xf numFmtId="8" fontId="0" fillId="0" borderId="0" xfId="0" applyNumberFormat="1"/>
    <xf numFmtId="0" fontId="0" fillId="0" borderId="0" xfId="0"/>
    <xf numFmtId="44" fontId="30" fillId="0" borderId="0" xfId="43" applyFont="1" applyFill="1" applyBorder="1" applyAlignment="1" applyProtection="1"/>
    <xf numFmtId="8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  <xf numFmtId="3" fontId="0" fillId="0" borderId="0" xfId="0" applyNumberFormat="1"/>
    <xf numFmtId="8" fontId="0" fillId="0" borderId="0" xfId="0" applyNumberFormat="1"/>
    <xf numFmtId="0" fontId="0" fillId="0" borderId="0" xfId="0"/>
    <xf numFmtId="3" fontId="0" fillId="0" borderId="0" xfId="0" applyNumberFormat="1"/>
    <xf numFmtId="8" fontId="0" fillId="0" borderId="0" xfId="0" applyNumberFormat="1"/>
    <xf numFmtId="0" fontId="0" fillId="0" borderId="0" xfId="0"/>
    <xf numFmtId="0" fontId="0" fillId="0" borderId="0" xfId="0" applyFill="1" applyBorder="1"/>
    <xf numFmtId="3" fontId="0" fillId="0" borderId="0" xfId="0" applyNumberFormat="1"/>
    <xf numFmtId="8" fontId="0" fillId="0" borderId="0" xfId="0" applyNumberFormat="1"/>
    <xf numFmtId="44" fontId="0" fillId="0" borderId="34" xfId="43" applyFont="1" applyFill="1" applyBorder="1"/>
    <xf numFmtId="8" fontId="0" fillId="0" borderId="10" xfId="0" applyNumberFormat="1" applyBorder="1"/>
    <xf numFmtId="0" fontId="0" fillId="0" borderId="37" xfId="0" applyFill="1" applyBorder="1" applyAlignment="1">
      <alignment horizontal="left"/>
    </xf>
    <xf numFmtId="172" fontId="0" fillId="0" borderId="34" xfId="43" applyNumberFormat="1" applyFont="1" applyFill="1" applyBorder="1"/>
    <xf numFmtId="3" fontId="0" fillId="0" borderId="10" xfId="0" applyNumberFormat="1" applyBorder="1"/>
    <xf numFmtId="6" fontId="0" fillId="0" borderId="10" xfId="0" applyNumberFormat="1" applyBorder="1"/>
    <xf numFmtId="6" fontId="0" fillId="0" borderId="0" xfId="0" applyNumberFormat="1" applyBorder="1"/>
    <xf numFmtId="0" fontId="24" fillId="0" borderId="0" xfId="54" applyFill="1"/>
    <xf numFmtId="0" fontId="0" fillId="0" borderId="21" xfId="0" applyFill="1" applyBorder="1" applyAlignment="1">
      <alignment horizontal="left" vertical="top" wrapText="1"/>
    </xf>
    <xf numFmtId="6" fontId="30" fillId="0" borderId="90" xfId="0" applyNumberFormat="1" applyFont="1" applyFill="1" applyBorder="1" applyAlignment="1" applyProtection="1"/>
    <xf numFmtId="6" fontId="0" fillId="0" borderId="90" xfId="0" applyNumberFormat="1" applyBorder="1"/>
    <xf numFmtId="0" fontId="58" fillId="0" borderId="90" xfId="54" applyFont="1" applyBorder="1"/>
    <xf numFmtId="0" fontId="58" fillId="0" borderId="91" xfId="54" applyFont="1" applyBorder="1"/>
    <xf numFmtId="6" fontId="30" fillId="0" borderId="91" xfId="0" applyNumberFormat="1" applyFont="1" applyFill="1" applyBorder="1" applyAlignment="1" applyProtection="1"/>
    <xf numFmtId="6" fontId="0" fillId="0" borderId="91" xfId="0" applyNumberFormat="1" applyBorder="1"/>
    <xf numFmtId="0" fontId="58" fillId="0" borderId="0" xfId="54" applyFont="1" applyBorder="1"/>
    <xf numFmtId="167" fontId="27" fillId="0" borderId="0" xfId="0" applyNumberFormat="1" applyFont="1" applyFill="1" applyBorder="1" applyAlignment="1" applyProtection="1"/>
    <xf numFmtId="0" fontId="27" fillId="34" borderId="0" xfId="0" applyNumberFormat="1" applyFont="1" applyFill="1" applyBorder="1" applyAlignment="1" applyProtection="1"/>
    <xf numFmtId="0" fontId="27" fillId="34" borderId="60" xfId="0" applyNumberFormat="1" applyFont="1" applyFill="1" applyBorder="1" applyAlignment="1" applyProtection="1"/>
    <xf numFmtId="2" fontId="0" fillId="0" borderId="84" xfId="0" applyNumberFormat="1" applyFill="1" applyBorder="1" applyAlignment="1">
      <alignment vertical="top" wrapText="1"/>
    </xf>
    <xf numFmtId="0" fontId="0" fillId="0" borderId="83" xfId="0" applyFill="1" applyBorder="1" applyAlignment="1">
      <alignment vertical="top" wrapText="1"/>
    </xf>
    <xf numFmtId="10" fontId="0" fillId="0" borderId="11" xfId="44" applyNumberFormat="1" applyFont="1" applyFill="1" applyBorder="1"/>
    <xf numFmtId="10" fontId="27" fillId="41" borderId="0" xfId="0" applyNumberFormat="1" applyFont="1" applyFill="1" applyBorder="1" applyAlignment="1" applyProtection="1"/>
    <xf numFmtId="0" fontId="0" fillId="0" borderId="0" xfId="0"/>
    <xf numFmtId="0" fontId="27" fillId="41" borderId="59" xfId="0" applyNumberFormat="1" applyFont="1" applyFill="1" applyBorder="1" applyAlignment="1" applyProtection="1"/>
    <xf numFmtId="0" fontId="27" fillId="41" borderId="0" xfId="0" applyNumberFormat="1" applyFont="1" applyFill="1" applyBorder="1" applyAlignment="1" applyProtection="1"/>
    <xf numFmtId="0" fontId="27" fillId="43" borderId="60" xfId="0" applyNumberFormat="1" applyFont="1" applyFill="1" applyBorder="1" applyAlignment="1" applyProtection="1">
      <alignment horizontal="center"/>
    </xf>
    <xf numFmtId="2" fontId="0" fillId="0" borderId="26" xfId="0" applyNumberFormat="1" applyFill="1" applyBorder="1"/>
    <xf numFmtId="0" fontId="0" fillId="0" borderId="26" xfId="0" applyFill="1" applyBorder="1"/>
    <xf numFmtId="0" fontId="0" fillId="0" borderId="25" xfId="0" applyFill="1" applyBorder="1"/>
    <xf numFmtId="2" fontId="0" fillId="0" borderId="44" xfId="0" applyNumberFormat="1" applyFill="1" applyBorder="1"/>
    <xf numFmtId="44" fontId="1" fillId="0" borderId="19" xfId="43" applyFont="1" applyFill="1" applyBorder="1"/>
    <xf numFmtId="44" fontId="1" fillId="0" borderId="12" xfId="43" applyFont="1" applyFill="1" applyBorder="1"/>
    <xf numFmtId="10" fontId="1" fillId="0" borderId="16" xfId="44" applyNumberFormat="1" applyFont="1" applyFill="1" applyBorder="1"/>
    <xf numFmtId="2" fontId="0" fillId="0" borderId="35" xfId="0" applyNumberFormat="1" applyFill="1" applyBorder="1"/>
    <xf numFmtId="1" fontId="0" fillId="0" borderId="19" xfId="0" applyNumberFormat="1" applyFill="1" applyBorder="1"/>
    <xf numFmtId="1" fontId="0" fillId="0" borderId="12" xfId="0" applyNumberFormat="1" applyFill="1" applyBorder="1"/>
    <xf numFmtId="2" fontId="0" fillId="0" borderId="12" xfId="0" applyNumberFormat="1" applyFill="1" applyBorder="1"/>
    <xf numFmtId="10" fontId="0" fillId="0" borderId="12" xfId="0" applyNumberFormat="1" applyFill="1" applyBorder="1"/>
    <xf numFmtId="44" fontId="0" fillId="0" borderId="19" xfId="43" applyFont="1" applyFill="1" applyBorder="1"/>
    <xf numFmtId="10" fontId="0" fillId="0" borderId="15" xfId="44" applyNumberFormat="1" applyFont="1" applyFill="1" applyBorder="1"/>
    <xf numFmtId="0" fontId="0" fillId="45" borderId="27" xfId="0" applyFill="1" applyBorder="1"/>
    <xf numFmtId="0" fontId="0" fillId="45" borderId="40" xfId="0" applyFill="1" applyBorder="1"/>
    <xf numFmtId="0" fontId="0" fillId="45" borderId="0" xfId="0" applyFill="1" applyBorder="1"/>
    <xf numFmtId="0" fontId="0" fillId="45" borderId="55" xfId="0" applyFill="1" applyBorder="1"/>
    <xf numFmtId="0" fontId="0" fillId="45" borderId="53" xfId="0" applyFill="1" applyBorder="1"/>
    <xf numFmtId="0" fontId="0" fillId="45" borderId="0" xfId="0" applyFill="1" applyBorder="1" applyAlignment="1">
      <alignment horizontal="right"/>
    </xf>
    <xf numFmtId="0" fontId="0" fillId="45" borderId="1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27" xfId="0" applyFill="1" applyBorder="1" applyAlignment="1">
      <alignment horizontal="right"/>
    </xf>
    <xf numFmtId="10" fontId="27" fillId="45" borderId="94" xfId="0" applyNumberFormat="1" applyFont="1" applyFill="1" applyBorder="1" applyAlignment="1" applyProtection="1"/>
    <xf numFmtId="10" fontId="27" fillId="45" borderId="93" xfId="0" applyNumberFormat="1" applyFont="1" applyFill="1" applyBorder="1" applyAlignment="1" applyProtection="1"/>
    <xf numFmtId="10" fontId="27" fillId="45" borderId="92" xfId="0" applyNumberFormat="1" applyFont="1" applyFill="1" applyBorder="1" applyAlignment="1" applyProtection="1"/>
    <xf numFmtId="167" fontId="27" fillId="45" borderId="10" xfId="0" applyNumberFormat="1" applyFont="1" applyFill="1" applyBorder="1" applyAlignment="1" applyProtection="1"/>
    <xf numFmtId="0" fontId="28" fillId="45" borderId="69" xfId="0" applyNumberFormat="1" applyFont="1" applyFill="1" applyBorder="1" applyAlignment="1" applyProtection="1"/>
    <xf numFmtId="0" fontId="28" fillId="45" borderId="56" xfId="0" applyNumberFormat="1" applyFont="1" applyFill="1" applyBorder="1" applyAlignment="1" applyProtection="1"/>
    <xf numFmtId="0" fontId="27" fillId="45" borderId="59" xfId="0" applyNumberFormat="1" applyFont="1" applyFill="1" applyBorder="1" applyAlignment="1" applyProtection="1"/>
    <xf numFmtId="172" fontId="27" fillId="45" borderId="0" xfId="43" applyNumberFormat="1" applyFont="1" applyFill="1" applyBorder="1" applyAlignment="1" applyProtection="1"/>
    <xf numFmtId="172" fontId="27" fillId="45" borderId="56" xfId="43" applyNumberFormat="1" applyFont="1" applyFill="1" applyBorder="1" applyAlignment="1" applyProtection="1"/>
    <xf numFmtId="172" fontId="27" fillId="45" borderId="57" xfId="43" applyNumberFormat="1" applyFont="1" applyFill="1" applyBorder="1" applyAlignment="1" applyProtection="1"/>
    <xf numFmtId="172" fontId="27" fillId="45" borderId="58" xfId="43" applyNumberFormat="1" applyFont="1" applyFill="1" applyBorder="1" applyAlignment="1" applyProtection="1"/>
    <xf numFmtId="0" fontId="0" fillId="46" borderId="0" xfId="0" applyFill="1"/>
    <xf numFmtId="1" fontId="0" fillId="46" borderId="0" xfId="0" applyNumberFormat="1" applyFill="1"/>
    <xf numFmtId="0" fontId="0" fillId="43" borderId="0" xfId="0" applyFill="1"/>
    <xf numFmtId="0" fontId="0" fillId="45" borderId="0" xfId="0" applyFill="1"/>
    <xf numFmtId="14" fontId="24" fillId="45" borderId="0" xfId="54" applyNumberFormat="1" applyFill="1"/>
    <xf numFmtId="0" fontId="24" fillId="45" borderId="0" xfId="54" applyFill="1"/>
    <xf numFmtId="170" fontId="24" fillId="45" borderId="0" xfId="58" applyNumberFormat="1" applyFont="1" applyFill="1" applyBorder="1" applyAlignment="1" applyProtection="1"/>
    <xf numFmtId="0" fontId="24" fillId="45" borderId="0" xfId="54" applyFill="1" applyBorder="1"/>
    <xf numFmtId="14" fontId="24" fillId="45" borderId="0" xfId="54" applyNumberFormat="1" applyFill="1" applyBorder="1"/>
    <xf numFmtId="0" fontId="0" fillId="34" borderId="0" xfId="0" applyFill="1" applyBorder="1" applyAlignment="1">
      <alignment vertical="top" wrapText="1"/>
    </xf>
    <xf numFmtId="0" fontId="15" fillId="34" borderId="0" xfId="0" applyFont="1" applyFill="1" applyBorder="1" applyAlignment="1">
      <alignment vertical="top" wrapText="1"/>
    </xf>
    <xf numFmtId="0" fontId="0" fillId="34" borderId="0" xfId="0" applyFont="1" applyFill="1" applyBorder="1" applyAlignment="1">
      <alignment vertical="top" wrapText="1"/>
    </xf>
    <xf numFmtId="0" fontId="0" fillId="34" borderId="0" xfId="0" applyFill="1" applyBorder="1" applyAlignment="1">
      <alignment horizontal="left" vertical="top" wrapText="1" indent="1"/>
    </xf>
    <xf numFmtId="0" fontId="24" fillId="47" borderId="29" xfId="54" applyFont="1" applyFill="1" applyBorder="1"/>
    <xf numFmtId="0" fontId="24" fillId="47" borderId="0" xfId="54" applyFont="1" applyFill="1" applyBorder="1"/>
    <xf numFmtId="0" fontId="24" fillId="47" borderId="12" xfId="54" applyFont="1" applyFill="1" applyBorder="1"/>
    <xf numFmtId="3" fontId="0" fillId="46" borderId="0" xfId="0" applyNumberFormat="1" applyFill="1"/>
    <xf numFmtId="0" fontId="0" fillId="46" borderId="0" xfId="0" applyFill="1" applyBorder="1"/>
    <xf numFmtId="0" fontId="30" fillId="45" borderId="0" xfId="0" applyNumberFormat="1" applyFont="1" applyFill="1" applyBorder="1" applyAlignment="1" applyProtection="1"/>
    <xf numFmtId="165" fontId="0" fillId="34" borderId="0" xfId="0" applyNumberFormat="1" applyFill="1" applyBorder="1" applyAlignment="1">
      <alignment wrapText="1"/>
    </xf>
    <xf numFmtId="165" fontId="0" fillId="34" borderId="0" xfId="42" applyNumberFormat="1" applyFont="1" applyFill="1" applyBorder="1"/>
    <xf numFmtId="6" fontId="0" fillId="46" borderId="0" xfId="0" applyNumberFormat="1" applyFill="1"/>
    <xf numFmtId="8" fontId="0" fillId="46" borderId="0" xfId="0" applyNumberFormat="1" applyFill="1"/>
    <xf numFmtId="165" fontId="0" fillId="34" borderId="0" xfId="0" applyNumberFormat="1" applyFill="1" applyBorder="1"/>
    <xf numFmtId="164" fontId="60" fillId="0" borderId="0" xfId="0" applyNumberFormat="1" applyFont="1" applyFill="1" applyBorder="1" applyAlignment="1" applyProtection="1"/>
    <xf numFmtId="0" fontId="60" fillId="0" borderId="0" xfId="0" applyNumberFormat="1" applyFont="1" applyFill="1" applyBorder="1" applyAlignment="1" applyProtection="1"/>
    <xf numFmtId="0" fontId="27" fillId="0" borderId="59" xfId="0" applyNumberFormat="1" applyFont="1" applyFill="1" applyBorder="1" applyAlignment="1" applyProtection="1">
      <alignment horizontal="left" indent="1"/>
    </xf>
    <xf numFmtId="172" fontId="27" fillId="0" borderId="0" xfId="0" applyNumberFormat="1" applyFont="1" applyFill="1" applyBorder="1" applyAlignment="1" applyProtection="1"/>
    <xf numFmtId="166" fontId="27" fillId="0" borderId="0" xfId="42" applyNumberFormat="1" applyFont="1" applyFill="1" applyBorder="1" applyAlignment="1" applyProtection="1"/>
    <xf numFmtId="166" fontId="59" fillId="0" borderId="59" xfId="42" applyNumberFormat="1" applyFont="1" applyFill="1" applyBorder="1" applyAlignment="1" applyProtection="1"/>
    <xf numFmtId="166" fontId="59" fillId="0" borderId="0" xfId="42" applyNumberFormat="1" applyFont="1" applyFill="1" applyBorder="1" applyAlignment="1" applyProtection="1"/>
    <xf numFmtId="166" fontId="59" fillId="0" borderId="60" xfId="42" applyNumberFormat="1" applyFont="1" applyFill="1" applyBorder="1" applyAlignment="1" applyProtection="1"/>
    <xf numFmtId="166" fontId="28" fillId="0" borderId="0" xfId="42" applyNumberFormat="1" applyFont="1" applyFill="1" applyBorder="1" applyAlignment="1" applyProtection="1"/>
    <xf numFmtId="166" fontId="28" fillId="0" borderId="59" xfId="42" applyNumberFormat="1" applyFont="1" applyFill="1" applyBorder="1" applyAlignment="1" applyProtection="1"/>
    <xf numFmtId="166" fontId="28" fillId="0" borderId="60" xfId="42" applyNumberFormat="1" applyFont="1" applyFill="1" applyBorder="1" applyAlignment="1" applyProtection="1"/>
    <xf numFmtId="166" fontId="27" fillId="0" borderId="59" xfId="42" applyNumberFormat="1" applyFont="1" applyFill="1" applyBorder="1" applyAlignment="1" applyProtection="1"/>
    <xf numFmtId="166" fontId="27" fillId="0" borderId="60" xfId="42" applyNumberFormat="1" applyFont="1" applyFill="1" applyBorder="1" applyAlignment="1" applyProtection="1"/>
    <xf numFmtId="166" fontId="27" fillId="0" borderId="70" xfId="42" applyNumberFormat="1" applyFont="1" applyFill="1" applyBorder="1" applyAlignment="1" applyProtection="1"/>
    <xf numFmtId="166" fontId="27" fillId="0" borderId="69" xfId="42" applyNumberFormat="1" applyFont="1" applyFill="1" applyBorder="1" applyAlignment="1" applyProtection="1"/>
    <xf numFmtId="166" fontId="27" fillId="0" borderId="71" xfId="42" applyNumberFormat="1" applyFont="1" applyFill="1" applyBorder="1" applyAlignment="1" applyProtection="1"/>
    <xf numFmtId="166" fontId="28" fillId="45" borderId="57" xfId="42" applyNumberFormat="1" applyFont="1" applyFill="1" applyBorder="1" applyAlignment="1" applyProtection="1"/>
    <xf numFmtId="166" fontId="28" fillId="45" borderId="56" xfId="42" applyNumberFormat="1" applyFont="1" applyFill="1" applyBorder="1" applyAlignment="1" applyProtection="1"/>
    <xf numFmtId="166" fontId="28" fillId="45" borderId="58" xfId="42" applyNumberFormat="1" applyFont="1" applyFill="1" applyBorder="1" applyAlignment="1" applyProtection="1"/>
    <xf numFmtId="166" fontId="28" fillId="45" borderId="70" xfId="42" applyNumberFormat="1" applyFont="1" applyFill="1" applyBorder="1" applyAlignment="1" applyProtection="1"/>
    <xf numFmtId="166" fontId="28" fillId="45" borderId="69" xfId="42" applyNumberFormat="1" applyFont="1" applyFill="1" applyBorder="1" applyAlignment="1" applyProtection="1"/>
    <xf numFmtId="166" fontId="28" fillId="45" borderId="71" xfId="42" applyNumberFormat="1" applyFont="1" applyFill="1" applyBorder="1" applyAlignment="1" applyProtection="1"/>
    <xf numFmtId="166" fontId="27" fillId="0" borderId="57" xfId="42" applyNumberFormat="1" applyFont="1" applyFill="1" applyBorder="1" applyAlignment="1" applyProtection="1"/>
    <xf numFmtId="166" fontId="27" fillId="0" borderId="56" xfId="42" applyNumberFormat="1" applyFont="1" applyFill="1" applyBorder="1" applyAlignment="1" applyProtection="1"/>
    <xf numFmtId="166" fontId="27" fillId="0" borderId="58" xfId="42" applyNumberFormat="1" applyFont="1" applyFill="1" applyBorder="1" applyAlignment="1" applyProtection="1"/>
    <xf numFmtId="166" fontId="27" fillId="0" borderId="75" xfId="42" applyNumberFormat="1" applyFont="1" applyFill="1" applyBorder="1" applyAlignment="1" applyProtection="1"/>
    <xf numFmtId="166" fontId="27" fillId="0" borderId="74" xfId="42" applyNumberFormat="1" applyFont="1" applyFill="1" applyBorder="1" applyAlignment="1" applyProtection="1"/>
    <xf numFmtId="166" fontId="27" fillId="0" borderId="76" xfId="42" applyNumberFormat="1" applyFont="1" applyFill="1" applyBorder="1" applyAlignment="1" applyProtection="1"/>
    <xf numFmtId="0" fontId="28" fillId="0" borderId="95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>
      <alignment horizontal="left"/>
    </xf>
    <xf numFmtId="10" fontId="27" fillId="0" borderId="71" xfId="44" applyNumberFormat="1" applyFont="1" applyFill="1" applyBorder="1" applyAlignment="1" applyProtection="1"/>
    <xf numFmtId="0" fontId="27" fillId="0" borderId="59" xfId="0" applyNumberFormat="1" applyFont="1" applyFill="1" applyBorder="1" applyAlignment="1" applyProtection="1">
      <alignment horizontal="right"/>
    </xf>
    <xf numFmtId="44" fontId="27" fillId="0" borderId="0" xfId="43" applyFont="1" applyFill="1" applyBorder="1" applyAlignment="1" applyProtection="1"/>
    <xf numFmtId="10" fontId="27" fillId="41" borderId="71" xfId="0" applyNumberFormat="1" applyFont="1" applyFill="1" applyBorder="1" applyAlignment="1" applyProtection="1"/>
    <xf numFmtId="166" fontId="27" fillId="41" borderId="58" xfId="0" applyNumberFormat="1" applyFont="1" applyFill="1" applyBorder="1" applyAlignment="1" applyProtection="1"/>
    <xf numFmtId="0" fontId="0" fillId="0" borderId="0" xfId="0" applyAlignment="1">
      <alignment horizontal="right"/>
    </xf>
    <xf numFmtId="10" fontId="27" fillId="0" borderId="0" xfId="44" applyNumberFormat="1" applyFont="1" applyFill="1" applyBorder="1" applyAlignment="1" applyProtection="1"/>
    <xf numFmtId="0" fontId="24" fillId="0" borderId="90" xfId="54" applyBorder="1"/>
    <xf numFmtId="2" fontId="0" fillId="45" borderId="94" xfId="0" applyNumberFormat="1" applyFill="1" applyBorder="1"/>
    <xf numFmtId="10" fontId="0" fillId="0" borderId="68" xfId="44" applyNumberFormat="1" applyFont="1" applyBorder="1" applyAlignment="1">
      <alignment horizontal="center"/>
    </xf>
    <xf numFmtId="0" fontId="24" fillId="0" borderId="0" xfId="54" applyAlignment="1">
      <alignment horizontal="right"/>
    </xf>
    <xf numFmtId="0" fontId="0" fillId="34" borderId="60" xfId="0" applyFill="1" applyBorder="1"/>
    <xf numFmtId="166" fontId="59" fillId="0" borderId="71" xfId="42" applyNumberFormat="1" applyFont="1" applyFill="1" applyBorder="1" applyAlignment="1" applyProtection="1"/>
    <xf numFmtId="0" fontId="15" fillId="34" borderId="0" xfId="0" applyFont="1" applyFill="1" applyBorder="1"/>
    <xf numFmtId="0" fontId="62" fillId="0" borderId="65" xfId="0" applyFont="1" applyBorder="1"/>
    <xf numFmtId="0" fontId="0" fillId="0" borderId="65" xfId="0" applyFill="1" applyBorder="1"/>
    <xf numFmtId="0" fontId="0" fillId="0" borderId="0" xfId="0"/>
    <xf numFmtId="0" fontId="0" fillId="0" borderId="10" xfId="0" applyBorder="1"/>
    <xf numFmtId="0" fontId="0" fillId="0" borderId="0" xfId="0" applyBorder="1"/>
    <xf numFmtId="3" fontId="0" fillId="0" borderId="0" xfId="0" applyNumberFormat="1"/>
    <xf numFmtId="6" fontId="0" fillId="0" borderId="0" xfId="0" applyNumberFormat="1"/>
    <xf numFmtId="0" fontId="24" fillId="0" borderId="0" xfId="54"/>
    <xf numFmtId="0" fontId="0" fillId="34" borderId="0" xfId="0" applyFill="1"/>
    <xf numFmtId="0" fontId="0" fillId="0" borderId="0" xfId="0" applyFill="1" applyBorder="1"/>
    <xf numFmtId="0" fontId="30" fillId="0" borderId="0" xfId="0" applyNumberFormat="1" applyFont="1" applyFill="1" applyBorder="1" applyAlignment="1" applyProtection="1"/>
    <xf numFmtId="0" fontId="0" fillId="45" borderId="0" xfId="0" applyFill="1"/>
    <xf numFmtId="0" fontId="30" fillId="45" borderId="0" xfId="0" applyNumberFormat="1" applyFont="1" applyFill="1" applyBorder="1" applyAlignment="1" applyProtection="1"/>
    <xf numFmtId="3" fontId="0" fillId="0" borderId="0" xfId="0" applyNumberFormat="1" applyFill="1" applyBorder="1"/>
    <xf numFmtId="0" fontId="0" fillId="0" borderId="0" xfId="0"/>
    <xf numFmtId="3" fontId="0" fillId="0" borderId="0" xfId="0" applyNumberFormat="1"/>
    <xf numFmtId="6" fontId="0" fillId="0" borderId="0" xfId="0" applyNumberFormat="1"/>
    <xf numFmtId="8" fontId="0" fillId="0" borderId="0" xfId="0" applyNumberFormat="1"/>
    <xf numFmtId="0" fontId="0" fillId="0" borderId="0" xfId="0"/>
    <xf numFmtId="0" fontId="0" fillId="0" borderId="10" xfId="0" applyBorder="1"/>
    <xf numFmtId="0" fontId="0" fillId="0" borderId="60" xfId="0" applyBorder="1"/>
    <xf numFmtId="0" fontId="0" fillId="0" borderId="0" xfId="0" applyBorder="1"/>
    <xf numFmtId="0" fontId="0" fillId="0" borderId="57" xfId="0" applyBorder="1"/>
    <xf numFmtId="0" fontId="0" fillId="0" borderId="58" xfId="0" applyBorder="1"/>
    <xf numFmtId="3" fontId="0" fillId="0" borderId="0" xfId="0" applyNumberFormat="1"/>
    <xf numFmtId="0" fontId="0" fillId="0" borderId="71" xfId="0" applyBorder="1"/>
    <xf numFmtId="0" fontId="0" fillId="0" borderId="56" xfId="0" applyBorder="1"/>
    <xf numFmtId="0" fontId="0" fillId="0" borderId="59" xfId="0" applyBorder="1"/>
    <xf numFmtId="9" fontId="0" fillId="0" borderId="0" xfId="44" applyFont="1" applyBorder="1"/>
    <xf numFmtId="9" fontId="0" fillId="0" borderId="60" xfId="44" applyFont="1" applyBorder="1"/>
    <xf numFmtId="0" fontId="0" fillId="0" borderId="80" xfId="0" applyBorder="1"/>
    <xf numFmtId="0" fontId="0" fillId="0" borderId="0" xfId="0" applyBorder="1" applyAlignment="1">
      <alignment horizontal="center"/>
    </xf>
    <xf numFmtId="9" fontId="0" fillId="0" borderId="0" xfId="44" applyFont="1"/>
    <xf numFmtId="0" fontId="0" fillId="0" borderId="68" xfId="0" applyBorder="1"/>
    <xf numFmtId="0" fontId="0" fillId="0" borderId="93" xfId="0" applyBorder="1"/>
    <xf numFmtId="0" fontId="15" fillId="0" borderId="43" xfId="0" applyFont="1" applyBorder="1"/>
    <xf numFmtId="0" fontId="0" fillId="0" borderId="66" xfId="0" applyBorder="1"/>
    <xf numFmtId="2" fontId="0" fillId="0" borderId="0" xfId="0" applyNumberFormat="1" applyBorder="1"/>
    <xf numFmtId="0" fontId="23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5" fillId="0" borderId="0" xfId="0" applyFont="1" applyBorder="1" applyAlignment="1">
      <alignment horizontal="center"/>
    </xf>
    <xf numFmtId="0" fontId="15" fillId="0" borderId="0" xfId="0" applyFont="1" applyBorder="1" applyAlignment="1"/>
    <xf numFmtId="0" fontId="15" fillId="0" borderId="60" xfId="0" applyFont="1" applyBorder="1" applyAlignment="1">
      <alignment horizontal="center"/>
    </xf>
    <xf numFmtId="0" fontId="15" fillId="0" borderId="45" xfId="0" applyFont="1" applyBorder="1" applyAlignment="1">
      <alignment horizontal="right"/>
    </xf>
    <xf numFmtId="0" fontId="15" fillId="0" borderId="65" xfId="0" applyFont="1" applyBorder="1" applyAlignment="1">
      <alignment horizontal="right"/>
    </xf>
    <xf numFmtId="0" fontId="0" fillId="0" borderId="45" xfId="0" applyBorder="1"/>
    <xf numFmtId="0" fontId="0" fillId="0" borderId="65" xfId="0" applyBorder="1"/>
    <xf numFmtId="9" fontId="0" fillId="0" borderId="66" xfId="44" applyFont="1" applyBorder="1"/>
    <xf numFmtId="44" fontId="0" fillId="0" borderId="68" xfId="43" applyFont="1" applyBorder="1"/>
    <xf numFmtId="44" fontId="0" fillId="0" borderId="65" xfId="43" applyFont="1" applyBorder="1"/>
    <xf numFmtId="10" fontId="0" fillId="0" borderId="73" xfId="44" applyNumberFormat="1" applyFont="1" applyBorder="1"/>
    <xf numFmtId="6" fontId="0" fillId="0" borderId="0" xfId="0" applyNumberFormat="1"/>
    <xf numFmtId="0" fontId="0" fillId="33" borderId="0" xfId="0" applyFill="1" applyBorder="1"/>
    <xf numFmtId="0" fontId="0" fillId="34" borderId="0" xfId="0" applyFill="1" applyBorder="1"/>
    <xf numFmtId="0" fontId="0" fillId="0" borderId="0" xfId="0" applyFill="1" applyBorder="1"/>
    <xf numFmtId="0" fontId="0" fillId="34" borderId="59" xfId="0" applyFill="1" applyBorder="1"/>
    <xf numFmtId="0" fontId="27" fillId="0" borderId="0" xfId="0" applyNumberFormat="1" applyFont="1" applyFill="1" applyBorder="1" applyAlignment="1" applyProtection="1"/>
    <xf numFmtId="0" fontId="27" fillId="0" borderId="60" xfId="0" applyNumberFormat="1" applyFont="1" applyFill="1" applyBorder="1" applyAlignment="1" applyProtection="1"/>
    <xf numFmtId="0" fontId="27" fillId="0" borderId="64" xfId="0" applyNumberFormat="1" applyFont="1" applyFill="1" applyBorder="1" applyAlignment="1" applyProtection="1"/>
    <xf numFmtId="0" fontId="27" fillId="0" borderId="65" xfId="0" applyNumberFormat="1" applyFont="1" applyFill="1" applyBorder="1" applyAlignment="1" applyProtection="1"/>
    <xf numFmtId="0" fontId="27" fillId="0" borderId="66" xfId="0" applyNumberFormat="1" applyFont="1" applyFill="1" applyBorder="1" applyAlignment="1" applyProtection="1"/>
    <xf numFmtId="9" fontId="27" fillId="0" borderId="60" xfId="0" applyNumberFormat="1" applyFont="1" applyFill="1" applyBorder="1" applyAlignment="1" applyProtection="1"/>
    <xf numFmtId="0" fontId="27" fillId="0" borderId="95" xfId="0" applyNumberFormat="1" applyFont="1" applyFill="1" applyBorder="1" applyAlignment="1" applyProtection="1"/>
    <xf numFmtId="0" fontId="27" fillId="0" borderId="68" xfId="0" applyNumberFormat="1" applyFont="1" applyFill="1" applyBorder="1" applyAlignment="1" applyProtection="1"/>
    <xf numFmtId="0" fontId="27" fillId="0" borderId="73" xfId="0" applyNumberFormat="1" applyFont="1" applyFill="1" applyBorder="1" applyAlignment="1" applyProtection="1"/>
    <xf numFmtId="0" fontId="27" fillId="0" borderId="71" xfId="0" applyNumberFormat="1" applyFont="1" applyFill="1" applyBorder="1" applyAlignment="1" applyProtection="1"/>
    <xf numFmtId="0" fontId="24" fillId="0" borderId="0" xfId="54" applyFill="1"/>
    <xf numFmtId="2" fontId="0" fillId="0" borderId="93" xfId="0" applyNumberFormat="1" applyFill="1" applyBorder="1"/>
    <xf numFmtId="9" fontId="27" fillId="41" borderId="95" xfId="0" applyNumberFormat="1" applyFont="1" applyFill="1" applyBorder="1" applyAlignment="1" applyProtection="1"/>
    <xf numFmtId="0" fontId="27" fillId="41" borderId="95" xfId="0" applyNumberFormat="1" applyFont="1" applyFill="1" applyBorder="1" applyAlignment="1" applyProtection="1"/>
    <xf numFmtId="9" fontId="27" fillId="41" borderId="95" xfId="0" applyNumberFormat="1" applyFont="1" applyFill="1" applyBorder="1" applyAlignment="1" applyProtection="1">
      <alignment horizontal="right"/>
    </xf>
    <xf numFmtId="9" fontId="59" fillId="41" borderId="72" xfId="0" applyNumberFormat="1" applyFont="1" applyFill="1" applyBorder="1" applyAlignment="1" applyProtection="1"/>
    <xf numFmtId="9" fontId="27" fillId="0" borderId="68" xfId="0" applyNumberFormat="1" applyFont="1" applyFill="1" applyBorder="1" applyAlignment="1" applyProtection="1"/>
    <xf numFmtId="9" fontId="27" fillId="0" borderId="60" xfId="44" applyFont="1" applyFill="1" applyBorder="1" applyAlignment="1" applyProtection="1"/>
    <xf numFmtId="0" fontId="0" fillId="0" borderId="93" xfId="0" applyFill="1" applyBorder="1"/>
    <xf numFmtId="0" fontId="0" fillId="0" borderId="0" xfId="0" applyFill="1" applyBorder="1" applyAlignment="1">
      <alignment horizontal="center"/>
    </xf>
    <xf numFmtId="9" fontId="0" fillId="0" borderId="93" xfId="0" applyNumberFormat="1" applyFill="1" applyBorder="1"/>
    <xf numFmtId="2" fontId="0" fillId="0" borderId="0" xfId="0" applyNumberFormat="1" applyFill="1" applyBorder="1"/>
    <xf numFmtId="0" fontId="0" fillId="45" borderId="43" xfId="0" applyFill="1" applyBorder="1"/>
    <xf numFmtId="0" fontId="0" fillId="45" borderId="45" xfId="0" applyFill="1" applyBorder="1"/>
    <xf numFmtId="9" fontId="0" fillId="45" borderId="65" xfId="44" applyFont="1" applyFill="1" applyBorder="1"/>
    <xf numFmtId="0" fontId="0" fillId="45" borderId="69" xfId="0" applyFill="1" applyBorder="1"/>
    <xf numFmtId="0" fontId="0" fillId="45" borderId="81" xfId="0" applyFill="1" applyBorder="1"/>
    <xf numFmtId="9" fontId="0" fillId="45" borderId="73" xfId="44" applyFont="1" applyFill="1" applyBorder="1"/>
    <xf numFmtId="0" fontId="0" fillId="45" borderId="93" xfId="0" applyFill="1" applyBorder="1"/>
    <xf numFmtId="2" fontId="0" fillId="45" borderId="93" xfId="0" applyNumberFormat="1" applyFill="1" applyBorder="1"/>
    <xf numFmtId="0" fontId="15" fillId="45" borderId="59" xfId="0" applyFont="1" applyFill="1" applyBorder="1"/>
    <xf numFmtId="0" fontId="0" fillId="45" borderId="80" xfId="0" applyFill="1" applyBorder="1"/>
    <xf numFmtId="0" fontId="0" fillId="45" borderId="68" xfId="0" applyFill="1" applyBorder="1"/>
    <xf numFmtId="0" fontId="0" fillId="45" borderId="70" xfId="0" applyFill="1" applyBorder="1"/>
    <xf numFmtId="9" fontId="0" fillId="45" borderId="66" xfId="44" applyFont="1" applyFill="1" applyBorder="1"/>
    <xf numFmtId="0" fontId="0" fillId="45" borderId="71" xfId="0" applyFill="1" applyBorder="1"/>
    <xf numFmtId="0" fontId="27" fillId="0" borderId="96" xfId="0" applyNumberFormat="1" applyFont="1" applyFill="1" applyBorder="1" applyAlignment="1" applyProtection="1">
      <alignment horizontal="center"/>
    </xf>
    <xf numFmtId="0" fontId="0" fillId="45" borderId="0" xfId="0" applyFill="1"/>
    <xf numFmtId="166" fontId="27" fillId="0" borderId="0" xfId="42" applyNumberFormat="1" applyFont="1" applyFill="1" applyBorder="1" applyAlignment="1" applyProtection="1"/>
    <xf numFmtId="166" fontId="27" fillId="0" borderId="70" xfId="42" applyNumberFormat="1" applyFont="1" applyFill="1" applyBorder="1" applyAlignment="1" applyProtection="1"/>
    <xf numFmtId="166" fontId="28" fillId="45" borderId="70" xfId="42" applyNumberFormat="1" applyFont="1" applyFill="1" applyBorder="1" applyAlignment="1" applyProtection="1"/>
    <xf numFmtId="166" fontId="27" fillId="0" borderId="57" xfId="42" applyNumberFormat="1" applyFont="1" applyFill="1" applyBorder="1" applyAlignment="1" applyProtection="1"/>
    <xf numFmtId="166" fontId="27" fillId="0" borderId="75" xfId="42" applyNumberFormat="1" applyFont="1" applyFill="1" applyBorder="1" applyAlignment="1" applyProtection="1"/>
    <xf numFmtId="10" fontId="27" fillId="41" borderId="95" xfId="0" applyNumberFormat="1" applyFont="1" applyFill="1" applyBorder="1" applyAlignment="1" applyProtection="1"/>
    <xf numFmtId="0" fontId="24" fillId="0" borderId="50" xfId="54" applyFont="1" applyBorder="1" applyAlignment="1">
      <alignment horizontal="center"/>
    </xf>
    <xf numFmtId="0" fontId="24" fillId="0" borderId="38" xfId="54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7" fillId="42" borderId="0" xfId="0" applyNumberFormat="1" applyFont="1" applyFill="1" applyBorder="1" applyAlignment="1" applyProtection="1">
      <alignment horizontal="center"/>
    </xf>
    <xf numFmtId="0" fontId="27" fillId="44" borderId="0" xfId="0" applyNumberFormat="1" applyFont="1" applyFill="1" applyBorder="1" applyAlignment="1" applyProtection="1">
      <alignment horizontal="center"/>
    </xf>
    <xf numFmtId="0" fontId="28" fillId="0" borderId="61" xfId="0" applyNumberFormat="1" applyFont="1" applyFill="1" applyBorder="1" applyAlignment="1" applyProtection="1">
      <alignment horizontal="center"/>
    </xf>
    <xf numFmtId="0" fontId="28" fillId="0" borderId="63" xfId="0" applyNumberFormat="1" applyFont="1" applyFill="1" applyBorder="1" applyAlignment="1" applyProtection="1">
      <alignment horizontal="center"/>
    </xf>
    <xf numFmtId="0" fontId="28" fillId="0" borderId="62" xfId="0" applyNumberFormat="1" applyFont="1" applyFill="1" applyBorder="1" applyAlignment="1" applyProtection="1">
      <alignment horizontal="center"/>
    </xf>
    <xf numFmtId="0" fontId="28" fillId="45" borderId="61" xfId="0" applyNumberFormat="1" applyFont="1" applyFill="1" applyBorder="1" applyAlignment="1" applyProtection="1">
      <alignment horizontal="center"/>
    </xf>
    <xf numFmtId="0" fontId="28" fillId="45" borderId="62" xfId="0" applyNumberFormat="1" applyFont="1" applyFill="1" applyBorder="1" applyAlignment="1" applyProtection="1">
      <alignment horizontal="center"/>
    </xf>
    <xf numFmtId="0" fontId="27" fillId="0" borderId="59" xfId="0" applyNumberFormat="1" applyFont="1" applyFill="1" applyBorder="1" applyAlignment="1" applyProtection="1">
      <alignment horizontal="left"/>
    </xf>
    <xf numFmtId="0" fontId="27" fillId="0" borderId="80" xfId="0" applyNumberFormat="1" applyFont="1" applyFill="1" applyBorder="1" applyAlignment="1" applyProtection="1">
      <alignment horizontal="left"/>
    </xf>
    <xf numFmtId="0" fontId="27" fillId="0" borderId="78" xfId="0" applyNumberFormat="1" applyFont="1" applyFill="1" applyBorder="1" applyAlignment="1" applyProtection="1">
      <alignment horizontal="left"/>
    </xf>
    <xf numFmtId="0" fontId="27" fillId="0" borderId="79" xfId="0" applyNumberFormat="1" applyFont="1" applyFill="1" applyBorder="1" applyAlignment="1" applyProtection="1">
      <alignment horizontal="left"/>
    </xf>
    <xf numFmtId="0" fontId="27" fillId="0" borderId="69" xfId="0" applyNumberFormat="1" applyFont="1" applyFill="1" applyBorder="1" applyAlignment="1" applyProtection="1">
      <alignment horizontal="left"/>
    </xf>
    <xf numFmtId="0" fontId="27" fillId="0" borderId="81" xfId="0" applyNumberFormat="1" applyFont="1" applyFill="1" applyBorder="1" applyAlignment="1" applyProtection="1">
      <alignment horizontal="left"/>
    </xf>
    <xf numFmtId="0" fontId="28" fillId="0" borderId="83" xfId="0" applyNumberFormat="1" applyFont="1" applyFill="1" applyBorder="1" applyAlignment="1" applyProtection="1">
      <alignment horizontal="center"/>
    </xf>
    <xf numFmtId="0" fontId="28" fillId="0" borderId="85" xfId="0" applyNumberFormat="1" applyFont="1" applyFill="1" applyBorder="1" applyAlignment="1" applyProtection="1">
      <alignment horizontal="center"/>
    </xf>
    <xf numFmtId="0" fontId="28" fillId="0" borderId="84" xfId="0" applyNumberFormat="1" applyFont="1" applyFill="1" applyBorder="1" applyAlignment="1" applyProtection="1">
      <alignment horizontal="center"/>
    </xf>
    <xf numFmtId="0" fontId="28" fillId="0" borderId="88" xfId="0" applyNumberFormat="1" applyFont="1" applyFill="1" applyBorder="1" applyAlignment="1" applyProtection="1">
      <alignment horizontal="center" wrapText="1"/>
    </xf>
    <xf numFmtId="0" fontId="28" fillId="45" borderId="63" xfId="0" applyNumberFormat="1" applyFont="1" applyFill="1" applyBorder="1" applyAlignment="1" applyProtection="1">
      <alignment horizontal="center"/>
    </xf>
    <xf numFmtId="0" fontId="27" fillId="0" borderId="69" xfId="0" applyNumberFormat="1" applyFont="1" applyFill="1" applyBorder="1" applyAlignment="1" applyProtection="1">
      <alignment horizontal="center"/>
    </xf>
    <xf numFmtId="0" fontId="27" fillId="0" borderId="81" xfId="0" applyNumberFormat="1" applyFont="1" applyFill="1" applyBorder="1" applyAlignment="1" applyProtection="1">
      <alignment horizontal="center"/>
    </xf>
    <xf numFmtId="0" fontId="15" fillId="0" borderId="30" xfId="0" applyFont="1" applyBorder="1" applyAlignment="1">
      <alignment horizontal="left"/>
    </xf>
    <xf numFmtId="0" fontId="15" fillId="0" borderId="14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15" fillId="0" borderId="18" xfId="0" applyFont="1" applyBorder="1" applyAlignment="1">
      <alignment horizontal="left"/>
    </xf>
    <xf numFmtId="0" fontId="15" fillId="0" borderId="29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42" xfId="0" applyFont="1" applyBorder="1" applyAlignment="1">
      <alignment horizontal="left"/>
    </xf>
    <xf numFmtId="0" fontId="15" fillId="0" borderId="34" xfId="0" applyFont="1" applyBorder="1" applyAlignment="1">
      <alignment horizontal="left"/>
    </xf>
    <xf numFmtId="0" fontId="0" fillId="45" borderId="18" xfId="0" applyFill="1" applyBorder="1" applyAlignment="1">
      <alignment horizontal="center"/>
    </xf>
    <xf numFmtId="0" fontId="0" fillId="45" borderId="19" xfId="0" applyFill="1" applyBorder="1" applyAlignment="1">
      <alignment horizontal="center"/>
    </xf>
    <xf numFmtId="0" fontId="0" fillId="45" borderId="28" xfId="0" applyFill="1" applyBorder="1" applyAlignment="1">
      <alignment horizontal="center"/>
    </xf>
    <xf numFmtId="0" fontId="0" fillId="45" borderId="39" xfId="0" applyFill="1" applyBorder="1" applyAlignment="1">
      <alignment horizontal="center"/>
    </xf>
    <xf numFmtId="10" fontId="27" fillId="45" borderId="67" xfId="0" applyNumberFormat="1" applyFont="1" applyFill="1" applyBorder="1" applyAlignment="1" applyProtection="1"/>
    <xf numFmtId="2" fontId="27" fillId="45" borderId="0" xfId="0" applyNumberFormat="1" applyFont="1" applyFill="1" applyBorder="1" applyAlignment="1" applyProtection="1"/>
    <xf numFmtId="10" fontId="27" fillId="45" borderId="63" xfId="0" applyNumberFormat="1" applyFont="1" applyFill="1" applyBorder="1" applyAlignment="1" applyProtection="1"/>
    <xf numFmtId="2" fontId="27" fillId="0" borderId="0" xfId="0" applyNumberFormat="1" applyFont="1" applyFill="1" applyBorder="1" applyAlignment="1" applyProtection="1"/>
  </cellXfs>
  <cellStyles count="25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-0" xfId="74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Bold12" xfId="75"/>
    <cellStyle name="BoldItal12" xfId="76"/>
    <cellStyle name="Border" xfId="77"/>
    <cellStyle name="Border 2" xfId="233"/>
    <cellStyle name="Calc Currency (0)" xfId="78"/>
    <cellStyle name="Calc Currency (2)" xfId="79"/>
    <cellStyle name="Calc Percent (0)" xfId="80"/>
    <cellStyle name="Calc Percent (1)" xfId="81"/>
    <cellStyle name="Calc Percent (2)" xfId="82"/>
    <cellStyle name="Calc Units (0)" xfId="83"/>
    <cellStyle name="Calc Units (1)" xfId="84"/>
    <cellStyle name="Calc Units (2)" xfId="85"/>
    <cellStyle name="Calculation" xfId="10" builtinId="22" customBuiltin="1"/>
    <cellStyle name="Centered Heading" xfId="86"/>
    <cellStyle name="Check Cell" xfId="12" builtinId="23" customBuiltin="1"/>
    <cellStyle name="columns" xfId="87"/>
    <cellStyle name="Comma" xfId="42" builtinId="3"/>
    <cellStyle name="comma (0)" xfId="88"/>
    <cellStyle name="Comma [00]" xfId="89"/>
    <cellStyle name="Comma 2" xfId="56"/>
    <cellStyle name="Comma 2 2" xfId="90"/>
    <cellStyle name="Comma 3" xfId="61"/>
    <cellStyle name="Comma 3 2" xfId="91"/>
    <cellStyle name="Comma 4" xfId="184"/>
    <cellStyle name="Comma 5" xfId="188"/>
    <cellStyle name="Comma 6" xfId="192"/>
    <cellStyle name="Comma 7" xfId="201"/>
    <cellStyle name="Comma 8" xfId="196"/>
    <cellStyle name="Comma Acctg" xfId="92"/>
    <cellStyle name="Comma0" xfId="93"/>
    <cellStyle name="Company Name" xfId="94"/>
    <cellStyle name="Contracts" xfId="95"/>
    <cellStyle name="CR Comma" xfId="96"/>
    <cellStyle name="CR Currency" xfId="97"/>
    <cellStyle name="curr" xfId="98"/>
    <cellStyle name="curr 2" xfId="212"/>
    <cellStyle name="Currency" xfId="43" builtinId="4"/>
    <cellStyle name="Currency [00]" xfId="99"/>
    <cellStyle name="Currency 2" xfId="57"/>
    <cellStyle name="Currency 2 2" xfId="100"/>
    <cellStyle name="Currency 3" xfId="62"/>
    <cellStyle name="Currency 4" xfId="185"/>
    <cellStyle name="Currency 5" xfId="189"/>
    <cellStyle name="Currency 6" xfId="193"/>
    <cellStyle name="Currency 7" xfId="202"/>
    <cellStyle name="Currency 8" xfId="197"/>
    <cellStyle name="Currency Acctg" xfId="101"/>
    <cellStyle name="Currency0" xfId="102"/>
    <cellStyle name="Data" xfId="103"/>
    <cellStyle name="Date" xfId="104"/>
    <cellStyle name="Date Short" xfId="105"/>
    <cellStyle name="DateJoel" xfId="106"/>
    <cellStyle name="debbie" xfId="107"/>
    <cellStyle name="debbie 2" xfId="213"/>
    <cellStyle name="Dezimal [0]_laroux" xfId="108"/>
    <cellStyle name="Dezimal_laroux" xfId="109"/>
    <cellStyle name="Enter Currency (0)" xfId="110"/>
    <cellStyle name="Enter Currency (2)" xfId="111"/>
    <cellStyle name="Enter Units (0)" xfId="112"/>
    <cellStyle name="Enter Units (1)" xfId="113"/>
    <cellStyle name="Enter Units (2)" xfId="114"/>
    <cellStyle name="eps" xfId="115"/>
    <cellStyle name="eps 2" xfId="214"/>
    <cellStyle name="Euro" xfId="116"/>
    <cellStyle name="Explanatory Text" xfId="15" builtinId="53" customBuilti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48" builtinId="9" hidden="1"/>
    <cellStyle name="Followed Hyperlink" xfId="244" builtinId="9" hidden="1"/>
    <cellStyle name="Followed Hyperlink" xfId="243" builtinId="9" hidden="1"/>
    <cellStyle name="Followed Hyperlink" xfId="231" builtinId="9" hidden="1"/>
    <cellStyle name="Followed Hyperlink" xfId="230" builtinId="9" hidden="1"/>
    <cellStyle name="Followed Hyperlink" xfId="250" builtinId="9" hidden="1"/>
    <cellStyle name="Followed Hyperlink" xfId="235" builtinId="9" hidden="1"/>
    <cellStyle name="Followed Hyperlink" xfId="236" builtinId="9" hidden="1"/>
    <cellStyle name="Followed Hyperlink" xfId="240" builtinId="9" hidden="1"/>
    <cellStyle name="Followed Hyperlink" xfId="241" builtinId="9" hidden="1"/>
    <cellStyle name="Followed Hyperlink" xfId="252" builtinId="9" hidden="1"/>
    <cellStyle name="Followed Hyperlink 2" xfId="65"/>
    <cellStyle name="Followed Hyperlink 3" xfId="67"/>
    <cellStyle name="Followed Hyperlink 4" xfId="69"/>
    <cellStyle name="Followed Hyperlink 5" xfId="71"/>
    <cellStyle name="Followed Hyperlink 6" xfId="205"/>
    <cellStyle name="Followed Hyperlink 7" xfId="207"/>
    <cellStyle name="Followed Hyperlink 8" xfId="209"/>
    <cellStyle name="Followed Hyperlink 9" xfId="211"/>
    <cellStyle name="Good" xfId="5" builtinId="26" customBuiltin="1"/>
    <cellStyle name="Grey" xfId="117"/>
    <cellStyle name="Header1" xfId="118"/>
    <cellStyle name="Header1 2" xfId="215"/>
    <cellStyle name="Header2" xfId="119"/>
    <cellStyle name="Header2 2" xfId="238"/>
    <cellStyle name="Heading" xfId="120"/>
    <cellStyle name="Heading 1" xfId="1" builtinId="16" customBuiltin="1"/>
    <cellStyle name="Heading 2" xfId="2" builtinId="17" customBuiltin="1"/>
    <cellStyle name="Heading 2 2" xfId="121"/>
    <cellStyle name="Heading 3" xfId="3" builtinId="18" customBuiltin="1"/>
    <cellStyle name="Heading 4" xfId="4" builtinId="19" customBuiltin="1"/>
    <cellStyle name="Heading 5" xfId="216"/>
    <cellStyle name="Heading No Underline" xfId="122"/>
    <cellStyle name="Heading With Underline" xfId="123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47" builtinId="8" hidden="1"/>
    <cellStyle name="Hyperlink" xfId="245" builtinId="8" hidden="1"/>
    <cellStyle name="Hyperlink" xfId="232" builtinId="8" hidden="1"/>
    <cellStyle name="Hyperlink" xfId="242" builtinId="8" hidden="1"/>
    <cellStyle name="Hyperlink" xfId="229" builtinId="8" hidden="1"/>
    <cellStyle name="Hyperlink" xfId="249" builtinId="8" hidden="1"/>
    <cellStyle name="Hyperlink" xfId="234" builtinId="8" hidden="1"/>
    <cellStyle name="Hyperlink" xfId="239" builtinId="8" hidden="1"/>
    <cellStyle name="Hyperlink" xfId="237" builtinId="8" hidden="1"/>
    <cellStyle name="Hyperlink" xfId="246" builtinId="8" hidden="1"/>
    <cellStyle name="Hyperlink" xfId="251" builtinId="8" hidden="1"/>
    <cellStyle name="Hyperlink 2" xfId="64"/>
    <cellStyle name="Hyperlink 3" xfId="66"/>
    <cellStyle name="Hyperlink 4" xfId="68"/>
    <cellStyle name="Hyperlink 5" xfId="70"/>
    <cellStyle name="Hyperlink 6" xfId="204"/>
    <cellStyle name="Hyperlink 7" xfId="206"/>
    <cellStyle name="Hyperlink 8" xfId="208"/>
    <cellStyle name="Hyperlink 9" xfId="210"/>
    <cellStyle name="Input" xfId="8" builtinId="20" customBuiltin="1"/>
    <cellStyle name="Input [yellow]" xfId="124"/>
    <cellStyle name="Input [yellow] 2" xfId="217"/>
    <cellStyle name="Link Currency (0)" xfId="125"/>
    <cellStyle name="Link Currency (2)" xfId="126"/>
    <cellStyle name="Link Units (0)" xfId="127"/>
    <cellStyle name="Link Units (1)" xfId="128"/>
    <cellStyle name="Link Units (2)" xfId="129"/>
    <cellStyle name="Linked Cell" xfId="11" builtinId="24" customBuiltin="1"/>
    <cellStyle name="Milliers [0]_laroux" xfId="130"/>
    <cellStyle name="Milliers_laroux" xfId="131"/>
    <cellStyle name="negativ" xfId="132"/>
    <cellStyle name="Neutral" xfId="7" builtinId="28" customBuiltin="1"/>
    <cellStyle name="nodollars" xfId="133"/>
    <cellStyle name="Normal" xfId="0" builtinId="0"/>
    <cellStyle name="Normal - Style1" xfId="134"/>
    <cellStyle name="Normal 10" xfId="135"/>
    <cellStyle name="Normal 11" xfId="136"/>
    <cellStyle name="Normal 12" xfId="137"/>
    <cellStyle name="Normal 13" xfId="138"/>
    <cellStyle name="Normal 14" xfId="139"/>
    <cellStyle name="Normal 15" xfId="140"/>
    <cellStyle name="Normal 16" xfId="141"/>
    <cellStyle name="Normal 17" xfId="142"/>
    <cellStyle name="Normal 18" xfId="143"/>
    <cellStyle name="Normal 19" xfId="144"/>
    <cellStyle name="Normal 2" xfId="54"/>
    <cellStyle name="Normal 2 2" xfId="145"/>
    <cellStyle name="Normal 20" xfId="146"/>
    <cellStyle name="Normal 21" xfId="147"/>
    <cellStyle name="Normal 22" xfId="148"/>
    <cellStyle name="Normal 23" xfId="149"/>
    <cellStyle name="Normal 24" xfId="150"/>
    <cellStyle name="Normal 25" xfId="183"/>
    <cellStyle name="Normal 26" xfId="187"/>
    <cellStyle name="Normal 27" xfId="191"/>
    <cellStyle name="Normal 28" xfId="199"/>
    <cellStyle name="Normal 29" xfId="195"/>
    <cellStyle name="Normal 3" xfId="59"/>
    <cellStyle name="Normal 3 2" xfId="53"/>
    <cellStyle name="Normal 3 3" xfId="72"/>
    <cellStyle name="Normal 4" xfId="151"/>
    <cellStyle name="Normal 4 2" xfId="152"/>
    <cellStyle name="Normal 5" xfId="73"/>
    <cellStyle name="Normal 6" xfId="153"/>
    <cellStyle name="Normal 7" xfId="154"/>
    <cellStyle name="Normal 8" xfId="155"/>
    <cellStyle name="Normal 9" xfId="156"/>
    <cellStyle name="Note" xfId="14" builtinId="10" customBuiltin="1"/>
    <cellStyle name="Note 2" xfId="60"/>
    <cellStyle name="Note 3" xfId="200"/>
    <cellStyle name="Output" xfId="9" builtinId="21" customBuiltin="1"/>
    <cellStyle name="OUTPUT AMOUNTS" xfId="157"/>
    <cellStyle name="OUTPUT LINE ITEMS" xfId="158"/>
    <cellStyle name="OUTPUT LINE ITEMS 2" xfId="218"/>
    <cellStyle name="over" xfId="159"/>
    <cellStyle name="Percent" xfId="44" builtinId="5"/>
    <cellStyle name="percent (0)" xfId="160"/>
    <cellStyle name="Percent [0]" xfId="161"/>
    <cellStyle name="Percent [00]" xfId="162"/>
    <cellStyle name="Percent [2]" xfId="163"/>
    <cellStyle name="Percent 2" xfId="58"/>
    <cellStyle name="Percent 2 2" xfId="164"/>
    <cellStyle name="Percent 3" xfId="63"/>
    <cellStyle name="Percent 3 2" xfId="165"/>
    <cellStyle name="Percent 4" xfId="186"/>
    <cellStyle name="Percent 5" xfId="190"/>
    <cellStyle name="Percent 6" xfId="194"/>
    <cellStyle name="Percent 7" xfId="203"/>
    <cellStyle name="Percent 8" xfId="198"/>
    <cellStyle name="posit" xfId="166"/>
    <cellStyle name="PrePop Currency (0)" xfId="167"/>
    <cellStyle name="PrePop Currency (2)" xfId="168"/>
    <cellStyle name="PrePop Units (0)" xfId="169"/>
    <cellStyle name="PrePop Units (1)" xfId="170"/>
    <cellStyle name="PrePop Units (2)" xfId="171"/>
    <cellStyle name="SingleTopDoubleBott" xfId="172"/>
    <cellStyle name="Text Indent A" xfId="173"/>
    <cellStyle name="Text Indent B" xfId="174"/>
    <cellStyle name="Text Indent C" xfId="175"/>
    <cellStyle name="Tickmark" xfId="176"/>
    <cellStyle name="TimStyle" xfId="177"/>
    <cellStyle name="Title" xfId="55" builtinId="15" customBuiltin="1"/>
    <cellStyle name="Title 2" xfId="41"/>
    <cellStyle name="Total" xfId="16" builtinId="25" customBuiltin="1"/>
    <cellStyle name="Underline" xfId="178"/>
    <cellStyle name="UnderlineDouble" xfId="179"/>
    <cellStyle name="Währung [0]_RESULTS" xfId="180"/>
    <cellStyle name="Währung_RESULTS" xfId="181"/>
    <cellStyle name="Warning Text" xfId="13" builtinId="11" customBuiltin="1"/>
    <cellStyle name="표준_BINV" xfId="182"/>
  </cellStyles>
  <dxfs count="0"/>
  <tableStyles count="0" defaultTableStyle="TableStyleMedium2" defaultPivotStyle="PivotStyleLight16"/>
  <colors>
    <mruColors>
      <color rgb="FF6699FF"/>
      <color rgb="FF7E84FA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130969</xdr:colOff>
      <xdr:row>11</xdr:row>
      <xdr:rowOff>47624</xdr:rowOff>
    </xdr:from>
    <xdr:to>
      <xdr:col>10</xdr:col>
      <xdr:colOff>11907</xdr:colOff>
      <xdr:row>17</xdr:row>
      <xdr:rowOff>28574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6907" y="2143124"/>
          <a:ext cx="4048125" cy="1123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116157</xdr:colOff>
      <xdr:row>9</xdr:row>
      <xdr:rowOff>174238</xdr:rowOff>
    </xdr:from>
    <xdr:to>
      <xdr:col>10</xdr:col>
      <xdr:colOff>17423</xdr:colOff>
      <xdr:row>15</xdr:row>
      <xdr:rowOff>183066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383" y="1846921"/>
          <a:ext cx="4048125" cy="1123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7169" name="AutoShape 1" descr="Image result for western digital"/>
        <xdr:cNvSpPr>
          <a:spLocks noChangeAspect="1" noChangeArrowheads="1"/>
        </xdr:cNvSpPr>
      </xdr:nvSpPr>
      <xdr:spPr bwMode="auto">
        <a:xfrm>
          <a:off x="2286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110203</xdr:rowOff>
    </xdr:to>
    <xdr:sp macro="" textlink="">
      <xdr:nvSpPr>
        <xdr:cNvPr id="7172" name="AutoShape 4" descr="data:image/jpeg;base64,/9j/4AAQSkZJRgABAQAAAQABAAD/2wCEAAkGBxISDxAPDxAQFRAPFRIPDxURFBAQEBQVFhYWFxQUFBYYHjQgGBolHRQWITEhJSkrLi4uFx8zODMsNygtLisBCgoKDg0OGxAQFywkICQvMDAvLCwtNywsLCwvLSwtLCwsLCw0LCwsLCwsLSwsLCwsLCwsLCwsLCwsLCwsLCwsLP/AABEIAKUBMQMBEQACEQEDEQH/xAAcAAEAAgIDAQAAAAAAAAAAAAAABgcFCAECAwT/xABMEAABAwIABQwOCQMEAwEAAAABAAIDBBEFBgcSIRMXIjFBUVNhcYGj0RQyUlRydIKRkpOhsbPSFSMkNUKiwcLTQ2KyNERjgzPD8CX/xAAaAQEAAgMBAAAAAAAAAAAAAAAABAUBAwYC/8QAMxEAAgECAQgJBQEBAQEAAAAAAAECAxEEBRIVITFRUnETFDNBYYGhwfAjMpGx0SJC4WL/2gAMAwEAAhEDEQA/ALxQEXw5jrBA4xxtMsg0ODSGsad4u3+QFTKODnUV3qRCrY2FN2WtkedlDn3IYQOPPP6qUsnw3si6Rnwo41wqjgoOk61nR9PexpGfChrhVHBQdJ1po+nvY0jPhQ1wqjgoOk600fT3saRnwoa4VRwUHSdaaPp72NIz4UNcKo4KDpOtNH097GkZ8KGuFUcFB0nWmj6e9jSM+FDXCqOCg6TrTR9PexpGfChrhVHBQdJ1po+nvY0jPhQ1wqjgoOk600fT3saRnwoa4VRwUHSdaaPp72NIz4UNcKo4KDpOtNH097GkZ8KGuFUcFB0nWmj6e9jSM+FDXCqOCg6TrTR9PexpGfChrhVHBQdJ1po+nvY0jPhQ1wqjgoOk600fT3saRnwoa4VRwUHSdaaPp72NIz4UNcKo4KDpOtNH097GkZ8KGuFUcFB0nWmj6e9jSM+FDXCqOCg6TrTR9PexpGfChrhVHBQdJ1po+nvY0jPhQ1wqjgoOk600fT3saRnwoa4VRwUHSdaaPp72NIz4UNcKo4KDpOtNH097GkZ8KGuFUcFB0nWmj6e9jSM+FDXCqOCg6TrTR9PexpGfChrhVHBQdJ1po+nvY0jPhQ1wqjgoOk600fT3saRnwoa4VRwUHSdaaPp72NIz4UNcKo4KDpOtNH097GkZ8KGuHUcDB0nWmj6e9jSM+FGQwblDaSBUQ5oP4oyXAcrTp8xK1Tye0rwf5NlPKKbtONuRNKWpZIxskbg5jtLS03BVdKLi7NayxjJSV09R6SPDQXOIAaCSSbAAbZJ3lg9ELqsc3vIdTikigdfUpq+bUdWsbF0UY2Rbf8RU6OES+67feoq9ubIjxDeyyW9u1+R9mDcaXh8TKyOJrKg5lPUU0mrUsj9xhda7HHcvtrXPDqzcG9W1NWaPca7ulJbe9a0SjOUUkEXx/wANGCBsUZtLPcXG21gtnEcZuBzneUzBUVUnd7EQsbXdOGatrKturopBdALoBdALoBdALoBdALoBdALoBdALoBdALoBdALoBdALoBdALoBdALoBdALoBdALoBdALoBdALoBdALoCT4hYbMNQ2Bx+qnObbca89q4b19o8o3lCxtFThnrav0TcFXcJ5j2P9kxyhvIwZU2JAIY15G2I3SNEh9ElV+DS6aN/j7izxV+idvm8xWMdM/6Qoo6SGmkzaWYMZPfUQwOjAtYHSNFltoyXRSc21rWzb3niqn0kVFJ6nt8jD4PgZ9CYVMtmv1aofKwAMjhnZm5rYrHaBDbHjst82+s07bLLzXiaYJdBO+27/Jm/pDCHcu8yj5lLeSLy3mFynyHs2Nu4IGEc75L/AOIUvJ6+k34+yK7KL+ql4e7IhdT7EEXSwF0sBdLAXSwF0sBdLAXSwF0sBdLAXSwF0sBdLAXSwF0sBdLAXSwF0sBdLAXSwF0sBdLAXSwF0sBdLAXSwF0sBdLAXSwF0sBdLAXSwF0sD0ppCJGOG21zSOUEFeZK6aMxdpJl61VO2SN8UjQ5kjSx7TtFpFiFzcZOLujpmk1ZkQgwVWUkjDHDHWMgY6Gme6YwVMcTiDqbwdg8DNaAdvQpjqUqqd3m31vVdN7/AAIyhUpvUr22a7M4osWZZpS6piip6Z0vZUlPFI+Z08246Z52IboBzWix3VmWIjBWg7u1rvVZeBiNFyd5Kyve29+JNbKDYllWZUP9czxeP4kqucn9k+b/AEikyj23kv2yIXU4gi6AXQC6AXQC6AXQC6AXQC6AXQC6AXQC6AXQC6AXQC6AXQC6AXQC6AXQC6AXQC6AXQC6AXQC6AXQC6AXQHeI7JvKPej2GY7UbALmDqAgCAICqcqR+3s8Xj+JKrrJ3ZPn7IpMo9t5L9siF1OIIugF0AugF0BwXcaWMXGeN8LNmLoZ43wlmLoArAuc3QyLoDjO40MXGdxoLnN0Mi6AXQHGdxoYuM7jQXGdxoLnN0MnGchi4zuNBcZ3GguM7jQXGdxoLjO40FxdDJzdALoBdALoBdALoDtEdk3lHvWHsMx2o2DXMHUBAEAQFT5VD9vZ4vH8SVXWTuyfP2RSZR7Zcl+2Q+6nEAXQC6AXQC6AuXEihYMHU2dGwlzS8ktBOycXD2EKhxc300tZ0GEiuhjq7jOdhx8HH6LepR86W8kZq3DsOPg4/Rb1JnS3jNW4qHKFIDhGVrQAI2xssAAO1DjteH7Fd4JPoU333KPHNOs0u6xHLqWQyUZPsCdk1WqSNBhp7PeCLhzz2jePdJ5BvqHja3RwstrJuBo9JUu9i/Zaf0TT97werj6lTdLPif5Lro4bkPomn73g9XH1J0s+J/kdHDciqcodK2KvcGNa1ro43gNAa3aLToHG1XWBk5Udb72UmOio1tS7kRq6lkM5aCSGtF3OIa0bpJ0AedNmtjW9SLywbgCCOGKIwwuMbGsc50bC5xAALiSNsnSudnXnKTld6zpKdCEYqNth9H0TT97werj6l46WfE/ye+jhuQOCafveD1cfUnSz4n+R0cNyKar7Vde5sLWtbPKIogwBoDbhodYcQzvOr+H0qN5dyOfn9ataPe7fP2XHFgamDQ0U8NmgAXjYTo3zZULqzf8A0y/VKC7kdvomn73g9XH1LHSz4n+TPRw3IfRNP3vB6uPqTpZ8T/I6OG5D6Jp+94PVx9SdLPif5HRw3IfRNP3vB6uPqTpZ8T/I6OG5D6Jp+94PVx9SdLPif5HRw3I8p8X6R/bUtOf+tgPnAXpV6q2Sf5PMqFKW2K/BgMKZPKWQEwF8L9yxMkd+NrjfzEKTTx9SP3ayLUyfSl9ur5uK+w/i/PRutM0FhNmSMuY3cV9w8R9qtKOIhVX+fwVdbDzov/WzeYm63GgXQC6AXQHaI7JvK33rD2HqO1Gwy5g6gIAgCAqXKsft8fi8fxJVdZO7J8/ZFHlLtVy92Q26nkAXQC6AXQAuWQ2X7gCHMpKZncwxA8uYLrma0s6pJ+LOnoxzacV4I+9azYCgKGxmqdUrqp+/LIByNOaPY0LpMPHNpRXgc1iJZ1WT8f8AwxrASQALkkBoG2SdAAW16tZpV3qReeKmBhSUscOjPOzmI3ZHbfm0AcQC53EVulqOX45HSYaiqVNR/PMzC0G8ICq8rMdqqB/dxFvovPzK5ya702vEpspq04vwIPdWBWkjxAoNWwhFcbGG87vJ7T8xb5lFxtTMovx1EvBU8+svDWXSqA6AIDA474S7HoZng2e8ajHv5z9FxyC55lIwtPpKqXmRsXU6Oi35fkgmSzB2qVbpiNjTM2Phvu0flD/YrLKFTNp5u8rcnU86o5bvctlUpdhAEAQBAEAQBAeFZSMljdFK0OY8Wc07R/8At9eoycXdbTzKKkrSWopPGvAbqOpMWkxu2cLj+Ju8f7htHmO6ugw1dVoZ3f3nPYmg6M83u7jDXW8ji6AXQHeE7JvhN96w9jMx2o2JXLnVBAEAQFR5Wf8AXx+Lx/ElV3k3snz9kUWU+1XL3ZC7qeV4ugF0AugOdvRv6EBNRlBr2gDUIQALC8Uw0Dy1X9QoP/p/lFl1/EL/AJX4Z1OUqt3Y6bnjl+dZ0dR3s86Srbl+Gddc2s7il9CT+RZ0bS8fnkY0nW3L1/pD5JCSXHbcS48pNypyVlYgt3d2fTgvCBgmZOxrHPjOc0SAlt9wkAjSNteKkFUi4vv3HqnVdOSku7eSkZTazg6X0Jf5FD0bS3v55E3SdXcvX+nOubWcHSehN/ImjaW9/PIaTrbl+H/Rrm1nBUnoTfyJo2lvfzyGk625fh/0wmMeMstaYzOyJpizg3U2vbfOte+c49yFIoYaNG+a3r3keviZ1rZyWrcYW63kczOLmMktEZHQshc6UNDjK17iA2+gZrhbb9gWivho1rZzercSKGJlRvmpa95nNc2s4Ok9Cb+RR9G0t7+eRI0nW3L1/o1zazg6T0Jv5E0bS3v55DSdbcvX+mHxixsnrWsZMImtjJeBE17bki1znOO0L+crdQwsKLbjfXvNFfFzrJKVtW474vY3T0Ubo4I4CHuz3GRsjnE2AtcPAto3t0pXwkKzvJv55GaGMnRjmxS+eZldc2s4Ok9Cb+RadG0t7+eRu0nW3L1/o1zazg6T0Jv5E0bS3v55DSdbcvX+jXNrODpPQm/kTRtLe/nkNJ1ty9f6Nc2s4Ok9Cb+RNG0t7+eQ0nW3L1/oGU6s3YqX0Jh/7FjRtLe/nkZ0nV3L1/pIMA5SIpXCOqj1Eu0B4dnRX/u0XZ7RvkKNWyfKKvB3/ZKo5RhN2mrfonQKriyOUAQEQyn4OElCZQNnTOEg381xDXjk0g+Sp2AqZtXN3/EQcoU86lnbvjKeurwoBdALoDvCdk3wm+8LD2M9R2rmbGrljqwgCAICocrZ+3x+Lx/ElV3k3sXz9kUWU+1XL3ZCs5WBXXGcguM5BcZyC5kMXY8+tpGd1PDfkzxf2LVXdqUn4M3YdZ1WK8UbBBcydQcFoO2AgMNje5sdBVvzW3ETwDYbbhmj2lb8MnKrFeJoxLzaUn4FF08TnvbGwXe8hjANskmwC6NtRV3sOZinJqK2l5YGxWpoaeOF8EMjmtGe98bHOc46XG5F7XJtxLnauJqTm5JteZ0tLDU4QUbJn0Oxbozt0lN6qPqXnrFXif5PTw9J7YL8Hk7FOhP+zg5mAe5ZWKrL/tmOq0eBfg8nYl0B/wBrHzF49xXrrlbiZ5eDoP8A4REcouLNNTUrJqaEMdqrWuIc83aWu0WJ3wFNwOJqVKmbN31EHH4anTp50I21lcjToA0nQFalRtLdpMnFJqUeqiXVc1uqFryBnW2VhuaVRyyhVzna1i+jk6jmq618zs7JpRbjqgeW39WppGt4GdG0fH8njJkxpLX1aoAGk7KK3tavSylV3L55nl5Mo72VnSUgmqWwQ5xbLLqcZdbOzS6wc7jtpKtpTzIZ0u5FNGGfUzI979Cw3ZLI9yqk52MP6qr0nLhRbaLhxM8n5KxuVh54h8y9aT/+PU86LXH6Hk7JW/crG88JH71nSa4PX/w86LfH6f8Ap8GFsnckEMs7qqIsiaXnYPBNtwadsnRzrbTygpyUVHaa6mTnCLk57PAhF1YFbcZyC4uguXFkvwo6aiMbyS6mdqYJ28wgFnm0jmVFlCkoVbrvL/J9VzpWfdqJioJPCAxWNTAaCsB4CY+ZhIW7Du1WPNGnEK9KXJlA5y6U5a4zkM3Gcgud4Ds2+E33hYexmYfcjZBcqdaEAQBAU/ld+8I/F4/iSq8yb2T5+yKHKnarl7shN1YFaLoBdALoCRZPY87ClKN4vcfJjeR7QFFxrtQl87yZgFevHz/Rei506QICI5UqjNwa9vCvjZ7c4/4Kbk+N6y8LkLKErUH4kYyUYDz5XVsg2MN2Q33XkbJ3MDbldxKXlGvZdGu/byIWTKF26j8i1VTl0EBjcB4WbUtlfH2kcr4Wnusy2y5CSeay21aTptJ96ua6dRVE2t9jJLUbCK5TYs7Bkx7h0T/ztH6qZgHauvMh49XoS+d5WWImDtXwhAwi7WHVn8jNI87s0c6tsZUzKLe/UU2Cp59ZeGsvdc6dKEBGsoWE9QwfMQbPm+oZ5d863khxUrBU8+svDWRMbV6Oi3v1EFyT4O1SsfORsaZmjw33aPyh6scpVLU1HeVuTKWdUc9xb6pC9CAICB5W8J5lLHTA7KofnO8COx/yLfMVY5Np3qOe4rcp1M2nm7ypbq7KEXQC6AtTI7CRBUybjpGNHktuf8wqbKb/ANxXgXmS19NvxLCVYWgQGCx4qdTwbVuP4ozGOWSzB/kpGEjnVorxI+Llm0ZN7ihrrpDlxdALoDvAdmzwm+9YlsZ7h9yNk1yh1oQBAEBT2V37wj8Xj+JKrzJvZPn7IocqdquXuyEqwK0IAgCAmeSaLOwiTwcMjvzMb+4qBlF2o+ZZZMV6r5FyKiL4ICA5VWPlFFSRC8k8ri0cgDbniGeSeRWOT2o583sSK3KKc1GmtrZMMC4NZTU8VPH2sTQ2+647bnHjJuedQqtR1JuT7ydSpqnBRXcfctZsIxlBw52LRPzDaae8MW+LjZv5hfnIUvBUelqq+xa2RMbW6Kk2tr1Iw2R2X7LUM7mUO9JjR+0rflNfUT8CPkt/Ta8SwFWlmYXHSLOwdWD/AInu9EZ36LfhXatHmaMSr0ZcmRHI9g6zKiqI7YiBnI3ZP5iS30VNynU1xh5kDJdO0XPyLIVWWwQFTZXcKZ9RFStOiFue/ez37V+RoHpK5ybTtBzfeUmVKt5KG7WSvJjg3UcHseRsqhxmPg7TOawB8pQ8fUz61t2onYCnmUV46yXKETQgBQFH5RsJ6vhGUA3ZBaBu9dt8/wDMXDmC6DA08yivHWc7lCrn1mt2ojCmEEIDljC4hrQS5xDWgaSSdAAG+sNpa2ZSbdkX9ilgjsSjhgPbgZ0tu7dpd5trmXN4ir0tRyOow9LoqaiZhaDeEBXWWDClooKRp2UjtWk8FuhoPEXEnyFZ5Mp3k57tXz53lXlOraChvKtVyUYQBAd4O3Z4TfesS2M9w+5Gyi5Q60IAgCAp3K+f/wBCPxeP4kqvMm9k+fsiiyp2q5e7IRdWBWi6AXQC6AsXI1Feark7lkbPSc4/sVXlR/5ii2yUtcnyLUVOXIQGMkwYH1ral4B1GIxwjec8kyO5bBo5ytqqWp5i73rNbgnPOfcjJrUbAgKMyg4c7KrX5pvDBeGLeNjs3859gauhwVHo6avtes53HVukqWWxaiR5GZtlWR8UTx53g+8KJlRfa+ZLyU/uXItBVJbny4Vhz6eaM/jjkZ52kfqvUHaSfieZq8Wj4cUMG9j0NPCRZwYHSeG/ZP8Aa4jmWzEVOkqyka8PT6OmomYWk3HSWQNaXONg0FxO4ANJKJX1Buxr/O99fhAkXzquazd0ta51m+i23mXSq1CjyRzMr16/Nl/00LWMbGwWawBjQNwNFgPMFzbbk7s6VJJWR6LBkID4cOYQFPTTVDv6THOAO678LeckDnWylDPmorvPFWahByfca6vkLiXOJLnEucTtknSSV06VlZHKSd3dnF1kwLoLFo5OsTHMc2tq22eNNPG7bbf+o8d1vDc29u1qfG4xS+nB6u9+xdYHB5v1JrX3IshVZahAedTO2NjpHkNYwF7ydoAC5JWYpydkYbSV2a/Yy4YdV1UtQbgONowfwsGho82k8ZK6WhSVKmonMYmt0tRy+WMXdbjQLoBdAelOdmzwm+9YlsZ6h9yNlVyh1oQBAEBTuV/7wj8Xj+JMrzJvZPn7Io8p9quXuyD3VgVougF0AugLWyNQ/Z6qTupWs9Fl/wB6pspv/cV4F3kuP02/EsRVhZhAEAQEZygYd7FonlptNN9TFvgkbJ3ML89lKwdHpalnsW0i4yt0VNtbXqRRa6I5snWSCe1bKzu4XH0Xs6yq7Ka+mn4lnkuX1GvAuBUhdhAEAQEUyl4U1DB8gB2dQRA3kdcv/KHecKZgaefWXhrImNq5lF73qITkkwbqlY+oI2NMzR4cl2j8uf7FPyjUzaajvK7JlK83N9xcKpC8CAICFZUmzyUsdPTwyyao/Ol1Njn2azSAbb7iD5KnYBwjUcptK2wg49TlTzYJu5WkWKde7ao5/Kbmf5K2eKor/tFQsHWf/JlsG5OK6QjVGxwt3TI4Odbiay/tIWmeUKMdms3U8nVZfdqLAxaxFpqQiQ3lnG0+QCzT/YzaHLpPGqyvjalXVsRZ0MFTpa9r3kqUQmBAEBVWU/GwPJoad12NP2lw2nOH9MHeB2+PRuFXGAwtvqSXL+lPlDFX+nF8/wCFdXVoVIugF0AugO9Odmzwm+9YlsZ6p/cjZdcodYEAQBAU5lg+8I/Fo/iTK8yb2T5+yKPKfarl7sgysCtCAIAhkujJNBm4NDuElkf5rM/YqHKDvW8i/wAnxtRRNFBJwQBAcFAUblFw52VWuDDeKnvDHvEg7N3ORbkaF0GCo9HTu9r1nPY6t0lSy2IiymEIleTCbNwpCOEbKz8hd+1Qser0H5E7J8rVkt5eKoDoAgCAICnsrmFNUq46cHY0zLu8OSxN+RoZ5yrvJtO1Nzff+ikylUvNQXcTPJfgzUcHseRs6lxnPgnQz8oB8pQcfUz6zW7UT8DTzKK8dZLlCJgQBAEAQBAEAQBAVtj/AI+BodSUT9mbtmladDN9kZ7rfdubmnatMHgr/wC6i5Iq8Zjc3/FN6+9/O8qxXBTBDAQBAEB6U/bs8JvvXmWxnuH3I2YXKnVhAEAQFN5YPvCPxaP4kyvMm9k+fsikyn2q5f0g6sCtCAIAgL6yew5mC6Qb7XSem9zv1XOYx3rSOlwkc2jFEiUYkBAEBGsoGHexKJ7mm0031MO+C4bJ3M255bb6lYOj0tVJ7FrZGxdboqba29xQ66I5s5QGbxImzMJUbv8AlDfSBb+5R8Wr0ZciVg3atE2BXNnRhAEB51M7Y2PkebMY1z3HeDRcnzBZSbdkYbSV2a9bOurt3Pq5uXNz3e5o9gXS6qNLkjm9detzZsLTwhjGxtFmsAY0bwAsAuabbd2dIlZWPRYMhAEAQBAEAQGPwxhqClZqlRK1g3AdL3cTWjS7mWynSnUdoq5rqVYU1eTsVRjblBlqc6GmDooDoJv9bIP7iO1HEPPuK4w+BjT/ANT1v0KfE4+U/wDMNS9SFKwK4IAgCAIAgO9P27PCb71iWxnuH3I2ZXKHVBAEAQFNZYfvCPxaP4kyvMm9k+fsikyl2i5f0gysCuCAIAgLlwFj1g6Glp4XVDs6KKON31U50taAdpu+FRVcHXnOUlHa33ovqWLoxgo52xbj7tcXBvfDvU1Hyrx1Cvw+qNnXaHF6Ma4uDe+HepqPlTqFfh9UOu0OL0Y1xcG98O9TUfKnUK/D6ox12hxejKzygYxCtqs6Ik08LcyG4Lb3sXvsdIubDkaFa4PDujDXte0qsZXVWerYiMKWQwgPqwVUiOoglOgRSxSHd0NeCfcvFSOdBx3pmylJRmpPuZdOuLg3vh3qaj5VRdQr8Pqi967Q4vRjXFwb3w71NR8qdQr8PqjPXaHF6Ma4uDe+HepqPlTqFfh9UOu0OL0Zgcd8e6WailgpJXOkmzWHYSssy93m7gBpAt5SkYXBVI1VKa1Ij4rGU5U3GD1sh+T+vpqes7Iq35rY2O1KzHvu92x/CDazS7zqbjIVKlPNgtpBwU6cKmdNlna4uDe+HepqPlVV1Cvw+qLbrtDi9GNcXBvfDvU1Hyp1Cvw+qHXaHF6Ma4uDe+HepqPlTqFfh9UOu0OL0Y1xcG98O9TUfKnUK/D6oddocXoxri4N74d6mo+VOoV+H1Q67Q4vRnByjYN4dx/6Z/lTqFfh9UY69Q4jH1mVOkb/AOKOeQ7mhsbfOTf2LZHJtV7Wka5ZRpLZdkVwtlOq5QWwNjgad0fWyek4W/KplPJ1OP3O/p8/JDqZRqS+1W9SGVVS+R5kle973bbnuLnHnKnRioqyViBKcpO8nc8l6PIQBAEAQBAEB6U/bs8JvvWJbGeofcjZpcodUEAQBAU1lj+8YvFo/iTK8yb2T5+yKXKXaLl/SCqwK4IAgCAIAgCAIAgCAIAgCAIAgCAIAgCAIAgCAIAgCAIAgCAIAgCAIAgPSn7dnhN94XmWxnqH3I2bXKnUhAEAQFM5Y/vGLxaP4kyvMm9k+fsilyl2i5f0gt1YFeLoBdALoBdALoBdALoBdALoBdALoBdALoBdALoBdALoBdALoBdALoBdALoBdALoBdALoBdALoBdALoBdAelOdmzwm+8LzLYz1D7kbOLlTqAgCAICmssjT9IROtoNOwDmklv7wrvJj+k+fsimyj2i5EDViVwQBAEAQBAEAQBAEAQBAEAQBAEAQBAEAQBAEAQBAEAQBAEAQBAEAQBAe1GwuljaNtz2NHKXABeZu0We6f3LmbNrlTpwgCAICDZVcX3VFM2oiaTLS5xLRtujdbOtvkWB5LqfgK6pzzXsf7IOOoucLraillelIEMBAEAQBAEAQBAEAQBAEAQBAEAQBAEAQBAEAQBAEAQBAEAQBAEAQBATLJji+6orGzuadQpXCRxO06QaWMG+b2ceIcYUHHV1Tp5q2v9E7A0XOec9iLvCoS8OUAQBAcFAQPG3J3TzZ9RC4wSaXvDWh8Tjtk5lxmk8RtxKww+OnC0Za0Qa+ChP/S1Mp+qhzHuZe+aSL7V1dRldXKacc2TR5L0eAgCAIAgCAIAgCAIAgCAIAgCAIAgCAIAgCAIAgCAIAgCAIAgCAnmJGIcdWwTzTPEYteNjQHHizydA0b3mVdisa6bzYossNg4zSlJlu4OoIoImwwMDI2aGtbtcZO+Tuk6Sqac5TlnSd2W0YKKtFaj6V5PQQBAEB//2Q=="/>
        <xdr:cNvSpPr>
          <a:spLocks noChangeAspect="1" noChangeArrowheads="1"/>
        </xdr:cNvSpPr>
      </xdr:nvSpPr>
      <xdr:spPr bwMode="auto">
        <a:xfrm>
          <a:off x="228600" y="120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471128</xdr:colOff>
      <xdr:row>0</xdr:row>
      <xdr:rowOff>81935</xdr:rowOff>
    </xdr:from>
    <xdr:to>
      <xdr:col>1</xdr:col>
      <xdr:colOff>2669559</xdr:colOff>
      <xdr:row>1</xdr:row>
      <xdr:rowOff>884072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451" y="81935"/>
          <a:ext cx="2198431" cy="102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110203</xdr:rowOff>
    </xdr:to>
    <xdr:sp macro="" textlink="">
      <xdr:nvSpPr>
        <xdr:cNvPr id="9" name="AutoShape 2" descr="Image result for western digital"/>
        <xdr:cNvSpPr>
          <a:spLocks noChangeAspect="1" noChangeArrowheads="1"/>
        </xdr:cNvSpPr>
      </xdr:nvSpPr>
      <xdr:spPr bwMode="auto">
        <a:xfrm>
          <a:off x="225323" y="159774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110203</xdr:rowOff>
    </xdr:to>
    <xdr:sp macro="" textlink="">
      <xdr:nvSpPr>
        <xdr:cNvPr id="10" name="AutoShape 3" descr="Image result for western digital"/>
        <xdr:cNvSpPr>
          <a:spLocks noChangeAspect="1" noChangeArrowheads="1"/>
        </xdr:cNvSpPr>
      </xdr:nvSpPr>
      <xdr:spPr bwMode="auto">
        <a:xfrm>
          <a:off x="225323" y="159774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110203</xdr:rowOff>
    </xdr:to>
    <xdr:sp macro="" textlink="">
      <xdr:nvSpPr>
        <xdr:cNvPr id="11" name="AutoShape 4" descr="data:image/jpeg;base64,/9j/4AAQSkZJRgABAQAAAQABAAD/2wCEAAkGBxISDxAPDxAQFRAPFRIPDxURFBAQEBQVFhYWFxQUFBYYHjQgGBolHRQWITEhJSkrLi4uFx8zODMsNygtLisBCgoKDg0OGxAQFywkICQvMDAvLCwtNywsLCwvLSwtLCwsLCw0LCwsLCwsLSwsLCwsLCwsLCwsLCwsLCwsLCwsLP/AABEIAKUBMQMBEQACEQEDEQH/xAAcAAEAAgIDAQAAAAAAAAAAAAAABgcFCAECAwT/xABMEAABAwIABQwOCQMEAwEAAAABAAIDBBEFBgcSIRMXIjFBUVNhcYGj0RQyUlRydIKRkpOhsbPSFSMkNUKiwcLTQ2KyNERjgzPD8CX/xAAaAQEAAgMBAAAAAAAAAAAAAAAABAUBAwYC/8QAMxEAAgECAQgJBQEBAQEAAAAAAAECAxEEBRIVITFRUnETFDNBYYGhwfAjMpGx0SJC4WL/2gAMAwEAAhEDEQA/ALxQEXw5jrBA4xxtMsg0ODSGsad4u3+QFTKODnUV3qRCrY2FN2WtkedlDn3IYQOPPP6qUsnw3si6Rnwo41wqjgoOk61nR9PexpGfChrhVHBQdJ1po+nvY0jPhQ1wqjgoOk600fT3saRnwoa4VRwUHSdaaPp72NIz4UNcKo4KDpOtNH097GkZ8KGuFUcFB0nWmj6e9jSM+FDXCqOCg6TrTR9PexpGfChrhVHBQdJ1po+nvY0jPhQ1wqjgoOk600fT3saRnwoa4VRwUHSdaaPp72NIz4UNcKo4KDpOtNH097GkZ8KGuFUcFB0nWmj6e9jSM+FDXCqOCg6TrTR9PexpGfChrhVHBQdJ1po+nvY0jPhQ1wqjgoOk600fT3saRnwoa4VRwUHSdaaPp72NIz4UNcKo4KDpOtNH097GkZ8KGuFUcFB0nWmj6e9jSM+FDXCqOCg6TrTR9PexpGfChrhVHBQdJ1po+nvY0jPhQ1wqjgoOk600fT3saRnwoa4VRwUHSdaaPp72NIz4UNcKo4KDpOtNH097GkZ8KGuFUcFB0nWmj6e9jSM+FDXCqOCg6TrTR9PexpGfChrhVHBQdJ1po+nvY0jPhQ1wqjgoOk600fT3saRnwoa4VRwUHSdaaPp72NIz4UNcKo4KDpOtNH097GkZ8KGuHUcDB0nWmj6e9jSM+FGQwblDaSBUQ5oP4oyXAcrTp8xK1Tye0rwf5NlPKKbtONuRNKWpZIxskbg5jtLS03BVdKLi7NayxjJSV09R6SPDQXOIAaCSSbAAbZJ3lg9ELqsc3vIdTikigdfUpq+bUdWsbF0UY2Rbf8RU6OES+67feoq9ubIjxDeyyW9u1+R9mDcaXh8TKyOJrKg5lPUU0mrUsj9xhda7HHcvtrXPDqzcG9W1NWaPca7ulJbe9a0SjOUUkEXx/wANGCBsUZtLPcXG21gtnEcZuBzneUzBUVUnd7EQsbXdOGatrKturopBdALoBdALoBdALoBdALoBdALoBdALoBdALoBdALoBdALoBdALoBdALoBdALoBdALoBdALoBdALoBdALoCT4hYbMNQ2Bx+qnObbca89q4b19o8o3lCxtFThnrav0TcFXcJ5j2P9kxyhvIwZU2JAIY15G2I3SNEh9ElV+DS6aN/j7izxV+idvm8xWMdM/6Qoo6SGmkzaWYMZPfUQwOjAtYHSNFltoyXRSc21rWzb3niqn0kVFJ6nt8jD4PgZ9CYVMtmv1aofKwAMjhnZm5rYrHaBDbHjst82+s07bLLzXiaYJdBO+27/Jm/pDCHcu8yj5lLeSLy3mFynyHs2Nu4IGEc75L/AOIUvJ6+k34+yK7KL+ql4e7IhdT7EEXSwF0sBdLAXSwF0sBdLAXSwF0sBdLAXSwF0sBdLAXSwF0sBdLAXSwF0sBdLAXSwF0sBdLAXSwF0sBdLAXSwF0sBdLAXSwF0sBdLAXSwF0sD0ppCJGOG21zSOUEFeZK6aMxdpJl61VO2SN8UjQ5kjSx7TtFpFiFzcZOLujpmk1ZkQgwVWUkjDHDHWMgY6Gme6YwVMcTiDqbwdg8DNaAdvQpjqUqqd3m31vVdN7/AAIyhUpvUr22a7M4osWZZpS6piip6Z0vZUlPFI+Z08246Z52IboBzWix3VmWIjBWg7u1rvVZeBiNFyd5Kyve29+JNbKDYllWZUP9czxeP4kqucn9k+b/AEikyj23kv2yIXU4gi6AXQC6AXQC6AXQC6AXQC6AXQC6AXQC6AXQC6AXQC6AXQC6AXQC6AXQC6AXQC6AXQC6AXQC6AXQC6AXQHeI7JvKPej2GY7UbALmDqAgCAICqcqR+3s8Xj+JKrrJ3ZPn7IpMo9t5L9siF1OIIugF0AugF0BwXcaWMXGeN8LNmLoZ43wlmLoArAuc3QyLoDjO40MXGdxoLnN0Mi6AXQHGdxoYuM7jQXGdxoLnN0MnGchi4zuNBcZ3GguM7jQXGdxoLjO40FxdDJzdALoBdALoBdALoDtEdk3lHvWHsMx2o2DXMHUBAEAQFT5VD9vZ4vH8SVXWTuyfP2RSZR7Zcl+2Q+6nEAXQC6AXQC6AuXEihYMHU2dGwlzS8ktBOycXD2EKhxc300tZ0GEiuhjq7jOdhx8HH6LepR86W8kZq3DsOPg4/Rb1JnS3jNW4qHKFIDhGVrQAI2xssAAO1DjteH7Fd4JPoU333KPHNOs0u6xHLqWQyUZPsCdk1WqSNBhp7PeCLhzz2jePdJ5BvqHja3RwstrJuBo9JUu9i/Zaf0TT97werj6lTdLPif5Lro4bkPomn73g9XH1J0s+J/kdHDciqcodK2KvcGNa1ro43gNAa3aLToHG1XWBk5Udb72UmOio1tS7kRq6lkM5aCSGtF3OIa0bpJ0AedNmtjW9SLywbgCCOGKIwwuMbGsc50bC5xAALiSNsnSudnXnKTld6zpKdCEYqNth9H0TT97werj6l46WfE/ye+jhuQOCafveD1cfUnSz4n+R0cNyKar7Vde5sLWtbPKIogwBoDbhodYcQzvOr+H0qN5dyOfn9ataPe7fP2XHFgamDQ0U8NmgAXjYTo3zZULqzf8A0y/VKC7kdvomn73g9XH1LHSz4n+TPRw3IfRNP3vB6uPqTpZ8T/I6OG5D6Jp+94PVx9SdLPif5HRw3IfRNP3vB6uPqTpZ8T/I6OG5D6Jp+94PVx9SdLPif5HRw3I8p8X6R/bUtOf+tgPnAXpV6q2Sf5PMqFKW2K/BgMKZPKWQEwF8L9yxMkd+NrjfzEKTTx9SP3ayLUyfSl9ur5uK+w/i/PRutM0FhNmSMuY3cV9w8R9qtKOIhVX+fwVdbDzov/WzeYm63GgXQC6AXQHaI7JvK33rD2HqO1Gwy5g6gIAgCAqXKsft8fi8fxJVdZO7J8/ZFHlLtVy92Q26nkAXQC6AXQAuWQ2X7gCHMpKZncwxA8uYLrma0s6pJ+LOnoxzacV4I+9azYCgKGxmqdUrqp+/LIByNOaPY0LpMPHNpRXgc1iJZ1WT8f8AwxrASQALkkBoG2SdAAW16tZpV3qReeKmBhSUscOjPOzmI3ZHbfm0AcQC53EVulqOX45HSYaiqVNR/PMzC0G8ICq8rMdqqB/dxFvovPzK5ya702vEpspq04vwIPdWBWkjxAoNWwhFcbGG87vJ7T8xb5lFxtTMovx1EvBU8+svDWXSqA6AIDA474S7HoZng2e8ajHv5z9FxyC55lIwtPpKqXmRsXU6Oi35fkgmSzB2qVbpiNjTM2Phvu0flD/YrLKFTNp5u8rcnU86o5bvctlUpdhAEAQBAEAQBAeFZSMljdFK0OY8Wc07R/8At9eoycXdbTzKKkrSWopPGvAbqOpMWkxu2cLj+Ju8f7htHmO6ugw1dVoZ3f3nPYmg6M83u7jDXW8ji6AXQHeE7JvhN96w9jMx2o2JXLnVBAEAQFR5Wf8AXx+Lx/ElV3k3snz9kUWU+1XL3ZC7qeV4ugF0AugOdvRv6EBNRlBr2gDUIQALC8Uw0Dy1X9QoP/p/lFl1/EL/AJX4Z1OUqt3Y6bnjl+dZ0dR3s86Srbl+Gddc2s7il9CT+RZ0bS8fnkY0nW3L1/pD5JCSXHbcS48pNypyVlYgt3d2fTgvCBgmZOxrHPjOc0SAlt9wkAjSNteKkFUi4vv3HqnVdOSku7eSkZTazg6X0Jf5FD0bS3v55E3SdXcvX+nOubWcHSehN/ImjaW9/PIaTrbl+H/Rrm1nBUnoTfyJo2lvfzyGk625fh/0wmMeMstaYzOyJpizg3U2vbfOte+c49yFIoYaNG+a3r3keviZ1rZyWrcYW63kczOLmMktEZHQshc6UNDjK17iA2+gZrhbb9gWivho1rZzercSKGJlRvmpa95nNc2s4Ok9Cb+RR9G0t7+eRI0nW3L1/o1zazg6T0Jv5E0bS3v55DSdbcvX+mHxixsnrWsZMImtjJeBE17bki1znOO0L+crdQwsKLbjfXvNFfFzrJKVtW474vY3T0Ubo4I4CHuz3GRsjnE2AtcPAto3t0pXwkKzvJv55GaGMnRjmxS+eZldc2s4Ok9Cb+RadG0t7+eRu0nW3L1/o1zazg6T0Jv5E0bS3v55DSdbcvX+jXNrODpPQm/kTRtLe/nkNJ1ty9f6Nc2s4Ok9Cb+RNG0t7+eQ0nW3L1/oGU6s3YqX0Jh/7FjRtLe/nkZ0nV3L1/pIMA5SIpXCOqj1Eu0B4dnRX/u0XZ7RvkKNWyfKKvB3/ZKo5RhN2mrfonQKriyOUAQEQyn4OElCZQNnTOEg381xDXjk0g+Sp2AqZtXN3/EQcoU86lnbvjKeurwoBdALoDvCdk3wm+8LD2M9R2rmbGrljqwgCAICocrZ+3x+Lx/ElV3k3sXz9kUWU+1XL3ZCs5WBXXGcguM5BcZyC5kMXY8+tpGd1PDfkzxf2LVXdqUn4M3YdZ1WK8UbBBcydQcFoO2AgMNje5sdBVvzW3ETwDYbbhmj2lb8MnKrFeJoxLzaUn4FF08TnvbGwXe8hjANskmwC6NtRV3sOZinJqK2l5YGxWpoaeOF8EMjmtGe98bHOc46XG5F7XJtxLnauJqTm5JteZ0tLDU4QUbJn0Oxbozt0lN6qPqXnrFXif5PTw9J7YL8Hk7FOhP+zg5mAe5ZWKrL/tmOq0eBfg8nYl0B/wBrHzF49xXrrlbiZ5eDoP8A4REcouLNNTUrJqaEMdqrWuIc83aWu0WJ3wFNwOJqVKmbN31EHH4anTp50I21lcjToA0nQFalRtLdpMnFJqUeqiXVc1uqFryBnW2VhuaVRyyhVzna1i+jk6jmq618zs7JpRbjqgeW39WppGt4GdG0fH8njJkxpLX1aoAGk7KK3tavSylV3L55nl5Mo72VnSUgmqWwQ5xbLLqcZdbOzS6wc7jtpKtpTzIZ0u5FNGGfUzI979Cw3ZLI9yqk52MP6qr0nLhRbaLhxM8n5KxuVh54h8y9aT/+PU86LXH6Hk7JW/crG88JH71nSa4PX/w86LfH6f8Ap8GFsnckEMs7qqIsiaXnYPBNtwadsnRzrbTygpyUVHaa6mTnCLk57PAhF1YFbcZyC4uguXFkvwo6aiMbyS6mdqYJ28wgFnm0jmVFlCkoVbrvL/J9VzpWfdqJioJPCAxWNTAaCsB4CY+ZhIW7Du1WPNGnEK9KXJlA5y6U5a4zkM3Gcgud4Ds2+E33hYexmYfcjZBcqdaEAQBAU/ld+8I/F4/iSq8yb2T5+yKHKnarl7shN1YFaLoBdALoCRZPY87ClKN4vcfJjeR7QFFxrtQl87yZgFevHz/Rei506QICI5UqjNwa9vCvjZ7c4/4Kbk+N6y8LkLKErUH4kYyUYDz5XVsg2MN2Q33XkbJ3MDbldxKXlGvZdGu/byIWTKF26j8i1VTl0EBjcB4WbUtlfH2kcr4Wnusy2y5CSeay21aTptJ96ua6dRVE2t9jJLUbCK5TYs7Bkx7h0T/ztH6qZgHauvMh49XoS+d5WWImDtXwhAwi7WHVn8jNI87s0c6tsZUzKLe/UU2Cp59ZeGsvdc6dKEBGsoWE9QwfMQbPm+oZ5d863khxUrBU8+svDWRMbV6Oi3v1EFyT4O1SsfORsaZmjw33aPyh6scpVLU1HeVuTKWdUc9xb6pC9CAICB5W8J5lLHTA7KofnO8COx/yLfMVY5Np3qOe4rcp1M2nm7ypbq7KEXQC6AtTI7CRBUybjpGNHktuf8wqbKb/ANxXgXmS19NvxLCVYWgQGCx4qdTwbVuP4ozGOWSzB/kpGEjnVorxI+Llm0ZN7ihrrpDlxdALoDvAdmzwm+9YlsZ7h9yNk1yh1oQBAEBT2V37wj8Xj+JKrzJvZPn7IocqdquXuyEqwK0IAgCAmeSaLOwiTwcMjvzMb+4qBlF2o+ZZZMV6r5FyKiL4ICA5VWPlFFSRC8k8ri0cgDbniGeSeRWOT2o583sSK3KKc1GmtrZMMC4NZTU8VPH2sTQ2+647bnHjJuedQqtR1JuT7ydSpqnBRXcfctZsIxlBw52LRPzDaae8MW+LjZv5hfnIUvBUelqq+xa2RMbW6Kk2tr1Iw2R2X7LUM7mUO9JjR+0rflNfUT8CPkt/Ta8SwFWlmYXHSLOwdWD/AInu9EZ36LfhXatHmaMSr0ZcmRHI9g6zKiqI7YiBnI3ZP5iS30VNynU1xh5kDJdO0XPyLIVWWwQFTZXcKZ9RFStOiFue/ez37V+RoHpK5ybTtBzfeUmVKt5KG7WSvJjg3UcHseRsqhxmPg7TOawB8pQ8fUz61t2onYCnmUV46yXKETQgBQFH5RsJ6vhGUA3ZBaBu9dt8/wDMXDmC6DA08yivHWc7lCrn1mt2ojCmEEIDljC4hrQS5xDWgaSSdAAG+sNpa2ZSbdkX9ilgjsSjhgPbgZ0tu7dpd5trmXN4ir0tRyOow9LoqaiZhaDeEBXWWDClooKRp2UjtWk8FuhoPEXEnyFZ5Mp3k57tXz53lXlOraChvKtVyUYQBAd4O3Z4TfesS2M9w+5Gyi5Q60IAgCAp3K+f/wBCPxeP4kqvMm9k+fsiiyp2q5e7IRdWBWi6AXQC6AsXI1Feark7lkbPSc4/sVXlR/5ii2yUtcnyLUVOXIQGMkwYH1ral4B1GIxwjec8kyO5bBo5ytqqWp5i73rNbgnPOfcjJrUbAgKMyg4c7KrX5pvDBeGLeNjs3859gauhwVHo6avtes53HVukqWWxaiR5GZtlWR8UTx53g+8KJlRfa+ZLyU/uXItBVJbny4Vhz6eaM/jjkZ52kfqvUHaSfieZq8Wj4cUMG9j0NPCRZwYHSeG/ZP8Aa4jmWzEVOkqyka8PT6OmomYWk3HSWQNaXONg0FxO4ANJKJX1Buxr/O99fhAkXzquazd0ta51m+i23mXSq1CjyRzMr16/Nl/00LWMbGwWawBjQNwNFgPMFzbbk7s6VJJWR6LBkID4cOYQFPTTVDv6THOAO678LeckDnWylDPmorvPFWahByfca6vkLiXOJLnEucTtknSSV06VlZHKSd3dnF1kwLoLFo5OsTHMc2tq22eNNPG7bbf+o8d1vDc29u1qfG4xS+nB6u9+xdYHB5v1JrX3IshVZahAedTO2NjpHkNYwF7ydoAC5JWYpydkYbSV2a/Yy4YdV1UtQbgONowfwsGho82k8ZK6WhSVKmonMYmt0tRy+WMXdbjQLoBdAelOdmzwm+9YlsZ6h9yNlVyh1oQBAEBTuV/7wj8Xj+JMrzJvZPn7Io8p9quXuyD3VgVougF0AugLWyNQ/Z6qTupWs9Fl/wB6pspv/cV4F3kuP02/EsRVhZhAEAQEZygYd7FonlptNN9TFvgkbJ3ML89lKwdHpalnsW0i4yt0VNtbXqRRa6I5snWSCe1bKzu4XH0Xs6yq7Ka+mn4lnkuX1GvAuBUhdhAEAQEUyl4U1DB8gB2dQRA3kdcv/KHecKZgaefWXhrImNq5lF73qITkkwbqlY+oI2NMzR4cl2j8uf7FPyjUzaajvK7JlK83N9xcKpC8CAICFZUmzyUsdPTwyyao/Ol1Njn2azSAbb7iD5KnYBwjUcptK2wg49TlTzYJu5WkWKde7ao5/Kbmf5K2eKor/tFQsHWf/JlsG5OK6QjVGxwt3TI4Odbiay/tIWmeUKMdms3U8nVZfdqLAxaxFpqQiQ3lnG0+QCzT/YzaHLpPGqyvjalXVsRZ0MFTpa9r3kqUQmBAEBVWU/GwPJoad12NP2lw2nOH9MHeB2+PRuFXGAwtvqSXL+lPlDFX+nF8/wCFdXVoVIugF0AugO9Odmzwm+9YlsZ6p/cjZdcodYEAQBAU5lg+8I/Fo/iTK8yb2T5+yKPKfarl7sgysCtCAIAhkujJNBm4NDuElkf5rM/YqHKDvW8i/wAnxtRRNFBJwQBAcFAUblFw52VWuDDeKnvDHvEg7N3ORbkaF0GCo9HTu9r1nPY6t0lSy2IiymEIleTCbNwpCOEbKz8hd+1Qser0H5E7J8rVkt5eKoDoAgCAICnsrmFNUq46cHY0zLu8OSxN+RoZ5yrvJtO1Nzff+ikylUvNQXcTPJfgzUcHseRs6lxnPgnQz8oB8pQcfUz6zW7UT8DTzKK8dZLlCJgQBAEAQBAEAQBAVtj/AI+BodSUT9mbtmladDN9kZ7rfdubmnatMHgr/wC6i5Iq8Zjc3/FN6+9/O8qxXBTBDAQBAEB6U/bs8JvvXmWxnuH3I2YXKnVhAEAQFN5YPvCPxaP4kyvMm9k+fsikyn2q5f0g6sCtCAIAgL6yew5mC6Qb7XSem9zv1XOYx3rSOlwkc2jFEiUYkBAEBGsoGHexKJ7mm0031MO+C4bJ3M255bb6lYOj0tVJ7FrZGxdboqba29xQ66I5s5QGbxImzMJUbv8AlDfSBb+5R8Wr0ZciVg3atE2BXNnRhAEB51M7Y2PkebMY1z3HeDRcnzBZSbdkYbSV2a9bOurt3Pq5uXNz3e5o9gXS6qNLkjm9detzZsLTwhjGxtFmsAY0bwAsAuabbd2dIlZWPRYMhAEAQBAEAQGPwxhqClZqlRK1g3AdL3cTWjS7mWynSnUdoq5rqVYU1eTsVRjblBlqc6GmDooDoJv9bIP7iO1HEPPuK4w+BjT/ANT1v0KfE4+U/wDMNS9SFKwK4IAgCAIAgO9P27PCb71iWxnuH3I2ZXKHVBAEAQFNZYfvCPxaP4kyvMm9k+fsikyl2i5f0gysCuCAIAgLlwFj1g6Glp4XVDs6KKON31U50taAdpu+FRVcHXnOUlHa33ovqWLoxgo52xbj7tcXBvfDvU1Hyrx1Cvw+qNnXaHF6Ma4uDe+HepqPlTqFfh9UOu0OL0Y1xcG98O9TUfKnUK/D6ox12hxejKzygYxCtqs6Ik08LcyG4Lb3sXvsdIubDkaFa4PDujDXte0qsZXVWerYiMKWQwgPqwVUiOoglOgRSxSHd0NeCfcvFSOdBx3pmylJRmpPuZdOuLg3vh3qaj5VRdQr8Pqi967Q4vRjXFwb3w71NR8qdQr8PqjPXaHF6Ma4uDe+HepqPlTqFfh9UOu0OL0Zgcd8e6WailgpJXOkmzWHYSssy93m7gBpAt5SkYXBVI1VKa1Ij4rGU5U3GD1sh+T+vpqes7Iq35rY2O1KzHvu92x/CDazS7zqbjIVKlPNgtpBwU6cKmdNlna4uDe+HepqPlVV1Cvw+qLbrtDi9GNcXBvfDvU1Hyp1Cvw+qHXaHF6Ma4uDe+HepqPlTqFfh9UOu0OL0Y1xcG98O9TUfKnUK/D6oddocXoxri4N74d6mo+VOoV+H1Q67Q4vRnByjYN4dx/6Z/lTqFfh9UY69Q4jH1mVOkb/AOKOeQ7mhsbfOTf2LZHJtV7Wka5ZRpLZdkVwtlOq5QWwNjgad0fWyek4W/KplPJ1OP3O/p8/JDqZRqS+1W9SGVVS+R5kle973bbnuLnHnKnRioqyViBKcpO8nc8l6PIQBAEAQBAEB6U/bs8JvvWJbGeofcjZpcodUEAQBAU1lj+8YvFo/iTK8yb2T5+yKXKXaLl/SCqwK4IAgCAIAgCAIAgCAIAgCAIAgCAIAgCAIAgCAIAgCAIAgCAIAgCAIAgPSn7dnhN94XmWxnqH3I2bXKnUhAEAQFM5Y/vGLxaP4kyvMm9k+fsilyl2i5f0gt1YFeLoBdALoBdALoBdALoBdALoBdALoBdALoBdALoBdALoBdALoBdALoBdALoBdALoBdALoBdALoBdALoBdAelOdmzwm+8LzLYz1D7kbOLlTqAgCAICmssjT9IROtoNOwDmklv7wrvJj+k+fsimyj2i5EDViVwQBAEAQBAEAQBAEAQBAEAQBAEAQBAEAQBAEAQBAEAQBAEAQBAEAQBAe1GwuljaNtz2NHKXABeZu0We6f3LmbNrlTpwgCAICDZVcX3VFM2oiaTLS5xLRtujdbOtvkWB5LqfgK6pzzXsf7IOOoucLraillelIEMBAEAQBAEAQBAEAQBAEAQBAEAQBAEAQBAEAQBAEAQBAEAQBAEAQBATLJji+6orGzuadQpXCRxO06QaWMG+b2ceIcYUHHV1Tp5q2v9E7A0XOec9iLvCoS8OUAQBAcFAQPG3J3TzZ9RC4wSaXvDWh8Tjtk5lxmk8RtxKww+OnC0Za0Qa+ChP/S1Mp+qhzHuZe+aSL7V1dRldXKacc2TR5L0eAgCAIAgCAIAgCAIAgCAIAgCAIAgCAIAgCAIAgCAIAgCAIAgCAnmJGIcdWwTzTPEYteNjQHHizydA0b3mVdisa6bzYossNg4zSlJlu4OoIoImwwMDI2aGtbtcZO+Tuk6Sqac5TlnSd2W0YKKtFaj6V5PQQBAEB//2Q=="/>
        <xdr:cNvSpPr>
          <a:spLocks noChangeAspect="1" noChangeArrowheads="1"/>
        </xdr:cNvSpPr>
      </xdr:nvSpPr>
      <xdr:spPr bwMode="auto">
        <a:xfrm>
          <a:off x="225323" y="159774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0" zoomScaleNormal="80" zoomScalePageLayoutView="80" workbookViewId="0">
      <selection activeCell="F35" sqref="F35"/>
    </sheetView>
  </sheetViews>
  <sheetFormatPr defaultColWidth="8.77734375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showGridLines="0" zoomScale="77" zoomScaleNormal="77" zoomScalePageLayoutView="77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D21" sqref="D21"/>
    </sheetView>
  </sheetViews>
  <sheetFormatPr defaultRowHeight="14.4" x14ac:dyDescent="0.3"/>
  <cols>
    <col min="1" max="1" width="3.44140625" style="142" customWidth="1"/>
    <col min="2" max="2" width="33.109375" customWidth="1"/>
    <col min="3" max="6" width="9.109375" customWidth="1"/>
    <col min="7" max="7" width="11" customWidth="1"/>
    <col min="8" max="8" width="10.33203125" bestFit="1" customWidth="1"/>
    <col min="9" max="9" width="11.109375" customWidth="1"/>
    <col min="10" max="10" width="10.44140625" customWidth="1"/>
    <col min="11" max="11" width="8.77734375"/>
    <col min="12" max="12" width="8.77734375" style="311"/>
    <col min="13" max="13" width="8.77734375"/>
    <col min="14" max="14" width="8.77734375" style="350" customWidth="1"/>
  </cols>
  <sheetData>
    <row r="1" spans="1:14" s="142" customFormat="1" x14ac:dyDescent="0.3">
      <c r="A1" s="140"/>
      <c r="B1" s="359"/>
      <c r="C1" s="369"/>
      <c r="D1" s="369"/>
      <c r="E1" s="369"/>
      <c r="F1" s="369"/>
      <c r="G1" s="369"/>
      <c r="H1" s="373"/>
      <c r="I1" s="140"/>
      <c r="N1" s="149"/>
    </row>
    <row r="2" spans="1:14" x14ac:dyDescent="0.3">
      <c r="A2" s="140"/>
      <c r="B2" t="s">
        <v>168</v>
      </c>
      <c r="C2">
        <v>2011</v>
      </c>
      <c r="D2">
        <v>2012</v>
      </c>
      <c r="E2">
        <v>2013</v>
      </c>
      <c r="F2">
        <v>2014</v>
      </c>
      <c r="G2" t="s">
        <v>169</v>
      </c>
      <c r="H2" t="s">
        <v>170</v>
      </c>
      <c r="I2" t="s">
        <v>171</v>
      </c>
      <c r="J2" t="s">
        <v>172</v>
      </c>
      <c r="K2">
        <v>2015</v>
      </c>
      <c r="L2" s="420" t="s">
        <v>309</v>
      </c>
    </row>
    <row r="3" spans="1:14" x14ac:dyDescent="0.3">
      <c r="A3" s="140"/>
      <c r="B3" t="s">
        <v>173</v>
      </c>
      <c r="L3" s="420"/>
    </row>
    <row r="4" spans="1:14" x14ac:dyDescent="0.3">
      <c r="A4" s="140"/>
      <c r="B4" s="1" t="s">
        <v>174</v>
      </c>
      <c r="C4" s="1"/>
      <c r="D4" s="1"/>
      <c r="E4" s="1"/>
      <c r="F4" s="1"/>
      <c r="G4" s="1"/>
      <c r="H4" s="1"/>
      <c r="I4" s="1"/>
      <c r="J4" s="1"/>
      <c r="K4" s="1"/>
      <c r="L4" s="421"/>
    </row>
    <row r="5" spans="1:14" x14ac:dyDescent="0.3">
      <c r="A5" s="140"/>
      <c r="B5" t="s">
        <v>0</v>
      </c>
      <c r="C5">
        <v>3490</v>
      </c>
      <c r="D5">
        <v>3208</v>
      </c>
      <c r="E5">
        <v>4309</v>
      </c>
      <c r="F5">
        <v>4804</v>
      </c>
      <c r="G5" s="86">
        <v>5159</v>
      </c>
      <c r="H5" s="86">
        <v>4902</v>
      </c>
      <c r="I5" s="86">
        <v>4812</v>
      </c>
      <c r="J5">
        <f>K5</f>
        <v>5024</v>
      </c>
      <c r="K5">
        <v>5024</v>
      </c>
      <c r="L5" s="424">
        <v>5081</v>
      </c>
    </row>
    <row r="6" spans="1:14" x14ac:dyDescent="0.3">
      <c r="A6" s="140"/>
      <c r="B6" t="s">
        <v>175</v>
      </c>
      <c r="C6">
        <v>0</v>
      </c>
      <c r="D6">
        <v>0</v>
      </c>
      <c r="E6">
        <v>0</v>
      </c>
      <c r="F6">
        <v>2840</v>
      </c>
      <c r="G6">
        <v>222</v>
      </c>
      <c r="H6">
        <v>241</v>
      </c>
      <c r="I6">
        <v>228</v>
      </c>
      <c r="J6" s="4">
        <f t="shared" ref="J6:J37" si="0">K6</f>
        <v>262</v>
      </c>
      <c r="K6">
        <v>262</v>
      </c>
      <c r="L6" s="420">
        <v>347</v>
      </c>
    </row>
    <row r="7" spans="1:14" x14ac:dyDescent="0.3">
      <c r="A7" s="140"/>
      <c r="B7" t="s">
        <v>1</v>
      </c>
      <c r="C7">
        <v>1206</v>
      </c>
      <c r="D7">
        <v>2364</v>
      </c>
      <c r="E7">
        <v>1793</v>
      </c>
      <c r="F7">
        <v>1989</v>
      </c>
      <c r="G7">
        <v>1915</v>
      </c>
      <c r="H7">
        <v>1880</v>
      </c>
      <c r="I7">
        <v>1696</v>
      </c>
      <c r="J7" s="4">
        <f t="shared" si="0"/>
        <v>1532</v>
      </c>
      <c r="K7">
        <v>1532</v>
      </c>
      <c r="L7" s="423">
        <v>1616</v>
      </c>
    </row>
    <row r="8" spans="1:14" x14ac:dyDescent="0.3">
      <c r="A8" s="140"/>
      <c r="B8" t="s">
        <v>176</v>
      </c>
      <c r="C8">
        <v>577</v>
      </c>
      <c r="D8">
        <v>1210</v>
      </c>
      <c r="E8">
        <v>1188</v>
      </c>
      <c r="F8">
        <v>1226</v>
      </c>
      <c r="G8">
        <v>1272</v>
      </c>
      <c r="H8">
        <v>1282</v>
      </c>
      <c r="I8">
        <v>1322</v>
      </c>
      <c r="J8" s="4">
        <f t="shared" si="0"/>
        <v>1368</v>
      </c>
      <c r="K8">
        <v>1368</v>
      </c>
      <c r="L8" s="423">
        <v>1260</v>
      </c>
    </row>
    <row r="9" spans="1:14" x14ac:dyDescent="0.3">
      <c r="A9" s="140"/>
      <c r="B9" t="s">
        <v>2</v>
      </c>
      <c r="C9">
        <v>214</v>
      </c>
      <c r="D9">
        <v>359</v>
      </c>
      <c r="E9">
        <v>308</v>
      </c>
      <c r="F9">
        <v>417</v>
      </c>
      <c r="G9">
        <v>422</v>
      </c>
      <c r="H9">
        <v>355</v>
      </c>
      <c r="I9">
        <v>371</v>
      </c>
      <c r="J9" s="4">
        <f t="shared" si="0"/>
        <v>331</v>
      </c>
      <c r="K9">
        <v>331</v>
      </c>
      <c r="L9" s="420">
        <v>351</v>
      </c>
    </row>
    <row r="10" spans="1:14" x14ac:dyDescent="0.3">
      <c r="A10" s="140"/>
      <c r="B10" t="s">
        <v>3</v>
      </c>
      <c r="C10">
        <v>5487</v>
      </c>
      <c r="D10">
        <v>7141</v>
      </c>
      <c r="E10">
        <v>7598</v>
      </c>
      <c r="F10">
        <v>8720</v>
      </c>
      <c r="G10">
        <v>8990</v>
      </c>
      <c r="H10">
        <v>8660</v>
      </c>
      <c r="I10">
        <v>8429</v>
      </c>
      <c r="J10" s="4">
        <f t="shared" si="0"/>
        <v>8517</v>
      </c>
      <c r="K10">
        <v>8517</v>
      </c>
      <c r="L10" s="423">
        <v>8655</v>
      </c>
    </row>
    <row r="11" spans="1:14" x14ac:dyDescent="0.3">
      <c r="A11" s="140"/>
      <c r="B11" t="s">
        <v>177</v>
      </c>
      <c r="C11">
        <v>2224</v>
      </c>
      <c r="D11">
        <v>4067</v>
      </c>
      <c r="E11">
        <v>3700</v>
      </c>
      <c r="F11">
        <v>3293</v>
      </c>
      <c r="G11">
        <v>3202</v>
      </c>
      <c r="H11">
        <v>3099</v>
      </c>
      <c r="I11">
        <v>3051</v>
      </c>
      <c r="J11" s="4">
        <f t="shared" si="0"/>
        <v>2965</v>
      </c>
      <c r="K11">
        <v>2965</v>
      </c>
      <c r="L11" s="423">
        <v>2890</v>
      </c>
    </row>
    <row r="12" spans="1:14" x14ac:dyDescent="0.3">
      <c r="A12" s="140"/>
      <c r="B12" t="s">
        <v>4</v>
      </c>
      <c r="C12">
        <v>151</v>
      </c>
      <c r="D12">
        <v>1975</v>
      </c>
      <c r="E12">
        <v>1954</v>
      </c>
      <c r="F12">
        <v>2559</v>
      </c>
      <c r="G12">
        <v>2559</v>
      </c>
      <c r="H12">
        <v>2566</v>
      </c>
      <c r="I12">
        <v>2745</v>
      </c>
      <c r="J12" s="4">
        <f t="shared" si="0"/>
        <v>2766</v>
      </c>
      <c r="K12">
        <v>2766</v>
      </c>
      <c r="L12" s="423">
        <v>2766</v>
      </c>
    </row>
    <row r="13" spans="1:14" x14ac:dyDescent="0.3">
      <c r="A13" s="140"/>
      <c r="B13" t="s">
        <v>178</v>
      </c>
      <c r="C13">
        <v>71</v>
      </c>
      <c r="D13">
        <v>799</v>
      </c>
      <c r="E13">
        <v>605</v>
      </c>
      <c r="F13">
        <v>454</v>
      </c>
      <c r="G13">
        <v>406</v>
      </c>
      <c r="H13">
        <v>359</v>
      </c>
      <c r="I13">
        <v>400</v>
      </c>
      <c r="J13" s="4">
        <f t="shared" si="0"/>
        <v>332</v>
      </c>
      <c r="K13">
        <v>332</v>
      </c>
      <c r="L13" s="420">
        <v>319</v>
      </c>
    </row>
    <row r="14" spans="1:14" x14ac:dyDescent="0.3">
      <c r="A14" s="140"/>
      <c r="B14" t="s">
        <v>5</v>
      </c>
      <c r="C14">
        <v>185</v>
      </c>
      <c r="D14">
        <v>224</v>
      </c>
      <c r="E14">
        <v>179</v>
      </c>
      <c r="F14">
        <v>473</v>
      </c>
      <c r="G14">
        <v>495</v>
      </c>
      <c r="H14">
        <v>455</v>
      </c>
      <c r="I14">
        <v>551</v>
      </c>
      <c r="J14" s="4">
        <f t="shared" si="0"/>
        <v>601</v>
      </c>
      <c r="K14">
        <v>601</v>
      </c>
      <c r="L14" s="420">
        <v>631</v>
      </c>
    </row>
    <row r="15" spans="1:14" x14ac:dyDescent="0.3">
      <c r="A15" s="140"/>
      <c r="B15" s="3" t="s">
        <v>6</v>
      </c>
      <c r="C15" s="212">
        <v>8118</v>
      </c>
      <c r="D15" s="212">
        <v>14206</v>
      </c>
      <c r="E15" s="212">
        <v>14036</v>
      </c>
      <c r="F15" s="212">
        <v>15499</v>
      </c>
      <c r="G15" s="212">
        <v>15652</v>
      </c>
      <c r="H15" s="212">
        <v>15139</v>
      </c>
      <c r="I15">
        <v>15176</v>
      </c>
      <c r="J15" s="4">
        <f t="shared" si="0"/>
        <v>15181</v>
      </c>
      <c r="K15">
        <v>15181</v>
      </c>
      <c r="L15" s="423">
        <v>15261</v>
      </c>
    </row>
    <row r="16" spans="1:14" x14ac:dyDescent="0.3">
      <c r="A16" s="140"/>
      <c r="B16" s="1" t="s">
        <v>7</v>
      </c>
      <c r="C16" s="1"/>
      <c r="D16" s="1"/>
      <c r="E16" s="1"/>
      <c r="F16" s="1"/>
      <c r="G16" s="1"/>
      <c r="H16" s="1"/>
      <c r="I16" s="1"/>
      <c r="J16" s="1"/>
      <c r="K16" s="1"/>
      <c r="L16" s="421"/>
    </row>
    <row r="17" spans="1:20" x14ac:dyDescent="0.3">
      <c r="A17" s="140"/>
      <c r="B17" t="s">
        <v>179</v>
      </c>
      <c r="C17">
        <v>1545</v>
      </c>
      <c r="D17">
        <v>2773</v>
      </c>
      <c r="E17">
        <v>1990</v>
      </c>
      <c r="F17">
        <v>1971</v>
      </c>
      <c r="G17">
        <v>2016</v>
      </c>
      <c r="H17">
        <v>2071</v>
      </c>
      <c r="I17">
        <v>2020</v>
      </c>
      <c r="J17" s="4">
        <f t="shared" si="0"/>
        <v>1881</v>
      </c>
      <c r="K17">
        <v>1881</v>
      </c>
      <c r="L17" s="423">
        <v>1799</v>
      </c>
    </row>
    <row r="18" spans="1:20" x14ac:dyDescent="0.3">
      <c r="A18" s="140"/>
      <c r="B18" t="s">
        <v>180</v>
      </c>
      <c r="C18">
        <v>0</v>
      </c>
      <c r="D18">
        <v>25</v>
      </c>
      <c r="E18">
        <v>706</v>
      </c>
      <c r="F18">
        <v>758</v>
      </c>
      <c r="G18">
        <v>772</v>
      </c>
      <c r="H18">
        <v>0</v>
      </c>
      <c r="I18">
        <v>0</v>
      </c>
      <c r="J18" s="4">
        <f t="shared" si="0"/>
        <v>0</v>
      </c>
      <c r="K18">
        <v>0</v>
      </c>
      <c r="L18" s="420">
        <v>0</v>
      </c>
    </row>
    <row r="19" spans="1:20" x14ac:dyDescent="0.3">
      <c r="A19" s="140"/>
      <c r="B19" t="s">
        <v>181</v>
      </c>
      <c r="C19">
        <v>349</v>
      </c>
      <c r="D19">
        <v>457</v>
      </c>
      <c r="E19">
        <v>480</v>
      </c>
      <c r="F19">
        <v>412</v>
      </c>
      <c r="G19">
        <v>433</v>
      </c>
      <c r="H19">
        <v>496</v>
      </c>
      <c r="I19">
        <v>503</v>
      </c>
      <c r="J19" s="4">
        <f t="shared" si="0"/>
        <v>470</v>
      </c>
      <c r="K19">
        <v>470</v>
      </c>
      <c r="L19" s="420">
        <v>528</v>
      </c>
    </row>
    <row r="20" spans="1:20" x14ac:dyDescent="0.3">
      <c r="A20" s="140"/>
      <c r="B20" t="s">
        <v>182</v>
      </c>
      <c r="C20">
        <v>0</v>
      </c>
      <c r="D20">
        <v>376</v>
      </c>
      <c r="E20">
        <v>453</v>
      </c>
      <c r="F20">
        <v>460</v>
      </c>
      <c r="G20">
        <v>438</v>
      </c>
      <c r="H20">
        <v>451</v>
      </c>
      <c r="I20">
        <v>398</v>
      </c>
      <c r="J20" s="4">
        <f t="shared" si="0"/>
        <v>330</v>
      </c>
      <c r="K20">
        <v>330</v>
      </c>
      <c r="L20" s="420">
        <v>336</v>
      </c>
    </row>
    <row r="21" spans="1:20" x14ac:dyDescent="0.3">
      <c r="A21" s="140"/>
      <c r="B21" t="s">
        <v>183</v>
      </c>
      <c r="C21">
        <v>132</v>
      </c>
      <c r="D21">
        <v>171</v>
      </c>
      <c r="E21">
        <v>114</v>
      </c>
      <c r="F21">
        <v>119</v>
      </c>
      <c r="G21">
        <v>134</v>
      </c>
      <c r="H21">
        <v>146</v>
      </c>
      <c r="I21">
        <v>156</v>
      </c>
      <c r="J21" s="4">
        <f t="shared" si="0"/>
        <v>150</v>
      </c>
      <c r="K21">
        <v>150</v>
      </c>
      <c r="L21" s="420">
        <v>141</v>
      </c>
      <c r="M21" s="285"/>
      <c r="N21" s="367"/>
      <c r="O21" s="285"/>
      <c r="P21" s="285"/>
      <c r="Q21" s="285"/>
      <c r="R21" s="285"/>
      <c r="S21" s="285"/>
      <c r="T21" s="285"/>
    </row>
    <row r="22" spans="1:20" x14ac:dyDescent="0.3">
      <c r="A22" s="140"/>
      <c r="B22" t="s">
        <v>184</v>
      </c>
      <c r="C22">
        <v>0</v>
      </c>
      <c r="D22">
        <v>0</v>
      </c>
      <c r="E22">
        <v>0</v>
      </c>
      <c r="F22">
        <v>255</v>
      </c>
      <c r="J22" s="4">
        <f t="shared" si="0"/>
        <v>255</v>
      </c>
      <c r="K22">
        <v>255</v>
      </c>
      <c r="L22" s="427">
        <v>255</v>
      </c>
      <c r="M22" s="285"/>
      <c r="N22" s="367"/>
      <c r="O22" s="285"/>
      <c r="P22" s="285"/>
      <c r="Q22" s="285"/>
      <c r="R22" s="285"/>
      <c r="S22" s="285"/>
      <c r="T22" s="285"/>
    </row>
    <row r="23" spans="1:20" x14ac:dyDescent="0.3">
      <c r="A23" s="140"/>
      <c r="B23" t="s">
        <v>185</v>
      </c>
      <c r="C23">
        <v>144</v>
      </c>
      <c r="D23">
        <v>230</v>
      </c>
      <c r="E23">
        <v>230</v>
      </c>
      <c r="F23">
        <v>125</v>
      </c>
      <c r="G23">
        <v>125</v>
      </c>
      <c r="H23">
        <v>125</v>
      </c>
      <c r="I23">
        <v>141</v>
      </c>
      <c r="J23" s="4">
        <f t="shared" si="0"/>
        <v>156</v>
      </c>
      <c r="K23">
        <v>156</v>
      </c>
      <c r="L23" s="427">
        <v>172</v>
      </c>
      <c r="M23" s="285"/>
      <c r="N23" s="367"/>
      <c r="O23" s="285"/>
      <c r="P23" s="285"/>
      <c r="Q23" s="285"/>
      <c r="R23" s="285"/>
      <c r="S23" s="285"/>
      <c r="T23" s="285"/>
    </row>
    <row r="24" spans="1:20" x14ac:dyDescent="0.3">
      <c r="A24" s="140"/>
      <c r="B24" t="s">
        <v>8</v>
      </c>
      <c r="C24">
        <v>2170</v>
      </c>
      <c r="D24">
        <v>4032</v>
      </c>
      <c r="E24">
        <v>3973</v>
      </c>
      <c r="F24">
        <v>3845</v>
      </c>
      <c r="G24">
        <v>3918</v>
      </c>
      <c r="H24">
        <v>3289</v>
      </c>
      <c r="I24">
        <v>3218</v>
      </c>
      <c r="J24" s="4">
        <f t="shared" si="0"/>
        <v>3242</v>
      </c>
      <c r="K24">
        <v>3242</v>
      </c>
      <c r="L24" s="431">
        <v>3231</v>
      </c>
      <c r="M24" s="285"/>
      <c r="N24" s="367"/>
      <c r="O24" s="285"/>
      <c r="P24" s="285"/>
      <c r="Q24" s="285"/>
      <c r="R24" s="285"/>
      <c r="S24" s="285"/>
      <c r="T24" s="285"/>
    </row>
    <row r="25" spans="1:20" x14ac:dyDescent="0.3">
      <c r="A25" s="140"/>
      <c r="B25" t="s">
        <v>186</v>
      </c>
      <c r="C25">
        <v>150</v>
      </c>
      <c r="D25">
        <v>1955</v>
      </c>
      <c r="E25">
        <v>1725</v>
      </c>
      <c r="F25">
        <v>2313</v>
      </c>
      <c r="G25">
        <v>2281</v>
      </c>
      <c r="H25">
        <v>2250</v>
      </c>
      <c r="I25">
        <v>2203</v>
      </c>
      <c r="J25" s="4">
        <f t="shared" si="0"/>
        <v>2156</v>
      </c>
      <c r="K25">
        <v>2156</v>
      </c>
      <c r="L25" s="431">
        <v>2109</v>
      </c>
      <c r="M25" s="285"/>
      <c r="N25" s="367"/>
      <c r="O25" s="285"/>
      <c r="P25" s="285"/>
      <c r="Q25" s="285"/>
      <c r="R25" s="285"/>
      <c r="S25" s="285"/>
      <c r="T25" s="285"/>
    </row>
    <row r="26" spans="1:20" x14ac:dyDescent="0.3">
      <c r="A26" s="140"/>
      <c r="B26" t="s">
        <v>17</v>
      </c>
      <c r="C26">
        <v>310</v>
      </c>
      <c r="D26">
        <v>550</v>
      </c>
      <c r="E26">
        <v>445</v>
      </c>
      <c r="F26">
        <v>499</v>
      </c>
      <c r="G26">
        <v>490</v>
      </c>
      <c r="H26">
        <v>518</v>
      </c>
      <c r="I26">
        <v>529</v>
      </c>
      <c r="J26" s="4">
        <f t="shared" si="0"/>
        <v>564</v>
      </c>
      <c r="K26">
        <v>564</v>
      </c>
      <c r="L26" s="427">
        <v>585</v>
      </c>
    </row>
    <row r="27" spans="1:20" x14ac:dyDescent="0.3">
      <c r="A27" s="140"/>
      <c r="B27" t="s">
        <v>9</v>
      </c>
      <c r="C27">
        <v>2630</v>
      </c>
      <c r="D27">
        <v>6537</v>
      </c>
      <c r="E27">
        <v>6143</v>
      </c>
      <c r="F27">
        <v>6657</v>
      </c>
      <c r="G27">
        <v>6689</v>
      </c>
      <c r="H27">
        <v>6057</v>
      </c>
      <c r="I27">
        <v>5950</v>
      </c>
      <c r="J27" s="4">
        <f t="shared" si="0"/>
        <v>5962</v>
      </c>
      <c r="K27">
        <v>5962</v>
      </c>
      <c r="L27" s="424">
        <v>5925</v>
      </c>
    </row>
    <row r="28" spans="1:20" ht="13.5" customHeight="1" x14ac:dyDescent="0.3">
      <c r="A28" s="140"/>
      <c r="B28" s="141"/>
      <c r="C28" t="s">
        <v>187</v>
      </c>
      <c r="D28" t="s">
        <v>187</v>
      </c>
      <c r="E28" t="s">
        <v>187</v>
      </c>
      <c r="F28" t="s">
        <v>187</v>
      </c>
      <c r="G28" t="s">
        <v>187</v>
      </c>
      <c r="H28" t="s">
        <v>187</v>
      </c>
      <c r="I28" t="s">
        <v>187</v>
      </c>
      <c r="J28" s="4"/>
      <c r="L28" s="420"/>
    </row>
    <row r="29" spans="1:20" x14ac:dyDescent="0.3">
      <c r="A29" s="140"/>
      <c r="B29" s="1" t="s">
        <v>188</v>
      </c>
      <c r="C29" s="1"/>
      <c r="D29" s="1"/>
      <c r="E29" s="1"/>
      <c r="F29" s="1"/>
      <c r="G29" s="1"/>
      <c r="H29" s="1"/>
      <c r="I29" s="1"/>
      <c r="J29" s="1"/>
      <c r="K29" s="1"/>
      <c r="L29" s="421"/>
    </row>
    <row r="30" spans="1:20" x14ac:dyDescent="0.3">
      <c r="A30" s="140"/>
      <c r="B30" t="s">
        <v>189</v>
      </c>
      <c r="C30" t="s">
        <v>187</v>
      </c>
      <c r="D30" t="s">
        <v>187</v>
      </c>
      <c r="E30" t="s">
        <v>187</v>
      </c>
      <c r="F30" t="s">
        <v>187</v>
      </c>
      <c r="G30">
        <v>0</v>
      </c>
      <c r="H30">
        <v>0</v>
      </c>
      <c r="I30">
        <v>0</v>
      </c>
      <c r="J30" s="4">
        <f t="shared" si="0"/>
        <v>0</v>
      </c>
      <c r="K30">
        <v>0</v>
      </c>
      <c r="L30" s="424">
        <v>0</v>
      </c>
    </row>
    <row r="31" spans="1:20" x14ac:dyDescent="0.3">
      <c r="A31" s="140"/>
      <c r="B31" t="s">
        <v>190</v>
      </c>
      <c r="C31">
        <v>2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 s="4">
        <f t="shared" si="0"/>
        <v>3</v>
      </c>
      <c r="K31">
        <v>3</v>
      </c>
      <c r="L31" s="420">
        <v>3</v>
      </c>
    </row>
    <row r="32" spans="1:20" x14ac:dyDescent="0.3">
      <c r="A32" s="140"/>
      <c r="B32" t="s">
        <v>191</v>
      </c>
      <c r="C32">
        <v>1091</v>
      </c>
      <c r="D32">
        <v>2223</v>
      </c>
      <c r="E32">
        <v>2188</v>
      </c>
      <c r="F32">
        <v>2331</v>
      </c>
      <c r="G32">
        <v>2285</v>
      </c>
      <c r="H32">
        <v>2318</v>
      </c>
      <c r="I32">
        <v>2369</v>
      </c>
      <c r="J32" s="4">
        <f t="shared" si="0"/>
        <v>2428</v>
      </c>
      <c r="K32">
        <v>2428</v>
      </c>
      <c r="L32" s="423">
        <v>2407</v>
      </c>
    </row>
    <row r="33" spans="1:14" x14ac:dyDescent="0.3">
      <c r="A33" s="140"/>
      <c r="B33" t="s">
        <v>192</v>
      </c>
      <c r="C33">
        <v>-5</v>
      </c>
      <c r="D33">
        <v>-15</v>
      </c>
      <c r="E33">
        <v>-35</v>
      </c>
      <c r="F33">
        <v>12</v>
      </c>
      <c r="G33">
        <v>-14</v>
      </c>
      <c r="H33">
        <v>-32</v>
      </c>
      <c r="I33">
        <v>-3</v>
      </c>
      <c r="J33" s="4">
        <f t="shared" si="0"/>
        <v>-20</v>
      </c>
      <c r="K33">
        <v>-20</v>
      </c>
      <c r="L33" s="420">
        <v>-44</v>
      </c>
    </row>
    <row r="34" spans="1:14" x14ac:dyDescent="0.3">
      <c r="A34" s="140"/>
      <c r="B34" t="s">
        <v>10</v>
      </c>
      <c r="C34">
        <v>4400</v>
      </c>
      <c r="D34">
        <v>6012</v>
      </c>
      <c r="E34">
        <v>6749</v>
      </c>
      <c r="F34">
        <v>8066</v>
      </c>
      <c r="G34">
        <v>8394</v>
      </c>
      <c r="H34">
        <v>8738</v>
      </c>
      <c r="I34">
        <v>9004</v>
      </c>
      <c r="J34" s="4">
        <f t="shared" si="0"/>
        <v>9107</v>
      </c>
      <c r="K34">
        <v>9107</v>
      </c>
      <c r="L34" s="423">
        <v>9273</v>
      </c>
    </row>
    <row r="35" spans="1:14" x14ac:dyDescent="0.3">
      <c r="A35" s="140"/>
      <c r="B35" t="s">
        <v>193</v>
      </c>
      <c r="C35">
        <v>0</v>
      </c>
      <c r="D35">
        <v>-554</v>
      </c>
      <c r="E35">
        <v>-1012</v>
      </c>
      <c r="F35">
        <v>-1570</v>
      </c>
      <c r="G35" s="10">
        <v>-1705</v>
      </c>
      <c r="H35" s="10">
        <v>-1945</v>
      </c>
      <c r="I35" s="10">
        <v>-2147</v>
      </c>
      <c r="J35" s="4">
        <f t="shared" si="0"/>
        <v>-2299</v>
      </c>
      <c r="K35">
        <v>-2299</v>
      </c>
      <c r="L35" s="423">
        <v>-2303</v>
      </c>
    </row>
    <row r="36" spans="1:14" x14ac:dyDescent="0.3">
      <c r="A36" s="140"/>
      <c r="B36" t="s">
        <v>194</v>
      </c>
      <c r="C36">
        <v>5488</v>
      </c>
      <c r="D36">
        <v>7669</v>
      </c>
      <c r="E36">
        <v>7893</v>
      </c>
      <c r="F36">
        <v>8842</v>
      </c>
      <c r="G36">
        <v>8963</v>
      </c>
      <c r="H36">
        <v>9082</v>
      </c>
      <c r="I36">
        <v>9226</v>
      </c>
      <c r="J36" s="4">
        <f t="shared" si="0"/>
        <v>9219</v>
      </c>
      <c r="K36">
        <v>9219</v>
      </c>
      <c r="L36" s="423">
        <v>9336</v>
      </c>
    </row>
    <row r="37" spans="1:14" x14ac:dyDescent="0.3">
      <c r="A37" s="140"/>
      <c r="B37" t="s">
        <v>195</v>
      </c>
      <c r="C37">
        <v>8118</v>
      </c>
      <c r="D37">
        <v>14206</v>
      </c>
      <c r="E37">
        <v>14036</v>
      </c>
      <c r="F37">
        <v>15499</v>
      </c>
      <c r="G37" s="86">
        <v>15652</v>
      </c>
      <c r="H37" s="86">
        <v>15139</v>
      </c>
      <c r="I37" s="86">
        <v>15176</v>
      </c>
      <c r="J37" s="4">
        <f t="shared" si="0"/>
        <v>15181</v>
      </c>
      <c r="K37">
        <v>15181</v>
      </c>
      <c r="L37" s="424">
        <v>15261</v>
      </c>
    </row>
    <row r="38" spans="1:14" ht="47.55" customHeight="1" x14ac:dyDescent="0.3">
      <c r="A38" s="140"/>
      <c r="B38" s="3"/>
      <c r="C38" s="3"/>
      <c r="D38" s="3"/>
      <c r="E38" s="3"/>
      <c r="F38" s="3"/>
      <c r="G38" s="3"/>
      <c r="H38" s="3"/>
      <c r="I38" s="3"/>
    </row>
    <row r="39" spans="1:14" s="353" customFormat="1" ht="46.8" customHeight="1" x14ac:dyDescent="0.3">
      <c r="A39" s="142"/>
      <c r="N39" s="350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showGridLines="0" zoomScale="75" zoomScaleNormal="75" zoomScalePageLayoutView="75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C9" sqref="C9:F9"/>
    </sheetView>
  </sheetViews>
  <sheetFormatPr defaultRowHeight="14.4" x14ac:dyDescent="0.3"/>
  <cols>
    <col min="1" max="1" width="3.44140625" style="142" customWidth="1"/>
    <col min="2" max="2" width="49.44140625" customWidth="1"/>
    <col min="3" max="3" width="8.6640625" bestFit="1" customWidth="1"/>
    <col min="4" max="4" width="9.6640625" customWidth="1"/>
    <col min="5" max="5" width="9.44140625" customWidth="1"/>
    <col min="6" max="6" width="11.44140625" customWidth="1"/>
    <col min="7" max="7" width="11.109375" customWidth="1"/>
    <col min="8" max="8" width="12.33203125" customWidth="1"/>
    <col min="9" max="9" width="11.109375" customWidth="1"/>
    <col min="10" max="10" width="12.6640625" bestFit="1" customWidth="1"/>
    <col min="11" max="11" width="9" customWidth="1"/>
    <col min="12" max="12" width="9" style="420" customWidth="1"/>
    <col min="14" max="14" width="8.88671875" style="350"/>
  </cols>
  <sheetData>
    <row r="1" spans="1:18" s="142" customFormat="1" x14ac:dyDescent="0.3">
      <c r="B1" s="359"/>
      <c r="C1" s="369"/>
      <c r="D1" s="369"/>
      <c r="E1" s="369"/>
      <c r="F1" s="369"/>
      <c r="G1" s="369"/>
      <c r="H1" s="370"/>
      <c r="I1" s="140"/>
      <c r="L1" s="426"/>
      <c r="N1" s="149"/>
    </row>
    <row r="2" spans="1:18" x14ac:dyDescent="0.3">
      <c r="B2" s="87" t="s">
        <v>196</v>
      </c>
      <c r="C2" s="87" t="s">
        <v>197</v>
      </c>
      <c r="D2" s="87"/>
      <c r="E2" s="87"/>
      <c r="F2" s="87"/>
      <c r="G2" s="87"/>
      <c r="H2" s="87"/>
      <c r="I2" s="87"/>
      <c r="J2" s="87"/>
      <c r="K2" s="87"/>
      <c r="L2" s="425"/>
    </row>
    <row r="3" spans="1:18" x14ac:dyDescent="0.3">
      <c r="B3" s="87" t="s">
        <v>198</v>
      </c>
      <c r="C3" s="87">
        <v>2011</v>
      </c>
      <c r="D3" s="87">
        <v>2012</v>
      </c>
      <c r="E3" s="87">
        <v>2013</v>
      </c>
      <c r="F3" s="88">
        <v>2014</v>
      </c>
      <c r="G3" s="88" t="s">
        <v>169</v>
      </c>
      <c r="H3" s="88" t="s">
        <v>170</v>
      </c>
      <c r="I3" s="88" t="s">
        <v>171</v>
      </c>
      <c r="J3" s="88" t="s">
        <v>172</v>
      </c>
      <c r="K3" s="87">
        <v>2015</v>
      </c>
      <c r="L3" s="432" t="s">
        <v>309</v>
      </c>
      <c r="M3" s="268"/>
      <c r="O3" s="268"/>
      <c r="P3" s="268"/>
    </row>
    <row r="4" spans="1:18" x14ac:dyDescent="0.3">
      <c r="B4" s="179" t="s">
        <v>199</v>
      </c>
      <c r="C4" s="179"/>
      <c r="D4" s="179"/>
      <c r="E4" s="179"/>
      <c r="F4" s="179"/>
      <c r="G4" s="179"/>
      <c r="H4" s="179"/>
      <c r="I4" s="179"/>
      <c r="J4" s="179"/>
      <c r="K4" s="179"/>
      <c r="L4" s="432"/>
      <c r="M4" s="268"/>
      <c r="O4" s="268"/>
      <c r="P4" s="268"/>
    </row>
    <row r="5" spans="1:18" ht="15" thickBot="1" x14ac:dyDescent="0.35">
      <c r="B5" s="300" t="s">
        <v>296</v>
      </c>
      <c r="C5" s="301">
        <v>9526</v>
      </c>
      <c r="D5" s="302">
        <v>12478</v>
      </c>
      <c r="E5" s="302">
        <v>15351</v>
      </c>
      <c r="F5" s="302">
        <v>15130</v>
      </c>
      <c r="G5" s="270">
        <v>3943</v>
      </c>
      <c r="H5" s="270">
        <v>3888</v>
      </c>
      <c r="I5" s="270">
        <v>3550</v>
      </c>
      <c r="J5" s="260">
        <f>K5-I5-H5-G5</f>
        <v>3191</v>
      </c>
      <c r="K5" s="302">
        <v>14572</v>
      </c>
      <c r="L5" s="434">
        <v>3360</v>
      </c>
      <c r="M5" s="268"/>
      <c r="N5" s="371"/>
      <c r="O5" s="270"/>
      <c r="P5" s="270"/>
    </row>
    <row r="6" spans="1:18" ht="15" thickTop="1" x14ac:dyDescent="0.3">
      <c r="B6" s="87" t="s">
        <v>200</v>
      </c>
      <c r="C6" s="257">
        <v>7735</v>
      </c>
      <c r="D6" s="276">
        <v>8840</v>
      </c>
      <c r="E6" s="279">
        <v>10988</v>
      </c>
      <c r="F6" s="282">
        <v>10770</v>
      </c>
      <c r="G6" s="271">
        <v>2794</v>
      </c>
      <c r="H6" s="271">
        <v>2778</v>
      </c>
      <c r="I6" s="271">
        <v>2518</v>
      </c>
      <c r="J6" s="260">
        <f t="shared" ref="J6:J25" si="0">K6-I6-H6-G6</f>
        <v>2261</v>
      </c>
      <c r="K6" s="286">
        <v>10351</v>
      </c>
      <c r="L6" s="433">
        <v>2405</v>
      </c>
      <c r="M6" s="268"/>
      <c r="N6" s="366"/>
      <c r="O6" s="271"/>
      <c r="P6" s="271"/>
    </row>
    <row r="7" spans="1:18" x14ac:dyDescent="0.3">
      <c r="B7" s="303" t="s">
        <v>201</v>
      </c>
      <c r="C7" s="257">
        <v>1791</v>
      </c>
      <c r="D7" s="276">
        <v>3638</v>
      </c>
      <c r="E7" s="279">
        <v>4363</v>
      </c>
      <c r="F7" s="282">
        <v>4360</v>
      </c>
      <c r="G7" s="271">
        <v>1149</v>
      </c>
      <c r="H7" s="271">
        <v>1110</v>
      </c>
      <c r="I7" s="271">
        <v>1032</v>
      </c>
      <c r="J7" s="260">
        <f t="shared" si="0"/>
        <v>930</v>
      </c>
      <c r="K7" s="286">
        <v>4221</v>
      </c>
      <c r="L7" s="432">
        <v>955</v>
      </c>
      <c r="M7" s="268"/>
      <c r="N7" s="366"/>
      <c r="O7" s="271"/>
      <c r="P7" s="271"/>
    </row>
    <row r="8" spans="1:18" s="4" customFormat="1" x14ac:dyDescent="0.3">
      <c r="A8" s="142"/>
      <c r="B8" s="179" t="s">
        <v>12</v>
      </c>
      <c r="C8" s="255"/>
      <c r="D8" s="263"/>
      <c r="E8" s="263"/>
      <c r="F8" s="263"/>
      <c r="G8" s="262"/>
      <c r="H8" s="262"/>
      <c r="I8" s="262"/>
      <c r="J8" s="260"/>
      <c r="K8" s="263"/>
      <c r="L8" s="432"/>
      <c r="M8" s="268"/>
      <c r="N8" s="350"/>
      <c r="O8" s="268"/>
      <c r="P8" s="268"/>
      <c r="Q8"/>
      <c r="R8"/>
    </row>
    <row r="9" spans="1:18" x14ac:dyDescent="0.3">
      <c r="B9" s="87" t="s">
        <v>13</v>
      </c>
      <c r="C9" s="261">
        <v>703</v>
      </c>
      <c r="D9" s="276">
        <v>1055</v>
      </c>
      <c r="E9" s="279">
        <v>1572</v>
      </c>
      <c r="F9" s="282">
        <v>1661</v>
      </c>
      <c r="G9" s="268">
        <v>437</v>
      </c>
      <c r="H9" s="268">
        <v>426</v>
      </c>
      <c r="I9" s="268">
        <v>402</v>
      </c>
      <c r="J9" s="260">
        <f t="shared" si="0"/>
        <v>381</v>
      </c>
      <c r="K9" s="286">
        <v>1646</v>
      </c>
      <c r="L9" s="432">
        <v>385</v>
      </c>
      <c r="M9" s="268"/>
      <c r="O9" s="268"/>
      <c r="P9" s="268"/>
    </row>
    <row r="10" spans="1:18" x14ac:dyDescent="0.3">
      <c r="B10" s="87" t="s">
        <v>266</v>
      </c>
      <c r="C10" s="261">
        <v>282</v>
      </c>
      <c r="D10" s="273">
        <v>518</v>
      </c>
      <c r="E10" s="277">
        <v>706</v>
      </c>
      <c r="F10" s="281">
        <v>761</v>
      </c>
      <c r="G10" s="268">
        <v>220</v>
      </c>
      <c r="H10" s="268">
        <v>164</v>
      </c>
      <c r="I10" s="268">
        <v>199</v>
      </c>
      <c r="J10" s="260">
        <f t="shared" si="0"/>
        <v>190</v>
      </c>
      <c r="K10" s="284">
        <v>773</v>
      </c>
      <c r="L10" s="432">
        <v>192</v>
      </c>
      <c r="M10" s="268"/>
      <c r="O10" s="268"/>
      <c r="P10" s="268"/>
    </row>
    <row r="11" spans="1:18" x14ac:dyDescent="0.3">
      <c r="B11" s="87" t="s">
        <v>202</v>
      </c>
      <c r="C11" s="261">
        <v>25</v>
      </c>
      <c r="D11" s="273">
        <v>214</v>
      </c>
      <c r="E11" s="277">
        <v>681</v>
      </c>
      <c r="F11" s="281">
        <v>52</v>
      </c>
      <c r="G11" s="268">
        <v>14</v>
      </c>
      <c r="H11" s="268">
        <v>1</v>
      </c>
      <c r="I11" s="268">
        <v>0</v>
      </c>
      <c r="J11" s="260">
        <f t="shared" si="0"/>
        <v>0</v>
      </c>
      <c r="K11" s="284">
        <v>15</v>
      </c>
      <c r="L11" s="432">
        <v>0</v>
      </c>
      <c r="M11" s="268"/>
      <c r="O11" s="268"/>
      <c r="P11" s="268"/>
    </row>
    <row r="12" spans="1:18" x14ac:dyDescent="0.3">
      <c r="B12" s="295" t="s">
        <v>203</v>
      </c>
      <c r="C12" s="261">
        <v>0</v>
      </c>
      <c r="D12" s="273">
        <v>80</v>
      </c>
      <c r="E12" s="277">
        <v>138</v>
      </c>
      <c r="F12" s="281">
        <v>95</v>
      </c>
      <c r="G12" s="268">
        <v>9</v>
      </c>
      <c r="H12" s="268">
        <v>53</v>
      </c>
      <c r="I12" s="268">
        <v>10</v>
      </c>
      <c r="J12" s="260">
        <f t="shared" si="0"/>
        <v>104</v>
      </c>
      <c r="K12" s="284">
        <v>176</v>
      </c>
      <c r="L12" s="432">
        <v>56</v>
      </c>
      <c r="M12" s="268"/>
      <c r="O12" s="268"/>
      <c r="P12" s="268"/>
    </row>
    <row r="13" spans="1:18" hidden="1" x14ac:dyDescent="0.3">
      <c r="B13" s="87" t="s">
        <v>204</v>
      </c>
      <c r="C13" s="261"/>
      <c r="D13" s="273">
        <v>214</v>
      </c>
      <c r="E13" s="279"/>
      <c r="F13" s="282"/>
      <c r="G13" s="268">
        <v>680</v>
      </c>
      <c r="H13" s="268">
        <v>644</v>
      </c>
      <c r="I13" s="268">
        <v>611</v>
      </c>
      <c r="J13" s="260">
        <f t="shared" si="0"/>
        <v>-1935</v>
      </c>
      <c r="K13" s="286"/>
      <c r="L13" s="432">
        <v>633</v>
      </c>
      <c r="M13" s="268"/>
      <c r="O13" s="268"/>
      <c r="P13" s="268"/>
    </row>
    <row r="14" spans="1:18" x14ac:dyDescent="0.3">
      <c r="B14" s="87" t="s">
        <v>14</v>
      </c>
      <c r="C14" s="257">
        <v>1010</v>
      </c>
      <c r="D14" s="276">
        <v>1867</v>
      </c>
      <c r="E14" s="279">
        <v>3097</v>
      </c>
      <c r="F14" s="282">
        <v>2569</v>
      </c>
      <c r="G14" s="286">
        <v>680</v>
      </c>
      <c r="H14" s="286">
        <v>644</v>
      </c>
      <c r="I14" s="286">
        <v>611</v>
      </c>
      <c r="J14" s="260">
        <f t="shared" si="0"/>
        <v>675</v>
      </c>
      <c r="K14" s="286">
        <v>2610</v>
      </c>
      <c r="L14" s="432">
        <v>633</v>
      </c>
      <c r="M14" s="268"/>
      <c r="O14" s="268"/>
      <c r="P14" s="268"/>
    </row>
    <row r="15" spans="1:18" x14ac:dyDescent="0.3">
      <c r="B15" s="87" t="s">
        <v>205</v>
      </c>
      <c r="C15" s="261">
        <v>781</v>
      </c>
      <c r="D15" s="276">
        <v>1771</v>
      </c>
      <c r="E15" s="279">
        <v>1266</v>
      </c>
      <c r="F15" s="282">
        <v>1791</v>
      </c>
      <c r="G15" s="268">
        <v>469</v>
      </c>
      <c r="H15" s="268">
        <v>466</v>
      </c>
      <c r="I15" s="268">
        <v>421</v>
      </c>
      <c r="J15" s="260">
        <f t="shared" si="0"/>
        <v>255</v>
      </c>
      <c r="K15" s="286">
        <v>1611</v>
      </c>
      <c r="L15" s="432">
        <v>322</v>
      </c>
      <c r="M15" s="268"/>
      <c r="O15" s="268"/>
      <c r="P15" s="268"/>
    </row>
    <row r="16" spans="1:18" x14ac:dyDescent="0.3">
      <c r="B16" s="179" t="s">
        <v>206</v>
      </c>
      <c r="C16" s="255"/>
      <c r="D16" s="263"/>
      <c r="E16" s="263"/>
      <c r="F16" s="292"/>
      <c r="G16" s="285"/>
      <c r="H16" s="285"/>
      <c r="I16" s="285"/>
      <c r="J16" s="260"/>
      <c r="K16" s="292"/>
      <c r="L16" s="432"/>
      <c r="M16" s="268"/>
      <c r="O16" s="268"/>
      <c r="P16" s="268"/>
    </row>
    <row r="17" spans="1:16" x14ac:dyDescent="0.3">
      <c r="B17" s="87" t="s">
        <v>207</v>
      </c>
      <c r="C17" s="261">
        <v>9</v>
      </c>
      <c r="D17" s="273">
        <v>12</v>
      </c>
      <c r="E17" s="277">
        <v>11</v>
      </c>
      <c r="F17" s="281">
        <v>17</v>
      </c>
      <c r="G17" s="268">
        <v>4</v>
      </c>
      <c r="H17" s="268">
        <v>4</v>
      </c>
      <c r="I17" s="268">
        <v>3</v>
      </c>
      <c r="J17" s="260">
        <f t="shared" si="0"/>
        <v>4</v>
      </c>
      <c r="K17" s="284">
        <v>15</v>
      </c>
      <c r="L17" s="432">
        <v>5</v>
      </c>
      <c r="M17" s="268"/>
      <c r="O17" s="268"/>
      <c r="P17" s="268"/>
    </row>
    <row r="18" spans="1:16" x14ac:dyDescent="0.3">
      <c r="B18" s="87" t="s">
        <v>208</v>
      </c>
      <c r="C18" s="261">
        <v>-10</v>
      </c>
      <c r="D18" s="273">
        <v>-26</v>
      </c>
      <c r="E18" s="277">
        <v>-55</v>
      </c>
      <c r="F18" s="281">
        <v>-56</v>
      </c>
      <c r="G18" s="268">
        <v>-13</v>
      </c>
      <c r="H18" s="268">
        <v>-12</v>
      </c>
      <c r="I18" s="268">
        <v>-12</v>
      </c>
      <c r="J18" s="260">
        <f t="shared" si="0"/>
        <v>-12</v>
      </c>
      <c r="K18" s="284">
        <v>-49</v>
      </c>
      <c r="L18" s="432">
        <v>-13</v>
      </c>
      <c r="M18" s="268"/>
      <c r="O18" s="268"/>
      <c r="P18" s="268"/>
    </row>
    <row r="19" spans="1:16" x14ac:dyDescent="0.3">
      <c r="B19" s="87" t="s">
        <v>209</v>
      </c>
      <c r="C19" s="261">
        <v>-1</v>
      </c>
      <c r="D19" s="273">
        <v>-14</v>
      </c>
      <c r="E19" s="277">
        <v>-44</v>
      </c>
      <c r="F19" s="281">
        <v>-39</v>
      </c>
      <c r="G19" s="268">
        <v>-9</v>
      </c>
      <c r="H19" s="268">
        <v>-8</v>
      </c>
      <c r="I19" s="268">
        <v>-9</v>
      </c>
      <c r="J19" s="260">
        <f t="shared" si="0"/>
        <v>-8</v>
      </c>
      <c r="K19" s="284">
        <v>-34</v>
      </c>
      <c r="L19" s="432">
        <v>-8</v>
      </c>
      <c r="M19" s="268"/>
      <c r="O19" s="268"/>
      <c r="P19" s="268"/>
    </row>
    <row r="20" spans="1:16" x14ac:dyDescent="0.3">
      <c r="B20" s="87" t="s">
        <v>210</v>
      </c>
      <c r="C20" s="261">
        <v>780</v>
      </c>
      <c r="D20" s="276">
        <v>1757</v>
      </c>
      <c r="E20" s="279">
        <v>1222</v>
      </c>
      <c r="F20" s="282">
        <v>1752</v>
      </c>
      <c r="G20" s="262">
        <v>460</v>
      </c>
      <c r="H20" s="262">
        <v>458</v>
      </c>
      <c r="I20" s="262">
        <v>412</v>
      </c>
      <c r="J20" s="260">
        <f t="shared" si="0"/>
        <v>247</v>
      </c>
      <c r="K20" s="286">
        <v>1577</v>
      </c>
      <c r="L20" s="432">
        <v>314</v>
      </c>
      <c r="M20" s="268"/>
      <c r="O20" s="268"/>
      <c r="P20" s="268"/>
    </row>
    <row r="21" spans="1:16" x14ac:dyDescent="0.3">
      <c r="B21" s="87" t="s">
        <v>211</v>
      </c>
      <c r="C21" s="261">
        <v>54</v>
      </c>
      <c r="D21" s="273">
        <v>145</v>
      </c>
      <c r="E21" s="277">
        <v>242</v>
      </c>
      <c r="F21" s="282">
        <v>135</v>
      </c>
      <c r="G21" s="262">
        <v>37</v>
      </c>
      <c r="H21" s="262">
        <v>20</v>
      </c>
      <c r="I21" s="262">
        <v>28</v>
      </c>
      <c r="J21" s="260">
        <f t="shared" si="0"/>
        <v>27</v>
      </c>
      <c r="K21" s="286">
        <v>112</v>
      </c>
      <c r="L21" s="432">
        <v>31</v>
      </c>
      <c r="M21" s="268"/>
      <c r="O21" s="268"/>
      <c r="P21" s="268"/>
    </row>
    <row r="22" spans="1:16" ht="15" thickBot="1" x14ac:dyDescent="0.35">
      <c r="B22" s="299" t="s">
        <v>15</v>
      </c>
      <c r="C22" s="297">
        <v>726</v>
      </c>
      <c r="D22" s="298">
        <v>1612</v>
      </c>
      <c r="E22" s="298">
        <v>980</v>
      </c>
      <c r="F22" s="298">
        <v>1617</v>
      </c>
      <c r="G22" s="298">
        <v>423</v>
      </c>
      <c r="H22" s="294">
        <v>438</v>
      </c>
      <c r="I22" s="294">
        <v>384</v>
      </c>
      <c r="J22" s="260">
        <f t="shared" si="0"/>
        <v>220</v>
      </c>
      <c r="K22" s="298">
        <v>1465</v>
      </c>
      <c r="L22" s="434">
        <v>283</v>
      </c>
      <c r="M22" s="268"/>
      <c r="N22" s="371"/>
      <c r="O22" s="270"/>
      <c r="P22" s="270"/>
    </row>
    <row r="23" spans="1:16" ht="15" thickTop="1" x14ac:dyDescent="0.3">
      <c r="B23" s="179" t="s">
        <v>295</v>
      </c>
      <c r="C23" s="255"/>
      <c r="D23" s="263"/>
      <c r="E23" s="293"/>
      <c r="F23" s="293"/>
      <c r="G23" s="262"/>
      <c r="H23" s="262"/>
      <c r="I23" s="262"/>
      <c r="J23" s="260"/>
      <c r="K23" s="293"/>
      <c r="L23" s="435"/>
      <c r="M23" s="268"/>
      <c r="O23" s="268"/>
      <c r="P23" s="268"/>
    </row>
    <row r="24" spans="1:16" x14ac:dyDescent="0.3">
      <c r="B24" s="87" t="s">
        <v>212</v>
      </c>
      <c r="C24" s="256">
        <v>3.14</v>
      </c>
      <c r="D24" s="275">
        <v>6.69</v>
      </c>
      <c r="E24" s="280">
        <v>4.07</v>
      </c>
      <c r="F24" s="283">
        <v>6.88</v>
      </c>
      <c r="G24" s="49">
        <v>1.81</v>
      </c>
      <c r="H24" s="49">
        <v>1.88</v>
      </c>
      <c r="I24" s="49">
        <v>1.66</v>
      </c>
      <c r="J24" s="274">
        <f t="shared" si="0"/>
        <v>0.95999999999999952</v>
      </c>
      <c r="K24" s="287">
        <v>6.31</v>
      </c>
      <c r="L24" s="435">
        <v>1.23</v>
      </c>
      <c r="M24" s="268"/>
      <c r="N24" s="372"/>
      <c r="O24" s="272"/>
      <c r="P24" s="272"/>
    </row>
    <row r="25" spans="1:16" x14ac:dyDescent="0.3">
      <c r="B25" s="87" t="s">
        <v>213</v>
      </c>
      <c r="C25" s="256">
        <v>3.09</v>
      </c>
      <c r="D25" s="275">
        <v>6.58</v>
      </c>
      <c r="E25" s="280">
        <v>3.98</v>
      </c>
      <c r="F25" s="283">
        <v>6.68</v>
      </c>
      <c r="G25" s="49">
        <v>1.76</v>
      </c>
      <c r="H25" s="49">
        <v>1.84</v>
      </c>
      <c r="I25" s="49">
        <v>1.63</v>
      </c>
      <c r="J25" s="274">
        <f t="shared" si="0"/>
        <v>0.95</v>
      </c>
      <c r="K25" s="287">
        <v>6.18</v>
      </c>
      <c r="L25" s="435">
        <v>1.21</v>
      </c>
      <c r="M25" s="268"/>
      <c r="N25" s="372"/>
      <c r="O25" s="272"/>
      <c r="P25" s="272"/>
    </row>
    <row r="26" spans="1:16" x14ac:dyDescent="0.3">
      <c r="B26" s="179" t="s">
        <v>214</v>
      </c>
      <c r="C26" s="255"/>
      <c r="D26" s="263"/>
      <c r="E26" s="289"/>
      <c r="F26" s="289"/>
      <c r="G26" s="262"/>
      <c r="H26" s="262"/>
      <c r="I26" s="262"/>
      <c r="J26" s="260"/>
      <c r="K26" s="289"/>
      <c r="L26" s="432"/>
      <c r="M26" s="268"/>
      <c r="O26" s="268"/>
      <c r="P26" s="268"/>
    </row>
    <row r="27" spans="1:16" x14ac:dyDescent="0.3">
      <c r="B27" s="87" t="s">
        <v>215</v>
      </c>
      <c r="C27" s="261">
        <v>231</v>
      </c>
      <c r="D27" s="273">
        <v>241</v>
      </c>
      <c r="E27" s="277">
        <v>241</v>
      </c>
      <c r="F27" s="281">
        <v>235</v>
      </c>
      <c r="G27" s="262">
        <v>234</v>
      </c>
      <c r="H27" s="262">
        <v>233</v>
      </c>
      <c r="I27" s="262">
        <v>231</v>
      </c>
      <c r="J27" s="260">
        <f>K27</f>
        <v>232</v>
      </c>
      <c r="K27" s="284">
        <v>232</v>
      </c>
      <c r="L27" s="432">
        <v>231</v>
      </c>
      <c r="M27" s="268"/>
      <c r="O27" s="268"/>
      <c r="P27" s="268"/>
    </row>
    <row r="28" spans="1:16" x14ac:dyDescent="0.3">
      <c r="B28" s="87" t="s">
        <v>216</v>
      </c>
      <c r="C28" s="261">
        <v>235</v>
      </c>
      <c r="D28" s="273">
        <v>245</v>
      </c>
      <c r="E28" s="277">
        <v>246</v>
      </c>
      <c r="F28" s="281">
        <v>242</v>
      </c>
      <c r="G28" s="262">
        <v>240</v>
      </c>
      <c r="H28" s="262">
        <v>238</v>
      </c>
      <c r="I28" s="262">
        <v>236</v>
      </c>
      <c r="J28" s="260">
        <f>K28</f>
        <v>237</v>
      </c>
      <c r="K28" s="284">
        <v>237</v>
      </c>
      <c r="L28" s="432">
        <v>234</v>
      </c>
      <c r="M28" s="268"/>
      <c r="O28" s="268"/>
      <c r="P28" s="268"/>
    </row>
    <row r="29" spans="1:16" ht="47.55" customHeight="1" x14ac:dyDescent="0.3">
      <c r="C29" s="261"/>
      <c r="D29" s="261"/>
      <c r="E29" s="261"/>
      <c r="F29" s="261"/>
      <c r="G29" s="266"/>
      <c r="H29" s="266"/>
      <c r="I29" s="266"/>
      <c r="J29" s="261"/>
      <c r="K29" s="261"/>
      <c r="L29" s="428"/>
      <c r="M29" s="267"/>
      <c r="O29" s="267"/>
      <c r="P29" s="267"/>
    </row>
    <row r="30" spans="1:16" s="353" customFormat="1" ht="47.55" customHeight="1" x14ac:dyDescent="0.3">
      <c r="A30" s="142"/>
      <c r="C30" s="368"/>
      <c r="D30" s="368"/>
      <c r="E30" s="368"/>
      <c r="F30" s="368"/>
      <c r="G30" s="368"/>
      <c r="H30" s="368"/>
      <c r="I30" s="368"/>
      <c r="J30" s="368"/>
      <c r="K30" s="368"/>
      <c r="L30" s="430"/>
      <c r="N30" s="350"/>
    </row>
    <row r="31" spans="1:16" x14ac:dyDescent="0.3">
      <c r="C31" s="261"/>
      <c r="D31" s="261"/>
      <c r="E31" s="261"/>
      <c r="F31" s="261"/>
      <c r="G31" s="261"/>
      <c r="H31" s="261"/>
      <c r="I31" s="261"/>
      <c r="J31" s="261"/>
      <c r="K31" s="261"/>
      <c r="L31" s="428"/>
    </row>
    <row r="32" spans="1:16" x14ac:dyDescent="0.3">
      <c r="C32" s="262"/>
      <c r="D32" s="262"/>
      <c r="E32" s="262"/>
      <c r="F32" s="262"/>
      <c r="G32" s="262"/>
      <c r="H32" s="262"/>
      <c r="I32" s="262"/>
      <c r="J32" s="262"/>
      <c r="K32" s="262"/>
      <c r="L32" s="422"/>
    </row>
    <row r="33" spans="3:12" x14ac:dyDescent="0.3">
      <c r="C33" s="262"/>
      <c r="D33" s="262"/>
      <c r="E33" s="262"/>
      <c r="F33" s="262"/>
      <c r="G33" s="262"/>
      <c r="H33" s="262"/>
      <c r="I33" s="262"/>
      <c r="J33" s="262"/>
      <c r="K33" s="262"/>
      <c r="L33" s="4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showGridLines="0" zoomScale="78" zoomScaleNormal="78" zoomScalePageLayoutView="78" workbookViewId="0">
      <pane xSplit="1" ySplit="1" topLeftCell="B2" activePane="bottomRight" state="frozen"/>
      <selection pane="topRight" activeCell="B1" sqref="B1"/>
      <selection pane="bottomLeft" activeCell="A9" sqref="A9"/>
      <selection pane="bottomRight" activeCell="F33" sqref="F33"/>
    </sheetView>
  </sheetViews>
  <sheetFormatPr defaultRowHeight="14.4" x14ac:dyDescent="0.3"/>
  <cols>
    <col min="1" max="1" width="3.44140625" style="142" customWidth="1"/>
    <col min="2" max="2" width="33.33203125" customWidth="1"/>
    <col min="3" max="5" width="9.109375" customWidth="1"/>
    <col min="6" max="6" width="11.6640625" customWidth="1"/>
    <col min="7" max="7" width="12.77734375" customWidth="1"/>
    <col min="8" max="8" width="13.6640625" customWidth="1"/>
    <col min="9" max="11" width="11.33203125" bestFit="1" customWidth="1"/>
    <col min="12" max="12" width="11.33203125" style="420" customWidth="1"/>
    <col min="13" max="13" width="11.33203125" bestFit="1" customWidth="1"/>
    <col min="14" max="14" width="11.33203125" style="350" bestFit="1" customWidth="1"/>
  </cols>
  <sheetData>
    <row r="1" spans="1:14" s="142" customFormat="1" ht="15" customHeight="1" x14ac:dyDescent="0.3">
      <c r="A1" s="140"/>
      <c r="B1" s="360"/>
      <c r="C1" s="140"/>
      <c r="D1" s="140"/>
      <c r="E1" s="140"/>
      <c r="F1" s="140"/>
      <c r="G1" s="140"/>
      <c r="H1" s="140"/>
      <c r="I1" s="140"/>
      <c r="L1" s="426"/>
      <c r="N1" s="149"/>
    </row>
    <row r="2" spans="1:14" x14ac:dyDescent="0.3">
      <c r="A2" s="140"/>
      <c r="B2" s="88" t="s">
        <v>217</v>
      </c>
      <c r="C2" s="88" t="s">
        <v>197</v>
      </c>
      <c r="D2" s="88"/>
      <c r="E2" s="88"/>
      <c r="F2" s="88"/>
      <c r="G2" s="88"/>
      <c r="H2" s="88"/>
      <c r="I2" s="88"/>
      <c r="J2" s="88"/>
      <c r="K2" s="88"/>
      <c r="L2" s="425"/>
    </row>
    <row r="3" spans="1:14" x14ac:dyDescent="0.3">
      <c r="A3" s="140"/>
      <c r="B3" s="88" t="s">
        <v>218</v>
      </c>
      <c r="C3" s="88">
        <v>2011</v>
      </c>
      <c r="D3" s="88">
        <v>2012</v>
      </c>
      <c r="E3" s="88">
        <v>2013</v>
      </c>
      <c r="F3" s="88">
        <v>2014</v>
      </c>
      <c r="G3" s="88" t="s">
        <v>169</v>
      </c>
      <c r="H3" s="88" t="s">
        <v>170</v>
      </c>
      <c r="I3" s="88" t="s">
        <v>171</v>
      </c>
      <c r="J3" s="88" t="s">
        <v>172</v>
      </c>
      <c r="K3" s="414">
        <v>2015</v>
      </c>
      <c r="L3" s="409" t="s">
        <v>309</v>
      </c>
    </row>
    <row r="4" spans="1:14" s="4" customFormat="1" ht="25.5" customHeight="1" x14ac:dyDescent="0.3">
      <c r="A4" s="140"/>
      <c r="B4" s="88"/>
      <c r="C4" s="88"/>
      <c r="D4" s="88"/>
      <c r="E4" s="88"/>
      <c r="F4" s="88"/>
      <c r="G4" s="88"/>
      <c r="H4" s="88"/>
      <c r="I4" s="88"/>
      <c r="J4" s="88"/>
      <c r="K4" s="88"/>
      <c r="L4" s="436"/>
      <c r="N4" s="350"/>
    </row>
    <row r="5" spans="1:14" ht="15" hidden="1" customHeight="1" x14ac:dyDescent="0.3">
      <c r="A5" s="140"/>
      <c r="B5" s="88"/>
      <c r="C5" s="89"/>
      <c r="D5" s="89"/>
      <c r="E5" s="89"/>
      <c r="F5" s="89"/>
      <c r="G5" s="88"/>
      <c r="H5" s="89"/>
      <c r="I5" s="89"/>
      <c r="J5" s="89"/>
      <c r="K5" s="89"/>
      <c r="L5" s="442"/>
      <c r="M5" s="10"/>
      <c r="N5" s="366"/>
    </row>
    <row r="6" spans="1:14" hidden="1" x14ac:dyDescent="0.3">
      <c r="A6" s="140"/>
      <c r="B6" s="88"/>
      <c r="C6" s="88"/>
      <c r="D6" s="88"/>
      <c r="E6" s="88"/>
      <c r="F6" s="88"/>
      <c r="G6" s="88"/>
      <c r="H6" s="88"/>
      <c r="I6" s="88"/>
      <c r="J6" s="88"/>
      <c r="K6" s="88"/>
      <c r="L6" s="436"/>
    </row>
    <row r="7" spans="1:14" x14ac:dyDescent="0.3">
      <c r="A7" s="140"/>
      <c r="B7" s="88"/>
      <c r="C7" s="88"/>
      <c r="D7" s="88"/>
      <c r="E7" s="90"/>
      <c r="F7" s="90"/>
      <c r="G7" s="91"/>
      <c r="H7" s="92"/>
      <c r="I7" s="139"/>
      <c r="J7" s="90"/>
      <c r="K7" s="90"/>
      <c r="L7" s="436"/>
    </row>
    <row r="8" spans="1:14" ht="15" customHeight="1" x14ac:dyDescent="0.3">
      <c r="A8" s="140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436"/>
    </row>
    <row r="9" spans="1:14" x14ac:dyDescent="0.3">
      <c r="A9" s="140"/>
      <c r="B9" s="134" t="s">
        <v>15</v>
      </c>
      <c r="C9" s="136">
        <v>726</v>
      </c>
      <c r="D9" s="136">
        <v>1612</v>
      </c>
      <c r="E9" s="136">
        <v>980</v>
      </c>
      <c r="F9" s="136">
        <v>1617</v>
      </c>
      <c r="G9" s="153">
        <v>423</v>
      </c>
      <c r="H9" s="153">
        <v>861</v>
      </c>
      <c r="I9" s="153">
        <v>1245</v>
      </c>
      <c r="J9" s="152">
        <f t="shared" ref="J9" si="0">K9</f>
        <v>1465</v>
      </c>
      <c r="K9" s="136">
        <v>1465</v>
      </c>
      <c r="L9" s="469">
        <v>283</v>
      </c>
    </row>
    <row r="10" spans="1:14" ht="15" thickBot="1" x14ac:dyDescent="0.35">
      <c r="A10" s="140"/>
      <c r="B10" s="411" t="s">
        <v>219</v>
      </c>
      <c r="C10" s="411"/>
      <c r="D10" s="411"/>
      <c r="E10" s="411"/>
      <c r="F10" s="411"/>
      <c r="G10" s="179"/>
      <c r="H10" s="179"/>
      <c r="I10" s="179"/>
      <c r="J10" s="215"/>
      <c r="K10" s="411"/>
      <c r="L10" s="437"/>
    </row>
    <row r="11" spans="1:14" ht="15" thickTop="1" x14ac:dyDescent="0.3">
      <c r="A11" s="140"/>
      <c r="B11" s="134" t="s">
        <v>220</v>
      </c>
      <c r="C11" s="134">
        <v>602</v>
      </c>
      <c r="D11" s="134">
        <v>825</v>
      </c>
      <c r="E11" s="137">
        <v>1233</v>
      </c>
      <c r="F11" s="137">
        <v>1244</v>
      </c>
      <c r="G11" s="151">
        <v>289</v>
      </c>
      <c r="H11" s="151">
        <v>579</v>
      </c>
      <c r="I11" s="151">
        <v>864</v>
      </c>
      <c r="J11" s="137">
        <f>K11</f>
        <v>1114</v>
      </c>
      <c r="K11" s="137">
        <v>1114</v>
      </c>
      <c r="L11" s="436">
        <v>236</v>
      </c>
    </row>
    <row r="12" spans="1:14" ht="15" customHeight="1" x14ac:dyDescent="0.3">
      <c r="A12" s="140"/>
      <c r="B12" s="134" t="s">
        <v>221</v>
      </c>
      <c r="C12" s="134">
        <v>69</v>
      </c>
      <c r="D12" s="134">
        <v>92</v>
      </c>
      <c r="E12" s="134">
        <v>137</v>
      </c>
      <c r="F12" s="134">
        <v>156</v>
      </c>
      <c r="G12" s="151">
        <v>39</v>
      </c>
      <c r="H12" s="151">
        <v>80</v>
      </c>
      <c r="I12" s="151">
        <v>117</v>
      </c>
      <c r="J12" s="152">
        <f t="shared" ref="J12:J53" si="1">K12</f>
        <v>162</v>
      </c>
      <c r="K12" s="134">
        <v>162</v>
      </c>
      <c r="L12" s="436">
        <v>42</v>
      </c>
    </row>
    <row r="13" spans="1:14" x14ac:dyDescent="0.3">
      <c r="A13" s="140"/>
      <c r="B13" s="134" t="s">
        <v>222</v>
      </c>
      <c r="C13" s="134">
        <v>20</v>
      </c>
      <c r="D13" s="134">
        <v>34</v>
      </c>
      <c r="E13" s="134">
        <v>35</v>
      </c>
      <c r="F13" s="134">
        <v>-13</v>
      </c>
      <c r="G13" s="151">
        <v>10</v>
      </c>
      <c r="H13" s="151">
        <v>31</v>
      </c>
      <c r="I13" s="151">
        <v>9</v>
      </c>
      <c r="J13" s="152">
        <f t="shared" si="1"/>
        <v>28</v>
      </c>
      <c r="K13" s="134">
        <v>28</v>
      </c>
      <c r="L13" s="436">
        <v>-7</v>
      </c>
    </row>
    <row r="14" spans="1:14" x14ac:dyDescent="0.3">
      <c r="A14" s="140"/>
      <c r="B14" s="134" t="s">
        <v>223</v>
      </c>
      <c r="C14" s="134"/>
      <c r="D14" s="134"/>
      <c r="E14" s="134">
        <v>0</v>
      </c>
      <c r="F14" s="134">
        <v>-65</v>
      </c>
      <c r="G14" s="151">
        <v>0</v>
      </c>
      <c r="H14" s="151">
        <v>-37</v>
      </c>
      <c r="I14" s="151">
        <v>-37</v>
      </c>
      <c r="J14" s="152">
        <f t="shared" si="1"/>
        <v>-37</v>
      </c>
      <c r="K14" s="134">
        <v>-37</v>
      </c>
      <c r="L14" s="484">
        <v>0</v>
      </c>
    </row>
    <row r="15" spans="1:14" x14ac:dyDescent="0.3">
      <c r="A15" s="140"/>
      <c r="B15" s="134" t="s">
        <v>224</v>
      </c>
      <c r="C15" s="134"/>
      <c r="D15" s="134"/>
      <c r="E15" s="134">
        <v>0</v>
      </c>
      <c r="F15" s="134">
        <v>40</v>
      </c>
      <c r="G15" s="151">
        <v>4</v>
      </c>
      <c r="H15" s="151">
        <v>12</v>
      </c>
      <c r="I15" s="151">
        <v>14</v>
      </c>
      <c r="J15" s="152">
        <f t="shared" si="1"/>
        <v>17</v>
      </c>
      <c r="K15" s="134">
        <v>17</v>
      </c>
      <c r="L15" s="484">
        <v>0</v>
      </c>
    </row>
    <row r="16" spans="1:14" x14ac:dyDescent="0.3">
      <c r="A16" s="140"/>
      <c r="B16" s="134" t="s">
        <v>225</v>
      </c>
      <c r="C16" s="134"/>
      <c r="D16" s="134">
        <v>61</v>
      </c>
      <c r="E16" s="134">
        <v>19</v>
      </c>
      <c r="F16" s="134">
        <v>62</v>
      </c>
      <c r="G16" s="151">
        <v>1</v>
      </c>
      <c r="H16" s="151">
        <v>19</v>
      </c>
      <c r="I16" s="151">
        <v>12</v>
      </c>
      <c r="J16" s="152">
        <f t="shared" si="1"/>
        <v>86</v>
      </c>
      <c r="K16" s="134">
        <v>86</v>
      </c>
      <c r="L16" s="436">
        <v>18</v>
      </c>
    </row>
    <row r="17" spans="1:14" x14ac:dyDescent="0.3">
      <c r="A17" s="140"/>
      <c r="B17" s="134" t="s">
        <v>226</v>
      </c>
      <c r="C17" s="134"/>
      <c r="D17" s="134">
        <v>119</v>
      </c>
      <c r="E17" s="134">
        <v>0</v>
      </c>
      <c r="F17" s="134">
        <v>9</v>
      </c>
      <c r="G17" s="151"/>
      <c r="H17" s="151"/>
      <c r="I17" s="151">
        <v>0</v>
      </c>
      <c r="J17" s="152">
        <f t="shared" si="1"/>
        <v>0</v>
      </c>
      <c r="K17" s="134">
        <v>0</v>
      </c>
      <c r="L17" s="436">
        <v>0</v>
      </c>
    </row>
    <row r="18" spans="1:14" ht="15" thickBot="1" x14ac:dyDescent="0.35">
      <c r="A18" s="140"/>
      <c r="B18" s="411" t="s">
        <v>227</v>
      </c>
      <c r="C18" s="411"/>
      <c r="D18" s="411"/>
      <c r="E18" s="411"/>
      <c r="F18" s="411"/>
      <c r="G18" s="179"/>
      <c r="H18" s="179"/>
      <c r="I18" s="179"/>
      <c r="J18" s="215"/>
      <c r="K18" s="411"/>
      <c r="L18" s="437"/>
    </row>
    <row r="19" spans="1:14" ht="15" thickTop="1" x14ac:dyDescent="0.3">
      <c r="A19" s="140"/>
      <c r="B19" s="134" t="s">
        <v>1</v>
      </c>
      <c r="C19" s="134">
        <v>50</v>
      </c>
      <c r="D19" s="134">
        <v>162</v>
      </c>
      <c r="E19" s="134">
        <v>584</v>
      </c>
      <c r="F19" s="134">
        <v>-175</v>
      </c>
      <c r="G19" s="151">
        <v>74</v>
      </c>
      <c r="H19" s="151">
        <v>109</v>
      </c>
      <c r="I19" s="151">
        <v>294</v>
      </c>
      <c r="J19" s="152">
        <f t="shared" si="1"/>
        <v>458</v>
      </c>
      <c r="K19" s="134">
        <v>458</v>
      </c>
      <c r="L19" s="436">
        <v>-84</v>
      </c>
    </row>
    <row r="20" spans="1:14" x14ac:dyDescent="0.3">
      <c r="A20" s="140"/>
      <c r="B20" s="134" t="s">
        <v>176</v>
      </c>
      <c r="C20" s="134">
        <v>-17</v>
      </c>
      <c r="D20" s="134">
        <v>88</v>
      </c>
      <c r="E20" s="134">
        <v>22</v>
      </c>
      <c r="F20" s="134">
        <v>0</v>
      </c>
      <c r="G20" s="151">
        <v>-46</v>
      </c>
      <c r="H20" s="151">
        <v>-56</v>
      </c>
      <c r="I20" s="151">
        <v>-96</v>
      </c>
      <c r="J20" s="152">
        <f t="shared" si="1"/>
        <v>-143</v>
      </c>
      <c r="K20" s="134">
        <v>-143</v>
      </c>
      <c r="L20" s="436">
        <v>105</v>
      </c>
    </row>
    <row r="21" spans="1:14" ht="15" customHeight="1" x14ac:dyDescent="0.3">
      <c r="A21" s="140"/>
      <c r="B21" s="134" t="s">
        <v>179</v>
      </c>
      <c r="C21" s="134">
        <v>178</v>
      </c>
      <c r="D21" s="134">
        <v>132</v>
      </c>
      <c r="E21" s="134">
        <v>-511</v>
      </c>
      <c r="F21" s="134">
        <v>-32</v>
      </c>
      <c r="G21" s="151">
        <v>49</v>
      </c>
      <c r="H21" s="151">
        <v>94</v>
      </c>
      <c r="I21" s="151">
        <v>8</v>
      </c>
      <c r="J21" s="152">
        <f t="shared" si="1"/>
        <v>-148</v>
      </c>
      <c r="K21" s="134">
        <v>-148</v>
      </c>
      <c r="L21" s="436">
        <v>-71</v>
      </c>
    </row>
    <row r="22" spans="1:14" x14ac:dyDescent="0.3">
      <c r="A22" s="140"/>
      <c r="B22" s="134" t="s">
        <v>180</v>
      </c>
      <c r="C22" s="134">
        <v>25</v>
      </c>
      <c r="D22" s="134" t="s">
        <v>187</v>
      </c>
      <c r="E22" s="134">
        <v>681</v>
      </c>
      <c r="F22" s="134">
        <v>52</v>
      </c>
      <c r="G22" s="151">
        <v>14</v>
      </c>
      <c r="H22" s="151">
        <v>-758</v>
      </c>
      <c r="I22" s="151">
        <v>-758</v>
      </c>
      <c r="J22" s="152">
        <f t="shared" si="1"/>
        <v>-758</v>
      </c>
      <c r="K22" s="134">
        <v>-758</v>
      </c>
      <c r="L22" s="436">
        <v>0</v>
      </c>
    </row>
    <row r="23" spans="1:14" x14ac:dyDescent="0.3">
      <c r="A23" s="140"/>
      <c r="B23" s="134" t="s">
        <v>181</v>
      </c>
      <c r="C23" s="134">
        <v>1</v>
      </c>
      <c r="D23" s="134">
        <v>-310</v>
      </c>
      <c r="E23" s="134">
        <v>-122</v>
      </c>
      <c r="F23" s="134">
        <v>-56</v>
      </c>
      <c r="G23" s="151">
        <v>16</v>
      </c>
      <c r="H23" s="151">
        <v>70</v>
      </c>
      <c r="I23" s="151">
        <v>83</v>
      </c>
      <c r="J23" s="152">
        <f t="shared" si="1"/>
        <v>35</v>
      </c>
      <c r="K23" s="134">
        <v>35</v>
      </c>
      <c r="L23" s="436">
        <v>18</v>
      </c>
    </row>
    <row r="24" spans="1:14" ht="17.25" customHeight="1" x14ac:dyDescent="0.3">
      <c r="A24" s="140"/>
      <c r="B24" s="134" t="s">
        <v>182</v>
      </c>
      <c r="C24" s="134">
        <v>45</v>
      </c>
      <c r="D24" s="134">
        <v>182</v>
      </c>
      <c r="E24" s="134">
        <v>77</v>
      </c>
      <c r="F24" s="134">
        <v>7</v>
      </c>
      <c r="G24" s="152">
        <v>-22</v>
      </c>
      <c r="H24" s="151">
        <v>-9</v>
      </c>
      <c r="I24" s="151">
        <v>-63</v>
      </c>
      <c r="J24" s="152">
        <f t="shared" si="1"/>
        <v>-134</v>
      </c>
      <c r="K24" s="134">
        <v>-134</v>
      </c>
      <c r="L24" s="436">
        <v>6</v>
      </c>
    </row>
    <row r="25" spans="1:14" x14ac:dyDescent="0.3">
      <c r="A25" s="140"/>
      <c r="B25" s="134" t="s">
        <v>228</v>
      </c>
      <c r="C25" s="134">
        <v>-44</v>
      </c>
      <c r="D25" s="134">
        <v>70</v>
      </c>
      <c r="E25" s="134">
        <v>-16</v>
      </c>
      <c r="F25" s="134">
        <v>-30</v>
      </c>
      <c r="G25" s="151">
        <v>-24</v>
      </c>
      <c r="H25" s="151">
        <v>75</v>
      </c>
      <c r="I25" s="151">
        <v>62</v>
      </c>
      <c r="J25" s="152">
        <f t="shared" si="1"/>
        <v>97</v>
      </c>
      <c r="K25" s="134">
        <v>97</v>
      </c>
      <c r="L25" s="436">
        <v>-1</v>
      </c>
    </row>
    <row r="26" spans="1:14" x14ac:dyDescent="0.3">
      <c r="A26" s="140"/>
      <c r="B26" s="134" t="s">
        <v>18</v>
      </c>
      <c r="C26" s="137">
        <v>1655</v>
      </c>
      <c r="D26" s="137">
        <v>3067</v>
      </c>
      <c r="E26" s="137">
        <v>3119</v>
      </c>
      <c r="F26" s="137">
        <v>2816</v>
      </c>
      <c r="G26" s="151">
        <v>827</v>
      </c>
      <c r="H26" s="152">
        <v>1070</v>
      </c>
      <c r="I26" s="152">
        <v>1754</v>
      </c>
      <c r="J26" s="152">
        <f t="shared" si="1"/>
        <v>2242</v>
      </c>
      <c r="K26" s="137">
        <v>2242</v>
      </c>
      <c r="L26" s="436">
        <v>545</v>
      </c>
    </row>
    <row r="27" spans="1:14" s="4" customFormat="1" ht="15" thickBot="1" x14ac:dyDescent="0.35">
      <c r="A27" s="140"/>
      <c r="B27" s="179" t="s">
        <v>267</v>
      </c>
      <c r="C27" s="179"/>
      <c r="D27" s="179"/>
      <c r="E27" s="179"/>
      <c r="F27" s="179"/>
      <c r="G27" s="179"/>
      <c r="H27" s="179"/>
      <c r="I27" s="179"/>
      <c r="J27" s="215"/>
      <c r="K27" s="411"/>
      <c r="L27" s="437"/>
      <c r="N27" s="350"/>
    </row>
    <row r="28" spans="1:14" ht="15" thickTop="1" x14ac:dyDescent="0.3">
      <c r="A28" s="140"/>
      <c r="B28" s="134" t="s">
        <v>268</v>
      </c>
      <c r="C28" s="134">
        <v>-778</v>
      </c>
      <c r="D28" s="134">
        <v>-717</v>
      </c>
      <c r="E28" s="134">
        <v>-952</v>
      </c>
      <c r="F28" s="134">
        <v>-628</v>
      </c>
      <c r="G28" s="151">
        <v>-160</v>
      </c>
      <c r="H28" s="151">
        <v>-306</v>
      </c>
      <c r="I28" s="151">
        <v>-456</v>
      </c>
      <c r="J28" s="152">
        <f t="shared" si="1"/>
        <v>-612</v>
      </c>
      <c r="K28" s="134">
        <v>-612</v>
      </c>
      <c r="L28" s="436">
        <v>-151</v>
      </c>
    </row>
    <row r="29" spans="1:14" x14ac:dyDescent="0.3">
      <c r="A29" s="140"/>
      <c r="B29" s="134" t="s">
        <v>19</v>
      </c>
      <c r="C29" s="134">
        <v>-15</v>
      </c>
      <c r="D29" s="137">
        <v>-3526</v>
      </c>
      <c r="E29" s="134">
        <v>-1</v>
      </c>
      <c r="F29" s="134">
        <v>-823</v>
      </c>
      <c r="G29" s="151">
        <v>0</v>
      </c>
      <c r="H29" s="151">
        <v>-6</v>
      </c>
      <c r="I29" s="151">
        <v>-247</v>
      </c>
      <c r="J29" s="152">
        <f t="shared" si="1"/>
        <v>-257</v>
      </c>
      <c r="K29" s="134">
        <v>-257</v>
      </c>
      <c r="L29" s="436">
        <v>124</v>
      </c>
    </row>
    <row r="30" spans="1:14" x14ac:dyDescent="0.3">
      <c r="A30" s="140"/>
      <c r="B30" s="134" t="s">
        <v>229</v>
      </c>
      <c r="C30" s="134"/>
      <c r="D30" s="134"/>
      <c r="E30" s="134">
        <v>-17</v>
      </c>
      <c r="F30" s="134">
        <v>-561</v>
      </c>
      <c r="G30" s="151">
        <v>-120</v>
      </c>
      <c r="H30" s="151">
        <v>-595</v>
      </c>
      <c r="I30" s="151">
        <v>-687</v>
      </c>
      <c r="J30" s="152">
        <f t="shared" si="1"/>
        <v>-857</v>
      </c>
      <c r="K30" s="134">
        <v>-857</v>
      </c>
      <c r="L30" s="436">
        <v>-236</v>
      </c>
    </row>
    <row r="31" spans="1:14" s="4" customFormat="1" x14ac:dyDescent="0.3">
      <c r="A31" s="140"/>
      <c r="B31" s="134" t="s">
        <v>230</v>
      </c>
      <c r="C31" s="134"/>
      <c r="D31" s="134"/>
      <c r="E31" s="134">
        <v>0</v>
      </c>
      <c r="F31" s="134">
        <v>72</v>
      </c>
      <c r="G31" s="151">
        <v>166</v>
      </c>
      <c r="H31" s="151">
        <v>637</v>
      </c>
      <c r="I31" s="151">
        <v>672</v>
      </c>
      <c r="J31" s="152">
        <f t="shared" si="1"/>
        <v>768</v>
      </c>
      <c r="K31" s="134">
        <v>768</v>
      </c>
      <c r="L31" s="436">
        <v>-10</v>
      </c>
      <c r="N31" s="350"/>
    </row>
    <row r="32" spans="1:14" x14ac:dyDescent="0.3">
      <c r="A32" s="140"/>
      <c r="B32" s="134" t="s">
        <v>231</v>
      </c>
      <c r="C32" s="134"/>
      <c r="D32" s="137"/>
      <c r="E32" s="134">
        <v>0</v>
      </c>
      <c r="F32" s="134">
        <v>4</v>
      </c>
      <c r="G32" s="152">
        <v>-12</v>
      </c>
      <c r="H32" s="151">
        <v>16</v>
      </c>
      <c r="I32" s="151">
        <v>6</v>
      </c>
      <c r="J32" s="152">
        <f t="shared" si="1"/>
        <v>5</v>
      </c>
      <c r="K32" s="134">
        <v>5</v>
      </c>
      <c r="L32" s="484">
        <v>0</v>
      </c>
    </row>
    <row r="33" spans="1:12" x14ac:dyDescent="0.3">
      <c r="A33" s="140"/>
      <c r="B33" s="134" t="s">
        <v>20</v>
      </c>
      <c r="C33" s="134">
        <v>-793</v>
      </c>
      <c r="D33" s="137">
        <v>-4167</v>
      </c>
      <c r="E33" s="134">
        <v>-970</v>
      </c>
      <c r="F33" s="137">
        <v>-1936</v>
      </c>
      <c r="G33" s="151">
        <v>-126</v>
      </c>
      <c r="H33" s="151">
        <v>-254</v>
      </c>
      <c r="I33" s="151">
        <v>-712</v>
      </c>
      <c r="J33" s="152">
        <f t="shared" si="1"/>
        <v>-953</v>
      </c>
      <c r="K33" s="134">
        <v>-953</v>
      </c>
      <c r="L33" s="436">
        <v>-273</v>
      </c>
    </row>
    <row r="34" spans="1:12" ht="15" customHeight="1" thickBot="1" x14ac:dyDescent="0.35">
      <c r="A34" s="140"/>
      <c r="B34" s="411" t="s">
        <v>232</v>
      </c>
      <c r="C34" s="411"/>
      <c r="D34" s="411"/>
      <c r="E34" s="411"/>
      <c r="F34" s="411"/>
      <c r="G34" s="179"/>
      <c r="H34" s="179"/>
      <c r="I34" s="179"/>
      <c r="J34" s="215"/>
      <c r="K34" s="411"/>
      <c r="L34" s="437"/>
    </row>
    <row r="35" spans="1:12" ht="15" thickTop="1" x14ac:dyDescent="0.3">
      <c r="A35" s="140"/>
      <c r="B35" s="134" t="s">
        <v>233</v>
      </c>
      <c r="C35" s="134">
        <v>58</v>
      </c>
      <c r="D35" s="134">
        <v>74</v>
      </c>
      <c r="E35" s="134">
        <v>185</v>
      </c>
      <c r="F35" s="134">
        <v>187</v>
      </c>
      <c r="G35" s="151">
        <v>39</v>
      </c>
      <c r="H35" s="151">
        <v>112</v>
      </c>
      <c r="I35" s="151">
        <v>146</v>
      </c>
      <c r="J35" s="152">
        <f t="shared" si="1"/>
        <v>212</v>
      </c>
      <c r="K35" s="134">
        <v>212</v>
      </c>
      <c r="L35" s="436">
        <v>15</v>
      </c>
    </row>
    <row r="36" spans="1:12" x14ac:dyDescent="0.3">
      <c r="A36" s="140"/>
      <c r="B36" s="134" t="s">
        <v>234</v>
      </c>
      <c r="C36" s="134">
        <v>-8</v>
      </c>
      <c r="D36" s="134">
        <v>-15</v>
      </c>
      <c r="E36" s="134">
        <v>-25</v>
      </c>
      <c r="F36" s="134">
        <v>-32</v>
      </c>
      <c r="G36" s="151">
        <v>-57</v>
      </c>
      <c r="H36" s="151">
        <v>-59</v>
      </c>
      <c r="I36" s="151">
        <v>-61</v>
      </c>
      <c r="J36" s="152">
        <f t="shared" si="1"/>
        <v>-64</v>
      </c>
      <c r="K36" s="134">
        <v>-64</v>
      </c>
      <c r="L36" s="436">
        <v>-43</v>
      </c>
    </row>
    <row r="37" spans="1:12" x14ac:dyDescent="0.3">
      <c r="A37" s="140"/>
      <c r="B37" s="134" t="s">
        <v>235</v>
      </c>
      <c r="C37" s="134"/>
      <c r="D37" s="134">
        <v>82</v>
      </c>
      <c r="E37" s="134">
        <v>45</v>
      </c>
      <c r="F37" s="134">
        <v>60</v>
      </c>
      <c r="G37" s="151">
        <v>20</v>
      </c>
      <c r="H37" s="151">
        <v>11</v>
      </c>
      <c r="I37" s="151">
        <v>27</v>
      </c>
      <c r="J37" s="152">
        <f t="shared" si="1"/>
        <v>19</v>
      </c>
      <c r="K37" s="134">
        <v>19</v>
      </c>
      <c r="L37" s="436">
        <v>19</v>
      </c>
    </row>
    <row r="38" spans="1:12" x14ac:dyDescent="0.3">
      <c r="A38" s="140"/>
      <c r="B38" s="134" t="s">
        <v>236</v>
      </c>
      <c r="C38" s="134">
        <v>-50</v>
      </c>
      <c r="D38" s="134">
        <v>-604</v>
      </c>
      <c r="E38" s="134">
        <v>-842</v>
      </c>
      <c r="F38" s="134">
        <v>-816</v>
      </c>
      <c r="G38" s="151">
        <v>-223</v>
      </c>
      <c r="H38" s="151">
        <v>-532</v>
      </c>
      <c r="I38" s="151">
        <v>-772</v>
      </c>
      <c r="J38" s="152">
        <f t="shared" si="1"/>
        <v>-970</v>
      </c>
      <c r="K38" s="134">
        <v>-970</v>
      </c>
      <c r="L38" s="436">
        <v>-60</v>
      </c>
    </row>
    <row r="39" spans="1:12" x14ac:dyDescent="0.3">
      <c r="A39" s="140"/>
      <c r="B39" s="134" t="s">
        <v>237</v>
      </c>
      <c r="C39" s="134"/>
      <c r="D39" s="134"/>
      <c r="E39" s="134">
        <v>-181</v>
      </c>
      <c r="F39" s="134">
        <v>-259</v>
      </c>
      <c r="G39" s="152">
        <v>-94</v>
      </c>
      <c r="H39" s="151">
        <v>-187</v>
      </c>
      <c r="I39" s="151">
        <v>-280</v>
      </c>
      <c r="J39" s="152">
        <f t="shared" si="1"/>
        <v>-396</v>
      </c>
      <c r="K39" s="134">
        <v>-396</v>
      </c>
      <c r="L39" s="436">
        <v>-115</v>
      </c>
    </row>
    <row r="40" spans="1:12" x14ac:dyDescent="0.3">
      <c r="A40" s="140"/>
      <c r="B40" s="135" t="s">
        <v>238</v>
      </c>
      <c r="C40" s="135">
        <v>-106</v>
      </c>
      <c r="D40" s="135">
        <v>-908</v>
      </c>
      <c r="E40" s="135">
        <v>-230</v>
      </c>
      <c r="F40" s="138">
        <v>-2517</v>
      </c>
      <c r="G40" s="151">
        <v>-31</v>
      </c>
      <c r="H40" s="151">
        <v>-63</v>
      </c>
      <c r="I40" s="151">
        <v>-94</v>
      </c>
      <c r="J40" s="152">
        <f t="shared" si="1"/>
        <v>-125</v>
      </c>
      <c r="K40" s="135">
        <v>-125</v>
      </c>
      <c r="L40" s="436">
        <v>-31</v>
      </c>
    </row>
    <row r="41" spans="1:12" x14ac:dyDescent="0.3">
      <c r="A41" s="140"/>
      <c r="B41" s="135" t="s">
        <v>239</v>
      </c>
      <c r="C41" s="134"/>
      <c r="D41" s="137">
        <v>2775</v>
      </c>
      <c r="E41" s="135">
        <v>0</v>
      </c>
      <c r="F41" s="138">
        <v>2992</v>
      </c>
      <c r="G41" s="152">
        <v>0</v>
      </c>
      <c r="H41" s="151">
        <v>0</v>
      </c>
      <c r="I41" s="151">
        <v>0</v>
      </c>
      <c r="J41" s="152">
        <f t="shared" si="1"/>
        <v>255</v>
      </c>
      <c r="K41" s="135">
        <v>255</v>
      </c>
      <c r="L41" s="442">
        <v>0</v>
      </c>
    </row>
    <row r="42" spans="1:12" x14ac:dyDescent="0.3">
      <c r="A42" s="140"/>
      <c r="B42" s="134"/>
      <c r="C42" s="134"/>
      <c r="D42" s="134">
        <v>-585</v>
      </c>
      <c r="E42" s="138"/>
      <c r="F42" s="134"/>
      <c r="G42" s="151"/>
      <c r="H42" s="152"/>
      <c r="I42" s="152"/>
      <c r="J42" s="152"/>
      <c r="K42" s="138"/>
      <c r="L42" s="436"/>
    </row>
    <row r="43" spans="1:12" x14ac:dyDescent="0.3">
      <c r="A43" s="140"/>
      <c r="B43" s="135" t="s">
        <v>240</v>
      </c>
      <c r="C43" s="135">
        <v>-106</v>
      </c>
      <c r="D43" s="135">
        <v>819</v>
      </c>
      <c r="E43" s="138">
        <v>-1048</v>
      </c>
      <c r="F43" s="135">
        <v>-385</v>
      </c>
      <c r="G43" s="151">
        <v>-346</v>
      </c>
      <c r="H43" s="152">
        <v>-718</v>
      </c>
      <c r="I43" s="152">
        <v>-1034</v>
      </c>
      <c r="J43" s="152">
        <f t="shared" si="1"/>
        <v>-1069</v>
      </c>
      <c r="K43" s="138">
        <v>-1069</v>
      </c>
      <c r="L43" s="436">
        <v>-215</v>
      </c>
    </row>
    <row r="44" spans="1:12" x14ac:dyDescent="0.3">
      <c r="A44" s="140"/>
      <c r="B44" s="135" t="s">
        <v>241</v>
      </c>
      <c r="C44" s="135"/>
      <c r="D44" s="135">
        <v>-1</v>
      </c>
      <c r="E44" s="137"/>
      <c r="F44" s="134"/>
      <c r="G44" s="152">
        <v>355</v>
      </c>
      <c r="H44" s="151">
        <v>98</v>
      </c>
      <c r="I44" s="151">
        <v>8</v>
      </c>
      <c r="J44" s="152">
        <f t="shared" si="1"/>
        <v>0</v>
      </c>
      <c r="K44" s="134"/>
      <c r="L44" s="436"/>
    </row>
    <row r="45" spans="1:12" x14ac:dyDescent="0.3">
      <c r="A45" s="140"/>
      <c r="B45" s="134" t="s">
        <v>242</v>
      </c>
      <c r="C45" s="135">
        <v>756</v>
      </c>
      <c r="D45" s="135">
        <v>-282</v>
      </c>
      <c r="E45" s="137">
        <v>1101</v>
      </c>
      <c r="F45" s="134">
        <v>495</v>
      </c>
      <c r="G45" s="151"/>
      <c r="H45" s="151"/>
      <c r="I45" s="151"/>
      <c r="J45" s="152">
        <f t="shared" si="1"/>
        <v>220</v>
      </c>
      <c r="K45" s="134">
        <v>220</v>
      </c>
      <c r="L45" s="436">
        <v>57</v>
      </c>
    </row>
    <row r="46" spans="1:12" x14ac:dyDescent="0.3">
      <c r="A46" s="140"/>
      <c r="B46" s="134" t="s">
        <v>243</v>
      </c>
      <c r="C46" s="137">
        <v>2734</v>
      </c>
      <c r="D46" s="137">
        <v>3490</v>
      </c>
      <c r="E46" s="137">
        <v>3208</v>
      </c>
      <c r="F46" s="137">
        <v>4309</v>
      </c>
      <c r="G46" s="152">
        <v>4804</v>
      </c>
      <c r="H46" s="152">
        <v>4804</v>
      </c>
      <c r="I46" s="152">
        <v>4804</v>
      </c>
      <c r="J46" s="152">
        <f t="shared" si="1"/>
        <v>4804</v>
      </c>
      <c r="K46" s="137">
        <v>4804</v>
      </c>
      <c r="L46" s="442">
        <v>5024</v>
      </c>
    </row>
    <row r="47" spans="1:12" x14ac:dyDescent="0.3">
      <c r="A47" s="140"/>
      <c r="B47" s="134" t="s">
        <v>244</v>
      </c>
      <c r="C47" s="137">
        <v>3490</v>
      </c>
      <c r="D47" s="137">
        <v>3208</v>
      </c>
      <c r="E47" s="137">
        <v>4309</v>
      </c>
      <c r="F47" s="137">
        <v>4804</v>
      </c>
      <c r="G47" s="152">
        <v>5159</v>
      </c>
      <c r="H47" s="152">
        <v>4902</v>
      </c>
      <c r="I47" s="152">
        <v>4812</v>
      </c>
      <c r="J47" s="152">
        <f t="shared" si="1"/>
        <v>5024</v>
      </c>
      <c r="K47" s="137">
        <v>5024</v>
      </c>
      <c r="L47" s="442">
        <v>5081</v>
      </c>
    </row>
    <row r="48" spans="1:12" x14ac:dyDescent="0.3">
      <c r="A48" s="140"/>
      <c r="B48" s="134" t="s">
        <v>21</v>
      </c>
      <c r="C48" s="134"/>
      <c r="D48" s="134"/>
      <c r="E48" s="134"/>
      <c r="F48" s="134"/>
      <c r="G48" s="151"/>
      <c r="H48" s="151"/>
      <c r="I48" s="151"/>
      <c r="J48" s="152"/>
      <c r="K48" s="134"/>
      <c r="L48" s="436"/>
    </row>
    <row r="49" spans="1:14" x14ac:dyDescent="0.3">
      <c r="A49" s="140"/>
      <c r="B49" s="134" t="s">
        <v>245</v>
      </c>
      <c r="C49" s="134">
        <v>10</v>
      </c>
      <c r="D49" s="134">
        <v>16</v>
      </c>
      <c r="E49" s="134">
        <v>146</v>
      </c>
      <c r="F49" s="134">
        <v>141</v>
      </c>
      <c r="G49" s="151">
        <v>10</v>
      </c>
      <c r="H49" s="151">
        <v>-45</v>
      </c>
      <c r="I49" s="151">
        <v>39</v>
      </c>
      <c r="J49" s="152">
        <f t="shared" si="1"/>
        <v>47</v>
      </c>
      <c r="K49" s="134">
        <v>47</v>
      </c>
      <c r="L49" s="436">
        <v>8</v>
      </c>
    </row>
    <row r="50" spans="1:14" x14ac:dyDescent="0.3">
      <c r="A50" s="140"/>
      <c r="B50" s="134" t="s">
        <v>246</v>
      </c>
      <c r="C50" s="134">
        <v>6</v>
      </c>
      <c r="D50" s="134">
        <v>22</v>
      </c>
      <c r="E50" s="134">
        <v>49</v>
      </c>
      <c r="F50" s="134">
        <v>46</v>
      </c>
      <c r="G50" s="151">
        <v>12</v>
      </c>
      <c r="H50" s="151">
        <v>23</v>
      </c>
      <c r="I50" s="151">
        <v>33</v>
      </c>
      <c r="J50" s="152">
        <f t="shared" si="1"/>
        <v>45</v>
      </c>
      <c r="K50" s="134">
        <v>45</v>
      </c>
      <c r="L50" s="436">
        <v>11</v>
      </c>
    </row>
    <row r="51" spans="1:14" x14ac:dyDescent="0.3">
      <c r="A51" s="140"/>
      <c r="B51" s="134" t="s">
        <v>247</v>
      </c>
      <c r="C51" s="134"/>
      <c r="D51" s="134"/>
      <c r="E51" s="134"/>
      <c r="F51" s="134"/>
      <c r="G51" s="153"/>
      <c r="H51" s="151"/>
      <c r="I51" s="151"/>
      <c r="J51" s="152"/>
      <c r="K51" s="134"/>
      <c r="L51" s="436"/>
    </row>
    <row r="52" spans="1:14" x14ac:dyDescent="0.3">
      <c r="A52" s="140"/>
      <c r="B52" s="134" t="s">
        <v>248</v>
      </c>
      <c r="C52" s="134" t="s">
        <v>187</v>
      </c>
      <c r="D52" s="134">
        <v>877</v>
      </c>
      <c r="E52" s="136"/>
      <c r="F52" s="136"/>
      <c r="G52" s="153"/>
      <c r="H52" s="153"/>
      <c r="I52" s="153"/>
      <c r="J52" s="152"/>
      <c r="K52" s="136"/>
      <c r="L52" s="436"/>
    </row>
    <row r="53" spans="1:14" x14ac:dyDescent="0.3">
      <c r="A53" s="140"/>
      <c r="B53" s="134" t="s">
        <v>249</v>
      </c>
      <c r="C53" s="134"/>
      <c r="D53" s="134"/>
      <c r="E53" s="136">
        <v>59</v>
      </c>
      <c r="F53" s="136">
        <v>94</v>
      </c>
      <c r="G53" s="153">
        <v>94</v>
      </c>
      <c r="H53" s="153">
        <v>93</v>
      </c>
      <c r="I53" s="153">
        <v>116</v>
      </c>
      <c r="J53" s="152">
        <f t="shared" si="1"/>
        <v>116</v>
      </c>
      <c r="K53" s="136">
        <v>116</v>
      </c>
      <c r="L53" s="469">
        <v>116</v>
      </c>
    </row>
    <row r="54" spans="1:14" ht="47.55" customHeight="1" x14ac:dyDescent="0.3">
      <c r="A54" s="140"/>
      <c r="B54" s="3"/>
      <c r="C54" s="3"/>
      <c r="D54" s="3"/>
      <c r="E54" s="3"/>
      <c r="F54" s="3"/>
      <c r="G54" s="3"/>
      <c r="H54" s="3"/>
      <c r="I54" s="3"/>
    </row>
    <row r="55" spans="1:14" s="353" customFormat="1" ht="47.55" customHeight="1" x14ac:dyDescent="0.3">
      <c r="A55" s="140"/>
      <c r="B55" s="331"/>
      <c r="C55" s="331"/>
      <c r="D55" s="331"/>
      <c r="E55" s="331"/>
      <c r="F55" s="331"/>
      <c r="H55" s="331"/>
      <c r="I55" s="331"/>
      <c r="L55" s="429"/>
      <c r="N55" s="35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2" zoomScaleNormal="82" zoomScalePageLayoutView="82" workbookViewId="0"/>
  </sheetViews>
  <sheetFormatPr defaultColWidth="8.77734375" defaultRowHeight="14.4" x14ac:dyDescent="0.3"/>
  <cols>
    <col min="1" max="1" width="8.77734375" customWidth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13"/>
  <sheetViews>
    <sheetView showGridLines="0" workbookViewId="0">
      <selection activeCell="E17" sqref="E17"/>
    </sheetView>
  </sheetViews>
  <sheetFormatPr defaultColWidth="8.77734375" defaultRowHeight="14.4" x14ac:dyDescent="0.3"/>
  <cols>
    <col min="1" max="1" width="3.44140625" customWidth="1"/>
    <col min="2" max="2" width="15.44140625" bestFit="1" customWidth="1"/>
    <col min="3" max="3" width="9.44140625" bestFit="1" customWidth="1"/>
    <col min="4" max="4" width="24.44140625" style="436" customWidth="1"/>
    <col min="6" max="6" width="8.77734375" style="436"/>
    <col min="8" max="8" width="8.77734375" style="350"/>
  </cols>
  <sheetData>
    <row r="1" spans="2:8" ht="18" customHeight="1" thickBot="1" x14ac:dyDescent="0.35">
      <c r="H1" s="149"/>
    </row>
    <row r="2" spans="2:8" ht="42" customHeight="1" x14ac:dyDescent="0.3">
      <c r="B2" s="16"/>
      <c r="C2" s="8"/>
      <c r="D2" s="440"/>
      <c r="E2" s="9"/>
      <c r="F2" s="439"/>
    </row>
    <row r="3" spans="2:8" ht="3.75" customHeight="1" x14ac:dyDescent="0.3">
      <c r="B3" s="131"/>
      <c r="C3" s="132"/>
      <c r="D3" s="470"/>
      <c r="E3" s="133"/>
      <c r="F3" s="470"/>
    </row>
    <row r="4" spans="2:8" x14ac:dyDescent="0.3">
      <c r="B4" s="17" t="s">
        <v>97</v>
      </c>
      <c r="C4" s="3"/>
      <c r="D4" s="439"/>
      <c r="E4" s="2"/>
      <c r="F4" s="439"/>
    </row>
    <row r="5" spans="2:8" x14ac:dyDescent="0.3">
      <c r="B5" s="17"/>
      <c r="C5" s="74" t="s">
        <v>97</v>
      </c>
      <c r="D5" s="418" t="s">
        <v>313</v>
      </c>
      <c r="E5" s="78" t="s">
        <v>104</v>
      </c>
      <c r="F5" s="449"/>
    </row>
    <row r="6" spans="2:8" x14ac:dyDescent="0.3">
      <c r="B6" s="79" t="s">
        <v>98</v>
      </c>
      <c r="C6" s="75">
        <f>DCF!C48</f>
        <v>94.845034922732196</v>
      </c>
      <c r="D6" s="413">
        <f>(C6/C9)</f>
        <v>1.4917432356516547</v>
      </c>
      <c r="E6" s="19">
        <v>0.33</v>
      </c>
      <c r="F6" s="446"/>
      <c r="G6" s="52"/>
    </row>
    <row r="7" spans="2:8" x14ac:dyDescent="0.3">
      <c r="B7" s="53" t="s">
        <v>99</v>
      </c>
      <c r="C7" s="75">
        <f>Relative!R29</f>
        <v>100.91185818899592</v>
      </c>
      <c r="D7" s="413">
        <f>(C7/C9)</f>
        <v>1.5871635449669066</v>
      </c>
      <c r="E7" s="19">
        <v>0.33</v>
      </c>
      <c r="F7" s="446"/>
      <c r="G7" s="52"/>
    </row>
    <row r="8" spans="2:8" x14ac:dyDescent="0.3">
      <c r="B8" s="53" t="s">
        <v>100</v>
      </c>
      <c r="C8" s="76">
        <f>Historical!C21</f>
        <v>69.609134442386889</v>
      </c>
      <c r="D8" s="413">
        <f>(C8/C9)</f>
        <v>1.0948275313366922</v>
      </c>
      <c r="E8" s="19">
        <v>0.33</v>
      </c>
      <c r="F8" s="446"/>
      <c r="G8" s="52"/>
    </row>
    <row r="9" spans="2:8" x14ac:dyDescent="0.3">
      <c r="B9" s="60" t="s">
        <v>101</v>
      </c>
      <c r="C9" s="77">
        <v>63.58</v>
      </c>
      <c r="D9" s="467"/>
      <c r="E9" s="61"/>
      <c r="F9" s="439"/>
    </row>
    <row r="10" spans="2:8" x14ac:dyDescent="0.3">
      <c r="B10" s="62" t="s">
        <v>96</v>
      </c>
      <c r="C10" s="76">
        <f>(C6*E6)+(C7*E7)+(C8*E8)</f>
        <v>87.57078909285795</v>
      </c>
      <c r="D10" s="466"/>
      <c r="E10" s="2"/>
      <c r="F10" s="439"/>
    </row>
    <row r="11" spans="2:8" ht="15" thickBot="1" x14ac:dyDescent="0.35">
      <c r="B11" s="55" t="s">
        <v>102</v>
      </c>
      <c r="C11" s="82">
        <f>(C10-C9)/C9</f>
        <v>0.37733232294523361</v>
      </c>
      <c r="D11" s="468"/>
      <c r="E11" s="15"/>
      <c r="F11" s="439"/>
    </row>
    <row r="12" spans="2:8" ht="47.55" customHeight="1" x14ac:dyDescent="0.3">
      <c r="C12" s="52"/>
      <c r="D12" s="450"/>
    </row>
    <row r="13" spans="2:8" s="353" customFormat="1" ht="47.55" customHeight="1" x14ac:dyDescent="0.3">
      <c r="D13" s="511"/>
      <c r="F13" s="511"/>
      <c r="H13" s="350"/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68"/>
  <sheetViews>
    <sheetView showGridLines="0" zoomScale="90" zoomScaleNormal="90" zoomScalePageLayoutView="90" workbookViewId="0">
      <pane xSplit="1" ySplit="1" topLeftCell="B2" activePane="bottomRight" state="frozen"/>
      <selection pane="topRight" activeCell="B1" sqref="B1"/>
      <selection pane="bottomLeft" activeCell="A9" sqref="A9"/>
      <selection pane="bottomRight" activeCell="D4" sqref="D4"/>
    </sheetView>
  </sheetViews>
  <sheetFormatPr defaultColWidth="8.77734375" defaultRowHeight="14.4" x14ac:dyDescent="0.3"/>
  <cols>
    <col min="1" max="1" width="3.44140625" style="142" customWidth="1"/>
    <col min="2" max="2" width="6.6640625" style="141" customWidth="1"/>
    <col min="3" max="3" width="12.77734375" style="141" customWidth="1"/>
    <col min="4" max="4" width="8.6640625" style="141" customWidth="1"/>
    <col min="5" max="5" width="8.44140625" style="141" customWidth="1"/>
    <col min="6" max="6" width="7.44140625" style="141" customWidth="1"/>
    <col min="7" max="7" width="8.6640625" style="141" customWidth="1"/>
    <col min="8" max="8" width="12.33203125" customWidth="1"/>
    <col min="9" max="9" width="9.33203125" bestFit="1" customWidth="1"/>
    <col min="10" max="10" width="7.44140625" style="4" bestFit="1" customWidth="1"/>
    <col min="11" max="11" width="9.33203125" bestFit="1" customWidth="1"/>
    <col min="12" max="12" width="7.44140625" bestFit="1" customWidth="1"/>
    <col min="14" max="14" width="11.44140625" customWidth="1"/>
    <col min="20" max="20" width="10.109375" customWidth="1"/>
    <col min="26" max="26" width="8.77734375" style="350"/>
  </cols>
  <sheetData>
    <row r="1" spans="1:26" s="142" customFormat="1" ht="16.05" thickBot="1" x14ac:dyDescent="0.25">
      <c r="A1" s="359"/>
      <c r="B1" s="359"/>
      <c r="C1" s="359"/>
      <c r="D1" s="359"/>
      <c r="E1" s="359"/>
      <c r="F1" s="359"/>
      <c r="G1" s="359"/>
      <c r="H1" s="140"/>
      <c r="I1" s="140"/>
      <c r="J1" s="140"/>
      <c r="K1" s="140"/>
      <c r="L1" s="140"/>
      <c r="M1" s="140"/>
      <c r="Z1" s="149"/>
    </row>
    <row r="2" spans="1:26" ht="15" x14ac:dyDescent="0.2">
      <c r="A2" s="360"/>
      <c r="B2" s="148"/>
      <c r="C2" s="148"/>
      <c r="D2" s="148"/>
      <c r="E2" s="148"/>
      <c r="F2" s="148"/>
      <c r="G2" s="148"/>
      <c r="H2" s="95"/>
      <c r="I2" s="96"/>
      <c r="J2" s="96"/>
      <c r="K2" s="96"/>
      <c r="L2" s="97"/>
      <c r="M2" s="3"/>
      <c r="N2" s="106"/>
      <c r="O2" s="107"/>
      <c r="P2" s="107"/>
      <c r="Q2" s="107"/>
      <c r="R2" s="108"/>
      <c r="T2" s="115"/>
      <c r="U2" s="116"/>
      <c r="V2" s="116"/>
      <c r="W2" s="116"/>
      <c r="X2" s="117"/>
    </row>
    <row r="3" spans="1:26" ht="16.05" thickBot="1" x14ac:dyDescent="0.25">
      <c r="A3" s="361"/>
      <c r="B3" s="155"/>
      <c r="C3" s="170"/>
      <c r="D3" s="170"/>
      <c r="E3" s="170"/>
      <c r="F3" s="168"/>
      <c r="G3" s="155"/>
      <c r="H3" s="363"/>
      <c r="I3" s="364"/>
      <c r="J3" s="364"/>
      <c r="K3" s="364"/>
      <c r="L3" s="365"/>
      <c r="M3" s="3"/>
      <c r="N3" s="363"/>
      <c r="O3" s="364"/>
      <c r="P3" s="364"/>
      <c r="Q3" s="364"/>
      <c r="R3" s="365"/>
      <c r="T3" s="363"/>
      <c r="U3" s="364"/>
      <c r="V3" s="364"/>
      <c r="W3" s="364"/>
      <c r="X3" s="365"/>
    </row>
    <row r="4" spans="1:26" ht="16.05" thickBot="1" x14ac:dyDescent="0.25">
      <c r="A4" s="362"/>
      <c r="B4" s="145"/>
      <c r="C4" s="170"/>
      <c r="D4" s="171" t="s">
        <v>255</v>
      </c>
      <c r="E4" s="172" t="s">
        <v>256</v>
      </c>
      <c r="F4" s="173" t="s">
        <v>257</v>
      </c>
      <c r="G4" s="145"/>
      <c r="H4" s="94" t="s">
        <v>250</v>
      </c>
      <c r="I4" s="98"/>
      <c r="J4" s="98"/>
      <c r="K4" s="98"/>
      <c r="L4" s="99"/>
      <c r="M4" s="3"/>
      <c r="N4" s="105" t="s">
        <v>250</v>
      </c>
      <c r="O4" s="109"/>
      <c r="P4" s="109"/>
      <c r="Q4" s="109"/>
      <c r="R4" s="110"/>
      <c r="T4" s="114" t="s">
        <v>250</v>
      </c>
      <c r="U4" s="118"/>
      <c r="V4" s="118"/>
      <c r="W4" s="118"/>
      <c r="X4" s="119"/>
    </row>
    <row r="5" spans="1:26" ht="15" x14ac:dyDescent="0.2">
      <c r="A5" s="362"/>
      <c r="B5" s="145"/>
      <c r="C5" s="174" t="s">
        <v>23</v>
      </c>
      <c r="D5" s="175">
        <f>SLOPE(J8:J1257,L8:L1257)</f>
        <v>1.2443658286338797</v>
      </c>
      <c r="E5" s="175">
        <f>SLOPE(P8:P217,R8:R217)</f>
        <v>1.5406574684353094</v>
      </c>
      <c r="F5" s="175">
        <f>SLOPE(V8:V55,X8:X55)</f>
        <v>1.6192854029821977</v>
      </c>
      <c r="G5" s="145"/>
      <c r="H5" s="94"/>
      <c r="I5" s="98"/>
      <c r="J5" s="98"/>
      <c r="K5" s="98"/>
      <c r="L5" s="99"/>
      <c r="M5" s="3"/>
      <c r="N5" s="105"/>
      <c r="O5" s="109"/>
      <c r="P5" s="109"/>
      <c r="Q5" s="109"/>
      <c r="R5" s="110"/>
      <c r="T5" s="114"/>
      <c r="U5" s="118"/>
      <c r="V5" s="118"/>
      <c r="W5" s="118"/>
      <c r="X5" s="119"/>
    </row>
    <row r="6" spans="1:26" ht="15" x14ac:dyDescent="0.2">
      <c r="A6" s="362"/>
      <c r="B6" s="145"/>
      <c r="C6" s="176" t="s">
        <v>258</v>
      </c>
      <c r="D6" s="177">
        <f>CORREL(J8:J1257,L8:L1257)</f>
        <v>0.48701576249021916</v>
      </c>
      <c r="E6" s="177">
        <f>CORREL(P8:P217,R8:R217)</f>
        <v>0.57642798273400031</v>
      </c>
      <c r="F6" s="177">
        <f>CORREL(V8:V55,X8:X55)</f>
        <v>0.50704972200629839</v>
      </c>
      <c r="G6" s="145"/>
      <c r="H6" s="94"/>
      <c r="I6" s="518" t="s">
        <v>139</v>
      </c>
      <c r="J6" s="518"/>
      <c r="K6" s="519" t="s">
        <v>251</v>
      </c>
      <c r="L6" s="519"/>
      <c r="M6" s="3"/>
      <c r="N6" s="105"/>
      <c r="O6" s="518" t="s">
        <v>22</v>
      </c>
      <c r="P6" s="518"/>
      <c r="Q6" s="519" t="s">
        <v>251</v>
      </c>
      <c r="R6" s="519"/>
      <c r="T6" s="114"/>
      <c r="U6" s="518" t="s">
        <v>22</v>
      </c>
      <c r="V6" s="518"/>
      <c r="W6" s="519" t="s">
        <v>251</v>
      </c>
      <c r="X6" s="519"/>
    </row>
    <row r="7" spans="1:26" ht="15" x14ac:dyDescent="0.2">
      <c r="A7" s="362"/>
      <c r="B7" s="145"/>
      <c r="C7" s="176" t="s">
        <v>259</v>
      </c>
      <c r="D7" s="177">
        <f>RSQ(J8:J1257,L8:L1257)</f>
        <v>0.23718435291392956</v>
      </c>
      <c r="E7" s="177">
        <f>RSQ(P8:P217,R8:R217)</f>
        <v>0.33226921927878883</v>
      </c>
      <c r="F7" s="177">
        <f>RSQ(L8:L1257,N8:N1257)</f>
        <v>1.6890700115613434E-2</v>
      </c>
      <c r="G7" s="145"/>
      <c r="H7" s="159" t="s">
        <v>252</v>
      </c>
      <c r="I7" s="159" t="s">
        <v>253</v>
      </c>
      <c r="J7" s="100" t="s">
        <v>254</v>
      </c>
      <c r="K7" s="165" t="s">
        <v>253</v>
      </c>
      <c r="L7" s="101" t="s">
        <v>254</v>
      </c>
      <c r="M7" s="3"/>
      <c r="N7" s="161" t="s">
        <v>252</v>
      </c>
      <c r="O7" s="161" t="s">
        <v>253</v>
      </c>
      <c r="P7" s="111" t="s">
        <v>254</v>
      </c>
      <c r="Q7" s="166" t="s">
        <v>253</v>
      </c>
      <c r="R7" s="112" t="s">
        <v>254</v>
      </c>
      <c r="T7" s="163" t="s">
        <v>252</v>
      </c>
      <c r="U7" s="163" t="s">
        <v>253</v>
      </c>
      <c r="V7" s="120" t="s">
        <v>254</v>
      </c>
      <c r="W7" s="167" t="s">
        <v>253</v>
      </c>
      <c r="X7" s="121" t="s">
        <v>254</v>
      </c>
    </row>
    <row r="8" spans="1:26" ht="15" x14ac:dyDescent="0.2">
      <c r="A8" s="359"/>
      <c r="B8" s="144"/>
      <c r="C8" s="176" t="s">
        <v>260</v>
      </c>
      <c r="D8" s="178">
        <f>COUNT(J8:J1257,L8:L1257)</f>
        <v>2500</v>
      </c>
      <c r="E8" s="178">
        <f>COUNT(P8:P217,R8:R217)</f>
        <v>420</v>
      </c>
      <c r="F8" s="178">
        <f>COUNT(V8:V55,X8:X55)</f>
        <v>96</v>
      </c>
      <c r="G8" s="144"/>
      <c r="H8" s="160">
        <v>42237</v>
      </c>
      <c r="I8" s="159">
        <v>78.867418999999998</v>
      </c>
      <c r="J8" s="103">
        <f>(I9-I10)/I10</f>
        <v>-2.3497722305235332E-2</v>
      </c>
      <c r="K8" s="165">
        <v>1970.8900149999999</v>
      </c>
      <c r="L8" s="104">
        <f>(K9-K10)/K10</f>
        <v>-2.1100170100298469E-2</v>
      </c>
      <c r="M8" s="3"/>
      <c r="N8" s="162">
        <v>42233</v>
      </c>
      <c r="O8" s="161">
        <v>78.867416000000006</v>
      </c>
      <c r="P8" s="113">
        <f>(O9-O10)/O10</f>
        <v>-1.209440609293563E-2</v>
      </c>
      <c r="Q8" s="166">
        <v>1970.8900149999999</v>
      </c>
      <c r="R8" s="123">
        <f>(Q9-Q10)/Q10</f>
        <v>6.7241876532464495E-3</v>
      </c>
      <c r="S8" s="123"/>
      <c r="T8" s="164">
        <v>42219</v>
      </c>
      <c r="U8" s="163">
        <v>78.867416000000006</v>
      </c>
      <c r="V8" s="123">
        <f>(U9-U10)/U10</f>
        <v>9.7424092220326095E-2</v>
      </c>
      <c r="W8" s="167">
        <v>1970.8900149999999</v>
      </c>
      <c r="X8" s="123">
        <f>(W9-W10)/W10</f>
        <v>1.9742029696721345E-2</v>
      </c>
    </row>
    <row r="9" spans="1:26" ht="16.05" thickBot="1" x14ac:dyDescent="0.25">
      <c r="A9" s="359"/>
      <c r="B9" s="144"/>
      <c r="C9" s="170"/>
      <c r="D9" s="146"/>
      <c r="E9" s="146"/>
      <c r="F9" s="169"/>
      <c r="G9" s="144"/>
      <c r="H9" s="160">
        <v>42236</v>
      </c>
      <c r="I9" s="159">
        <v>79.214894000000001</v>
      </c>
      <c r="J9" s="123">
        <f>(I9-I10)/I10</f>
        <v>-2.3497722305235332E-2</v>
      </c>
      <c r="K9" s="165">
        <v>2035.7299800000001</v>
      </c>
      <c r="L9" s="124">
        <f>(K9-K10)/K10</f>
        <v>-2.1100170100298469E-2</v>
      </c>
      <c r="M9" s="3"/>
      <c r="N9" s="162">
        <v>42226</v>
      </c>
      <c r="O9" s="161">
        <v>81.905356999999995</v>
      </c>
      <c r="P9" s="113">
        <f>(O9-O10)/O10</f>
        <v>-1.209440609293563E-2</v>
      </c>
      <c r="Q9" s="166">
        <v>2091.540039</v>
      </c>
      <c r="R9" s="123">
        <f>(Q9-Q10)/Q10</f>
        <v>6.7241876532464495E-3</v>
      </c>
      <c r="S9" s="123"/>
      <c r="T9" s="164">
        <v>42186</v>
      </c>
      <c r="U9" s="163">
        <v>85.439696999999995</v>
      </c>
      <c r="V9" s="123">
        <f>(U9-U10)/U10</f>
        <v>9.7424092220326095E-2</v>
      </c>
      <c r="W9" s="167">
        <v>2103.8400879999999</v>
      </c>
      <c r="X9" s="123">
        <f>(W9-W10)/W10</f>
        <v>1.9742029696721345E-2</v>
      </c>
    </row>
    <row r="10" spans="1:26" ht="16.05" thickBot="1" x14ac:dyDescent="0.25">
      <c r="A10" s="359"/>
      <c r="B10" s="144"/>
      <c r="C10" s="308" t="s">
        <v>301</v>
      </c>
      <c r="D10" s="307">
        <f>(D5+E5+F5)/3</f>
        <v>1.4681029000171291</v>
      </c>
      <c r="E10" s="144"/>
      <c r="F10" s="144"/>
      <c r="G10" s="144"/>
      <c r="H10" s="160">
        <v>42235</v>
      </c>
      <c r="I10" s="159">
        <v>81.121054000000001</v>
      </c>
      <c r="J10" s="123">
        <f t="shared" ref="J10:J73" si="0">(I10-I11)/I11</f>
        <v>-1.9205358705986889E-2</v>
      </c>
      <c r="K10" s="165">
        <v>2079.610107</v>
      </c>
      <c r="L10" s="124">
        <f t="shared" ref="L10:L73" si="1">(K10-K11)/K11</f>
        <v>-8.2548765064382225E-3</v>
      </c>
      <c r="M10" s="3"/>
      <c r="N10" s="162">
        <v>42219</v>
      </c>
      <c r="O10" s="161">
        <v>82.908080999999996</v>
      </c>
      <c r="P10" s="123">
        <f t="shared" ref="P10:P73" si="2">(O10-O11)/O11</f>
        <v>-2.9630442158520294E-2</v>
      </c>
      <c r="Q10" s="166">
        <v>2077.570068</v>
      </c>
      <c r="R10" s="123">
        <f t="shared" ref="R10:R73" si="3">(Q10-Q11)/Q11</f>
        <v>-1.2486699987247288E-2</v>
      </c>
      <c r="T10" s="164">
        <v>42156</v>
      </c>
      <c r="U10" s="163">
        <v>77.854766999999995</v>
      </c>
      <c r="V10" s="123">
        <f t="shared" ref="V10" si="4">(U10-U11)/U11</f>
        <v>-0.18959184660859185</v>
      </c>
      <c r="W10" s="167">
        <v>2063.110107</v>
      </c>
      <c r="X10" s="123">
        <f t="shared" ref="X10" si="5">(W10-W11)/W11</f>
        <v>-2.1011672375900521E-2</v>
      </c>
    </row>
    <row r="11" spans="1:26" ht="15" x14ac:dyDescent="0.2">
      <c r="A11" s="359"/>
      <c r="B11" s="144"/>
      <c r="C11" s="144"/>
      <c r="D11" s="144"/>
      <c r="E11" s="144"/>
      <c r="F11" s="144"/>
      <c r="G11" s="144"/>
      <c r="H11" s="160">
        <v>42234</v>
      </c>
      <c r="I11" s="159">
        <v>82.709519999999998</v>
      </c>
      <c r="J11" s="123">
        <f t="shared" si="0"/>
        <v>-3.4689025913211598E-3</v>
      </c>
      <c r="K11" s="165">
        <v>2096.919922</v>
      </c>
      <c r="L11" s="124">
        <f t="shared" si="1"/>
        <v>-2.6255299342222908E-3</v>
      </c>
      <c r="M11" s="3"/>
      <c r="N11" s="162">
        <v>42212</v>
      </c>
      <c r="O11" s="161">
        <v>85.439696999999995</v>
      </c>
      <c r="P11" s="123">
        <f t="shared" si="2"/>
        <v>0.11390100584287739</v>
      </c>
      <c r="Q11" s="166">
        <v>2103.8400879999999</v>
      </c>
      <c r="R11" s="123">
        <f t="shared" si="3"/>
        <v>1.1631854946708146E-2</v>
      </c>
      <c r="T11" s="164">
        <v>42125</v>
      </c>
      <c r="U11" s="163">
        <v>96.068588000000005</v>
      </c>
      <c r="V11" s="123">
        <f t="shared" ref="V11" si="6">(U11-U12)/U12</f>
        <v>-3.8878082681781667E-3</v>
      </c>
      <c r="W11" s="167">
        <v>2107.389893</v>
      </c>
      <c r="X11" s="123">
        <f t="shared" ref="X11" si="7">(W11-W12)/W12</f>
        <v>1.0491382393316857E-2</v>
      </c>
    </row>
    <row r="12" spans="1:26" ht="15" x14ac:dyDescent="0.2">
      <c r="A12" s="359"/>
      <c r="B12" s="144"/>
      <c r="C12" s="144"/>
      <c r="D12" s="144"/>
      <c r="E12" s="144"/>
      <c r="F12" s="144"/>
      <c r="G12" s="144"/>
      <c r="H12" s="160">
        <v>42233</v>
      </c>
      <c r="I12" s="159">
        <v>82.997429999999994</v>
      </c>
      <c r="J12" s="123">
        <f t="shared" si="0"/>
        <v>1.3333303054484982E-2</v>
      </c>
      <c r="K12" s="165">
        <v>2102.4399410000001</v>
      </c>
      <c r="L12" s="124">
        <f t="shared" si="1"/>
        <v>5.211424020938913E-3</v>
      </c>
      <c r="M12" s="3"/>
      <c r="N12" s="162">
        <v>42205</v>
      </c>
      <c r="O12" s="161">
        <v>76.703132999999994</v>
      </c>
      <c r="P12" s="123">
        <f t="shared" si="2"/>
        <v>-2.1157936390166759E-2</v>
      </c>
      <c r="Q12" s="166">
        <v>2079.6499020000001</v>
      </c>
      <c r="R12" s="123">
        <f t="shared" si="3"/>
        <v>-2.209588522940396E-2</v>
      </c>
      <c r="T12" s="164">
        <v>42095</v>
      </c>
      <c r="U12" s="163">
        <v>96.443541999999994</v>
      </c>
      <c r="V12" s="123">
        <f t="shared" ref="V12" si="8">(U12-U13)/U13</f>
        <v>7.3947835356346969E-2</v>
      </c>
      <c r="W12" s="167">
        <v>2085.51001</v>
      </c>
      <c r="X12" s="123">
        <f t="shared" ref="X12" si="9">(W12-W13)/W13</f>
        <v>8.5208197301247391E-3</v>
      </c>
    </row>
    <row r="13" spans="1:26" ht="15" x14ac:dyDescent="0.2">
      <c r="A13" s="359"/>
      <c r="B13" s="144"/>
      <c r="C13" s="144"/>
      <c r="D13" s="144"/>
      <c r="E13" s="144"/>
      <c r="F13" s="144"/>
      <c r="G13" s="144"/>
      <c r="H13" s="160">
        <v>42230</v>
      </c>
      <c r="I13" s="159">
        <v>81.905360999999999</v>
      </c>
      <c r="J13" s="123">
        <f t="shared" si="0"/>
        <v>1.1401265487642647E-2</v>
      </c>
      <c r="K13" s="165">
        <v>2091.540039</v>
      </c>
      <c r="L13" s="124">
        <f t="shared" si="1"/>
        <v>3.9119638755010268E-3</v>
      </c>
      <c r="M13" s="3"/>
      <c r="N13" s="162">
        <v>42198</v>
      </c>
      <c r="O13" s="161">
        <v>78.361091999999999</v>
      </c>
      <c r="P13" s="123">
        <f t="shared" si="2"/>
        <v>2.3735424466264192E-2</v>
      </c>
      <c r="Q13" s="166">
        <v>2126.639893</v>
      </c>
      <c r="R13" s="123">
        <f t="shared" si="3"/>
        <v>2.4087109428690995E-2</v>
      </c>
      <c r="T13" s="164">
        <v>42065</v>
      </c>
      <c r="U13" s="163">
        <v>89.802818000000002</v>
      </c>
      <c r="V13" s="123">
        <f t="shared" ref="V13" si="10">(U13-U14)/U14</f>
        <v>-0.14467826515755181</v>
      </c>
      <c r="W13" s="167">
        <v>2067.889893</v>
      </c>
      <c r="X13" s="123">
        <f t="shared" ref="X13" si="11">(W13-W14)/W14</f>
        <v>-1.7396106913756221E-2</v>
      </c>
    </row>
    <row r="14" spans="1:26" ht="15" x14ac:dyDescent="0.2">
      <c r="A14" s="359"/>
      <c r="B14" s="144"/>
      <c r="C14" s="144"/>
      <c r="D14" s="144"/>
      <c r="E14" s="144"/>
      <c r="F14" s="144"/>
      <c r="G14" s="144"/>
      <c r="H14" s="160">
        <v>42229</v>
      </c>
      <c r="I14" s="159">
        <v>80.982062999999997</v>
      </c>
      <c r="J14" s="123">
        <f t="shared" si="0"/>
        <v>-1.9119820667016268E-2</v>
      </c>
      <c r="K14" s="165">
        <v>2083.389893</v>
      </c>
      <c r="L14" s="124">
        <f t="shared" si="1"/>
        <v>-1.275211973593408E-3</v>
      </c>
      <c r="M14" s="3"/>
      <c r="N14" s="162">
        <v>42191</v>
      </c>
      <c r="O14" s="161">
        <v>76.544280999999998</v>
      </c>
      <c r="P14" s="123">
        <f t="shared" si="2"/>
        <v>-4.6618044249170848E-2</v>
      </c>
      <c r="Q14" s="166">
        <v>2076.6201169999999</v>
      </c>
      <c r="R14" s="123">
        <f t="shared" si="3"/>
        <v>-7.6999970033935961E-5</v>
      </c>
      <c r="T14" s="164">
        <v>42037</v>
      </c>
      <c r="U14" s="163">
        <v>104.993027</v>
      </c>
      <c r="V14" s="123">
        <f t="shared" ref="V14" si="12">(U14-U15)/U15</f>
        <v>0.1002776782280554</v>
      </c>
      <c r="W14" s="167">
        <v>2104.5</v>
      </c>
      <c r="X14" s="123">
        <f t="shared" ref="X14" si="13">(W14-W15)/W15</f>
        <v>5.4892511014553995E-2</v>
      </c>
    </row>
    <row r="15" spans="1:26" ht="15" x14ac:dyDescent="0.2">
      <c r="A15" s="360"/>
      <c r="B15" s="148"/>
      <c r="C15" s="148"/>
      <c r="D15" s="148"/>
      <c r="E15" s="148"/>
      <c r="F15" s="148"/>
      <c r="G15" s="148"/>
      <c r="H15" s="160">
        <v>42228</v>
      </c>
      <c r="I15" s="159">
        <v>82.560607000000005</v>
      </c>
      <c r="J15" s="123">
        <f t="shared" si="0"/>
        <v>-3.6061096212276978E-4</v>
      </c>
      <c r="K15" s="165">
        <v>2086.0500489999999</v>
      </c>
      <c r="L15" s="124">
        <f t="shared" si="1"/>
        <v>9.5005490957415957E-4</v>
      </c>
      <c r="M15" s="3"/>
      <c r="N15" s="162">
        <v>42184</v>
      </c>
      <c r="O15" s="161">
        <v>80.287109000000001</v>
      </c>
      <c r="P15" s="123">
        <f t="shared" si="2"/>
        <v>-3.6514140807158244E-2</v>
      </c>
      <c r="Q15" s="166">
        <v>2076.780029</v>
      </c>
      <c r="R15" s="123">
        <f t="shared" si="3"/>
        <v>-1.1814788060495351E-2</v>
      </c>
      <c r="T15" s="164">
        <v>42006</v>
      </c>
      <c r="U15" s="163">
        <v>95.424118000000007</v>
      </c>
      <c r="V15" s="123">
        <f t="shared" ref="V15" si="14">(U15-U16)/U16</f>
        <v>-0.12168016309498521</v>
      </c>
      <c r="W15" s="167">
        <v>1994.98999</v>
      </c>
      <c r="X15" s="123">
        <f t="shared" ref="X15" si="15">(W15-W16)/W16</f>
        <v>-3.1040805790470173E-2</v>
      </c>
    </row>
    <row r="16" spans="1:26" ht="15" x14ac:dyDescent="0.2">
      <c r="A16" s="361"/>
      <c r="B16" s="155"/>
      <c r="C16" s="155"/>
      <c r="D16" s="155"/>
      <c r="E16" s="155"/>
      <c r="F16" s="155"/>
      <c r="G16" s="155"/>
      <c r="H16" s="160">
        <v>42227</v>
      </c>
      <c r="I16" s="159">
        <v>82.590389999999999</v>
      </c>
      <c r="J16" s="123">
        <f t="shared" si="0"/>
        <v>-2.0833294555321746E-2</v>
      </c>
      <c r="K16" s="165">
        <v>2084.070068</v>
      </c>
      <c r="L16" s="124">
        <f t="shared" si="1"/>
        <v>-9.5571028381046339E-3</v>
      </c>
      <c r="M16" s="3"/>
      <c r="N16" s="162">
        <v>42177</v>
      </c>
      <c r="O16" s="161">
        <v>83.329825999999997</v>
      </c>
      <c r="P16" s="123">
        <f t="shared" si="2"/>
        <v>-7.2181976792743283E-2</v>
      </c>
      <c r="Q16" s="166">
        <v>2101.610107</v>
      </c>
      <c r="R16" s="123">
        <f t="shared" si="3"/>
        <v>-3.9715273720327283E-3</v>
      </c>
      <c r="T16" s="164">
        <v>41974</v>
      </c>
      <c r="U16" s="163">
        <v>108.643929</v>
      </c>
      <c r="V16" s="123">
        <f t="shared" ref="V16" si="16">(U16-U17)/U17</f>
        <v>7.5753891144495128E-2</v>
      </c>
      <c r="W16" s="167">
        <v>2058.8999020000001</v>
      </c>
      <c r="X16" s="123">
        <f t="shared" ref="X16" si="17">(W16-W17)/W17</f>
        <v>-4.1885878779204062E-3</v>
      </c>
    </row>
    <row r="17" spans="1:24" ht="15" x14ac:dyDescent="0.2">
      <c r="A17" s="362"/>
      <c r="B17" s="145"/>
      <c r="C17" s="145"/>
      <c r="D17" s="145"/>
      <c r="E17" s="145"/>
      <c r="F17" s="145"/>
      <c r="G17" s="145"/>
      <c r="H17" s="160">
        <v>42226</v>
      </c>
      <c r="I17" s="159">
        <v>84.347628999999998</v>
      </c>
      <c r="J17" s="123">
        <f t="shared" si="0"/>
        <v>1.7363156255826018E-2</v>
      </c>
      <c r="K17" s="165">
        <v>2104.179932</v>
      </c>
      <c r="L17" s="124">
        <f t="shared" si="1"/>
        <v>1.2808166814617401E-2</v>
      </c>
      <c r="M17" s="3"/>
      <c r="N17" s="162">
        <v>42170</v>
      </c>
      <c r="O17" s="161">
        <v>89.812683000000007</v>
      </c>
      <c r="P17" s="123">
        <f t="shared" si="2"/>
        <v>-2.1395591155454228E-2</v>
      </c>
      <c r="Q17" s="166">
        <v>2109.98999</v>
      </c>
      <c r="R17" s="123">
        <f t="shared" si="3"/>
        <v>7.5831175003254325E-3</v>
      </c>
      <c r="T17" s="164">
        <v>41946</v>
      </c>
      <c r="U17" s="163">
        <v>100.99329400000001</v>
      </c>
      <c r="V17" s="123">
        <f t="shared" ref="V17" si="18">(U17-U18)/U18</f>
        <v>4.9811892401813579E-2</v>
      </c>
      <c r="W17" s="167">
        <v>2067.5600589999999</v>
      </c>
      <c r="X17" s="123">
        <f t="shared" ref="X17" si="19">(W17-W18)/W18</f>
        <v>2.4533588760364766E-2</v>
      </c>
    </row>
    <row r="18" spans="1:24" ht="15" x14ac:dyDescent="0.2">
      <c r="A18" s="362"/>
      <c r="B18" s="145"/>
      <c r="C18" s="145"/>
      <c r="D18" s="145"/>
      <c r="E18" s="145"/>
      <c r="F18" s="145"/>
      <c r="G18" s="145"/>
      <c r="H18" s="160">
        <v>42223</v>
      </c>
      <c r="I18" s="159">
        <v>82.908083000000005</v>
      </c>
      <c r="J18" s="123">
        <f t="shared" si="0"/>
        <v>-8.0769717525229993E-3</v>
      </c>
      <c r="K18" s="165">
        <v>2077.570068</v>
      </c>
      <c r="L18" s="124">
        <f t="shared" si="1"/>
        <v>-2.8748828113334063E-3</v>
      </c>
      <c r="M18" s="3"/>
      <c r="N18" s="162">
        <v>42163</v>
      </c>
      <c r="O18" s="161">
        <v>91.776291000000001</v>
      </c>
      <c r="P18" s="123">
        <f t="shared" si="2"/>
        <v>-1.9605760900319086E-2</v>
      </c>
      <c r="Q18" s="166">
        <v>2094.110107</v>
      </c>
      <c r="R18" s="123">
        <f t="shared" si="3"/>
        <v>6.1162586177243062E-4</v>
      </c>
      <c r="T18" s="164">
        <v>41913</v>
      </c>
      <c r="U18" s="163">
        <v>96.201324</v>
      </c>
      <c r="V18" s="123">
        <f t="shared" ref="V18" si="20">(U18-U19)/U19</f>
        <v>1.4960833759647924E-2</v>
      </c>
      <c r="W18" s="167">
        <v>2018.0500489999999</v>
      </c>
      <c r="X18" s="123">
        <f t="shared" ref="X18" si="21">(W18-W19)/W19</f>
        <v>2.3201460786772227E-2</v>
      </c>
    </row>
    <row r="19" spans="1:24" ht="15" x14ac:dyDescent="0.2">
      <c r="A19" s="361"/>
      <c r="B19" s="155"/>
      <c r="C19" s="155"/>
      <c r="D19" s="155"/>
      <c r="E19" s="155"/>
      <c r="F19" s="155"/>
      <c r="G19" s="155"/>
      <c r="H19" s="160">
        <v>42222</v>
      </c>
      <c r="I19" s="159">
        <v>83.583181999999994</v>
      </c>
      <c r="J19" s="123">
        <f t="shared" si="0"/>
        <v>-5.9038831046464612E-3</v>
      </c>
      <c r="K19" s="165">
        <v>2083.5600589999999</v>
      </c>
      <c r="L19" s="124">
        <f t="shared" si="1"/>
        <v>-7.7529851406475357E-3</v>
      </c>
      <c r="M19" s="3"/>
      <c r="N19" s="162">
        <v>42156</v>
      </c>
      <c r="O19" s="161">
        <v>93.611618000000007</v>
      </c>
      <c r="P19" s="123">
        <f t="shared" si="2"/>
        <v>-2.5575165110160652E-2</v>
      </c>
      <c r="Q19" s="166">
        <v>2092.830078</v>
      </c>
      <c r="R19" s="123">
        <f t="shared" si="3"/>
        <v>-6.9089327268592304E-3</v>
      </c>
      <c r="T19" s="164">
        <v>41884</v>
      </c>
      <c r="U19" s="163">
        <v>94.783287000000001</v>
      </c>
      <c r="V19" s="123">
        <f t="shared" ref="V19" si="22">(U19-U20)/U20</f>
        <v>-5.5237362932184723E-2</v>
      </c>
      <c r="W19" s="167">
        <v>1972.290039</v>
      </c>
      <c r="X19" s="123">
        <f t="shared" ref="X19" si="23">(W19-W20)/W20</f>
        <v>-1.5513837223063749E-2</v>
      </c>
    </row>
    <row r="20" spans="1:24" ht="15" x14ac:dyDescent="0.2">
      <c r="A20" s="362"/>
      <c r="B20" s="145"/>
      <c r="C20" s="145"/>
      <c r="D20" s="145"/>
      <c r="E20" s="145"/>
      <c r="F20" s="145"/>
      <c r="G20" s="145"/>
      <c r="H20" s="160">
        <v>42221</v>
      </c>
      <c r="I20" s="159">
        <v>84.079577999999998</v>
      </c>
      <c r="J20" s="123">
        <f t="shared" si="0"/>
        <v>3.5549632970726199E-3</v>
      </c>
      <c r="K20" s="165">
        <v>2099.8400879999999</v>
      </c>
      <c r="L20" s="124">
        <f t="shared" si="1"/>
        <v>3.1146789732108618E-3</v>
      </c>
      <c r="M20" s="3"/>
      <c r="N20" s="162">
        <v>42150</v>
      </c>
      <c r="O20" s="161">
        <v>96.068588000000005</v>
      </c>
      <c r="P20" s="123">
        <f t="shared" si="2"/>
        <v>2.2366878921323431E-2</v>
      </c>
      <c r="Q20" s="166">
        <v>2107.389893</v>
      </c>
      <c r="R20" s="123">
        <f t="shared" si="3"/>
        <v>-8.7815797681564372E-3</v>
      </c>
      <c r="T20" s="164">
        <v>41852</v>
      </c>
      <c r="U20" s="163">
        <v>100.324974</v>
      </c>
      <c r="V20" s="123">
        <f t="shared" ref="V20" si="24">(U20-U21)/U21</f>
        <v>3.1234420659855926E-2</v>
      </c>
      <c r="W20" s="167">
        <v>2003.369995</v>
      </c>
      <c r="X20" s="123">
        <f t="shared" ref="X20" si="25">(W20-W21)/W21</f>
        <v>3.7655295489735195E-2</v>
      </c>
    </row>
    <row r="21" spans="1:24" ht="15" x14ac:dyDescent="0.2">
      <c r="A21" s="362"/>
      <c r="B21" s="145"/>
      <c r="C21" s="145"/>
      <c r="D21" s="145"/>
      <c r="E21" s="145"/>
      <c r="F21" s="145"/>
      <c r="G21" s="145"/>
      <c r="H21" s="160">
        <v>42220</v>
      </c>
      <c r="I21" s="159">
        <v>83.781737000000007</v>
      </c>
      <c r="J21" s="123">
        <f t="shared" si="0"/>
        <v>-1.7006398817766326E-2</v>
      </c>
      <c r="K21" s="165">
        <v>2093.320068</v>
      </c>
      <c r="L21" s="124">
        <f t="shared" si="1"/>
        <v>-2.2497049209078447E-3</v>
      </c>
      <c r="M21" s="3"/>
      <c r="N21" s="162">
        <v>42142</v>
      </c>
      <c r="O21" s="161">
        <v>93.966842999999997</v>
      </c>
      <c r="P21" s="123">
        <f t="shared" si="2"/>
        <v>-2.4982040368905247E-2</v>
      </c>
      <c r="Q21" s="166">
        <v>2126.0600589999999</v>
      </c>
      <c r="R21" s="123">
        <f t="shared" si="3"/>
        <v>1.568771832204415E-3</v>
      </c>
      <c r="T21" s="164">
        <v>41821</v>
      </c>
      <c r="U21" s="163">
        <v>97.286293000000001</v>
      </c>
      <c r="V21" s="123">
        <f t="shared" ref="V21" si="26">(U21-U22)/U22</f>
        <v>8.2231816347084208E-2</v>
      </c>
      <c r="W21" s="167">
        <v>1930.670044</v>
      </c>
      <c r="X21" s="123">
        <f t="shared" ref="X21" si="27">(W21-W22)/W22</f>
        <v>-1.5079830581919834E-2</v>
      </c>
    </row>
    <row r="22" spans="1:24" ht="15" x14ac:dyDescent="0.2">
      <c r="A22" s="359"/>
      <c r="B22" s="144"/>
      <c r="C22" s="144"/>
      <c r="D22" s="144"/>
      <c r="E22" s="144"/>
      <c r="F22" s="144"/>
      <c r="G22" s="144"/>
      <c r="H22" s="160">
        <v>42219</v>
      </c>
      <c r="I22" s="159">
        <v>85.231212999999997</v>
      </c>
      <c r="J22" s="123">
        <f t="shared" si="0"/>
        <v>-2.4401537276015884E-3</v>
      </c>
      <c r="K22" s="165">
        <v>2098.040039</v>
      </c>
      <c r="L22" s="124">
        <f t="shared" si="1"/>
        <v>-2.7568868152492132E-3</v>
      </c>
      <c r="M22" s="3"/>
      <c r="N22" s="162">
        <v>42135</v>
      </c>
      <c r="O22" s="161">
        <v>96.374474000000006</v>
      </c>
      <c r="P22" s="123">
        <f t="shared" si="2"/>
        <v>1.1809792873032339E-2</v>
      </c>
      <c r="Q22" s="166">
        <v>2122.7299800000001</v>
      </c>
      <c r="R22" s="123">
        <f t="shared" si="3"/>
        <v>3.1330663451442173E-3</v>
      </c>
      <c r="T22" s="164">
        <v>41792</v>
      </c>
      <c r="U22" s="163">
        <v>89.894135000000006</v>
      </c>
      <c r="V22" s="123">
        <f t="shared" ref="V22" si="28">(U22-U23)/U23</f>
        <v>5.5312774084457395E-2</v>
      </c>
      <c r="W22" s="167">
        <v>1960.2299800000001</v>
      </c>
      <c r="X22" s="123">
        <f t="shared" ref="X22" si="29">(W22-W23)/W23</f>
        <v>1.9058331658920603E-2</v>
      </c>
    </row>
    <row r="23" spans="1:24" ht="15" x14ac:dyDescent="0.2">
      <c r="A23" s="140"/>
      <c r="B23" s="143"/>
      <c r="C23" s="143"/>
      <c r="D23" s="143"/>
      <c r="E23" s="143"/>
      <c r="F23" s="143"/>
      <c r="G23" s="143"/>
      <c r="H23" s="160">
        <v>42216</v>
      </c>
      <c r="I23" s="159">
        <v>85.439699000000005</v>
      </c>
      <c r="J23" s="123">
        <f t="shared" si="0"/>
        <v>-4.3961587827785918E-3</v>
      </c>
      <c r="K23" s="165">
        <v>2103.8400879999999</v>
      </c>
      <c r="L23" s="124">
        <f t="shared" si="1"/>
        <v>-2.2715200228432598E-3</v>
      </c>
      <c r="M23" s="3"/>
      <c r="N23" s="162">
        <v>42128</v>
      </c>
      <c r="O23" s="161">
        <v>95.249595999999997</v>
      </c>
      <c r="P23" s="123">
        <f t="shared" si="2"/>
        <v>-2.818889586271894E-2</v>
      </c>
      <c r="Q23" s="166">
        <v>2116.1000979999999</v>
      </c>
      <c r="R23" s="123">
        <f t="shared" si="3"/>
        <v>3.7044518806835336E-3</v>
      </c>
      <c r="T23" s="164">
        <v>41760</v>
      </c>
      <c r="U23" s="163">
        <v>85.182456999999999</v>
      </c>
      <c r="V23" s="123">
        <f t="shared" ref="V23" si="30">(U23-U24)/U24</f>
        <v>-2.611331294096486E-3</v>
      </c>
      <c r="W23" s="167">
        <v>1923.5699460000001</v>
      </c>
      <c r="X23" s="123">
        <f t="shared" ref="X23" si="31">(W23-W24)/W24</f>
        <v>2.103028001299596E-2</v>
      </c>
    </row>
    <row r="24" spans="1:24" ht="15" x14ac:dyDescent="0.2">
      <c r="A24" s="140"/>
      <c r="B24" s="143"/>
      <c r="C24" s="143"/>
      <c r="D24" s="143"/>
      <c r="E24" s="143"/>
      <c r="F24" s="143"/>
      <c r="G24" s="143"/>
      <c r="H24" s="160">
        <v>42215</v>
      </c>
      <c r="I24" s="159">
        <v>85.816963999999999</v>
      </c>
      <c r="J24" s="123">
        <f t="shared" si="0"/>
        <v>9.76508136934673E-2</v>
      </c>
      <c r="K24" s="165">
        <v>2108.6298830000001</v>
      </c>
      <c r="L24" s="124">
        <f t="shared" si="1"/>
        <v>2.836756572989134E-5</v>
      </c>
      <c r="M24" s="3"/>
      <c r="N24" s="162">
        <v>42121</v>
      </c>
      <c r="O24" s="161">
        <v>98.012459000000007</v>
      </c>
      <c r="P24" s="123">
        <f t="shared" si="2"/>
        <v>-4.2105262944003505E-3</v>
      </c>
      <c r="Q24" s="166">
        <v>2108.290039</v>
      </c>
      <c r="R24" s="123">
        <f t="shared" si="3"/>
        <v>-4.4387527267383429E-3</v>
      </c>
      <c r="T24" s="164">
        <v>41730</v>
      </c>
      <c r="U24" s="163">
        <v>85.405479</v>
      </c>
      <c r="V24" s="123">
        <f t="shared" ref="V24" si="32">(U24-U25)/U25</f>
        <v>-4.073185487172612E-2</v>
      </c>
      <c r="W24" s="167">
        <v>1883.9499510000001</v>
      </c>
      <c r="X24" s="123">
        <f t="shared" ref="X24" si="33">(W24-W25)/W25</f>
        <v>6.2007889650527552E-3</v>
      </c>
    </row>
    <row r="25" spans="1:24" ht="15" x14ac:dyDescent="0.2">
      <c r="A25" s="140"/>
      <c r="B25" s="143"/>
      <c r="C25" s="143"/>
      <c r="D25" s="143"/>
      <c r="E25" s="143"/>
      <c r="F25" s="143"/>
      <c r="G25" s="143"/>
      <c r="H25" s="160">
        <v>42214</v>
      </c>
      <c r="I25" s="159">
        <v>78.182389999999998</v>
      </c>
      <c r="J25" s="123">
        <f t="shared" si="0"/>
        <v>1.2992061756369112E-2</v>
      </c>
      <c r="K25" s="165">
        <v>2108.570068</v>
      </c>
      <c r="L25" s="124">
        <f t="shared" si="1"/>
        <v>7.3187951749671522E-3</v>
      </c>
      <c r="M25" s="3"/>
      <c r="N25" s="162">
        <v>42114</v>
      </c>
      <c r="O25" s="161">
        <v>98.426888000000005</v>
      </c>
      <c r="P25" s="123">
        <f t="shared" si="2"/>
        <v>3.1174365708169284E-3</v>
      </c>
      <c r="Q25" s="166">
        <v>2117.6899410000001</v>
      </c>
      <c r="R25" s="123">
        <f t="shared" si="3"/>
        <v>1.7542937272566436E-2</v>
      </c>
      <c r="T25" s="164">
        <v>41701</v>
      </c>
      <c r="U25" s="163">
        <v>89.031914</v>
      </c>
      <c r="V25" s="123">
        <f t="shared" ref="V25" si="34">(U25-U26)/U26</f>
        <v>5.9059667540208596E-2</v>
      </c>
      <c r="W25" s="167">
        <v>1872.339966</v>
      </c>
      <c r="X25" s="123">
        <f t="shared" ref="X25" si="35">(W25-W26)/W26</f>
        <v>6.9321656079357136E-3</v>
      </c>
    </row>
    <row r="26" spans="1:24" ht="15" x14ac:dyDescent="0.2">
      <c r="A26" s="140"/>
      <c r="B26" s="143"/>
      <c r="C26" s="143"/>
      <c r="D26" s="143"/>
      <c r="E26" s="143"/>
      <c r="F26" s="143"/>
      <c r="G26" s="143"/>
      <c r="H26" s="160">
        <v>42213</v>
      </c>
      <c r="I26" s="159">
        <v>77.179666999999995</v>
      </c>
      <c r="J26" s="123">
        <f t="shared" si="0"/>
        <v>1.634200184972931E-2</v>
      </c>
      <c r="K26" s="165">
        <v>2093.25</v>
      </c>
      <c r="L26" s="124">
        <f t="shared" si="1"/>
        <v>1.2386154420169127E-2</v>
      </c>
      <c r="M26" s="3"/>
      <c r="N26" s="162">
        <v>42107</v>
      </c>
      <c r="O26" s="161">
        <v>98.121002000000004</v>
      </c>
      <c r="P26" s="123">
        <f t="shared" si="2"/>
        <v>3.7021610497984317E-2</v>
      </c>
      <c r="Q26" s="166">
        <v>2081.179932</v>
      </c>
      <c r="R26" s="123">
        <f t="shared" si="3"/>
        <v>-9.9331733699050805E-3</v>
      </c>
      <c r="T26" s="164">
        <v>41673</v>
      </c>
      <c r="U26" s="163">
        <v>84.066947999999996</v>
      </c>
      <c r="V26" s="123">
        <f t="shared" ref="V26" si="36">(U26-U27)/U27</f>
        <v>9.5161186081242112E-3</v>
      </c>
      <c r="W26" s="167">
        <v>1859.4499510000001</v>
      </c>
      <c r="X26" s="123">
        <f t="shared" ref="X26" si="37">(W26-W27)/W27</f>
        <v>4.3117029976595334E-2</v>
      </c>
    </row>
    <row r="27" spans="1:24" ht="15" x14ac:dyDescent="0.2">
      <c r="A27" s="140"/>
      <c r="B27" s="143"/>
      <c r="C27" s="143"/>
      <c r="D27" s="143"/>
      <c r="E27" s="143"/>
      <c r="F27" s="143"/>
      <c r="G27" s="143"/>
      <c r="H27" s="160">
        <v>42212</v>
      </c>
      <c r="I27" s="159">
        <v>75.938676999999998</v>
      </c>
      <c r="J27" s="123">
        <f t="shared" si="0"/>
        <v>-9.9663988944597402E-3</v>
      </c>
      <c r="K27" s="165">
        <v>2067.639893</v>
      </c>
      <c r="L27" s="124">
        <f t="shared" si="1"/>
        <v>-5.7750148178547034E-3</v>
      </c>
      <c r="M27" s="3"/>
      <c r="N27" s="162">
        <v>42100</v>
      </c>
      <c r="O27" s="161">
        <v>94.618088</v>
      </c>
      <c r="P27" s="123">
        <f t="shared" si="2"/>
        <v>3.1075311232045676E-2</v>
      </c>
      <c r="Q27" s="166">
        <v>2102.0600589999999</v>
      </c>
      <c r="R27" s="123">
        <f t="shared" si="3"/>
        <v>1.6981508428938499E-2</v>
      </c>
      <c r="T27" s="164">
        <v>41641</v>
      </c>
      <c r="U27" s="163">
        <v>83.274497999999994</v>
      </c>
      <c r="V27" s="123">
        <f t="shared" ref="V27" si="38">(U27-U28)/U28</f>
        <v>2.705595580111575E-2</v>
      </c>
      <c r="W27" s="167">
        <v>1782.589966</v>
      </c>
      <c r="X27" s="123">
        <f t="shared" ref="X27" si="39">(W27-W28)/W28</f>
        <v>-3.5582905675162646E-2</v>
      </c>
    </row>
    <row r="28" spans="1:24" ht="15" x14ac:dyDescent="0.2">
      <c r="A28" s="140"/>
      <c r="B28" s="143"/>
      <c r="C28" s="143"/>
      <c r="D28" s="143"/>
      <c r="E28" s="143"/>
      <c r="F28" s="143"/>
      <c r="G28" s="143"/>
      <c r="H28" s="160">
        <v>42209</v>
      </c>
      <c r="I28" s="159">
        <v>76.703130999999999</v>
      </c>
      <c r="J28" s="123">
        <f t="shared" si="0"/>
        <v>-8.2156604035261496E-3</v>
      </c>
      <c r="K28" s="165">
        <v>2079.6499020000001</v>
      </c>
      <c r="L28" s="124">
        <f t="shared" si="1"/>
        <v>-1.070332804458585E-2</v>
      </c>
      <c r="M28" s="3"/>
      <c r="N28" s="162">
        <v>42093</v>
      </c>
      <c r="O28" s="161">
        <v>91.766418000000002</v>
      </c>
      <c r="P28" s="123">
        <f t="shared" si="2"/>
        <v>8.3368771727419886E-3</v>
      </c>
      <c r="Q28" s="166">
        <v>2066.959961</v>
      </c>
      <c r="R28" s="123">
        <f t="shared" si="3"/>
        <v>2.8820394476323863E-3</v>
      </c>
      <c r="T28" s="164">
        <v>41610</v>
      </c>
      <c r="U28" s="163">
        <v>81.080780000000004</v>
      </c>
      <c r="V28" s="123">
        <f t="shared" ref="V28" si="40">(U28-U29)/U29</f>
        <v>0.12214451878295893</v>
      </c>
      <c r="W28" s="167">
        <v>1848.3599850000001</v>
      </c>
      <c r="X28" s="123">
        <f t="shared" ref="X28" si="41">(W28-W29)/W29</f>
        <v>2.3562791550492821E-2</v>
      </c>
    </row>
    <row r="29" spans="1:24" ht="15" x14ac:dyDescent="0.2">
      <c r="A29" s="140"/>
      <c r="B29" s="143"/>
      <c r="C29" s="143"/>
      <c r="D29" s="143"/>
      <c r="E29" s="143"/>
      <c r="F29" s="143"/>
      <c r="G29" s="143"/>
      <c r="H29" s="160">
        <v>42208</v>
      </c>
      <c r="I29" s="159">
        <v>77.338517999999993</v>
      </c>
      <c r="J29" s="123">
        <f t="shared" si="0"/>
        <v>-7.8960111421545066E-3</v>
      </c>
      <c r="K29" s="165">
        <v>2102.1499020000001</v>
      </c>
      <c r="L29" s="124">
        <f t="shared" si="1"/>
        <v>-5.6760402791911392E-3</v>
      </c>
      <c r="M29" s="3"/>
      <c r="N29" s="162">
        <v>42086</v>
      </c>
      <c r="O29" s="161">
        <v>91.007698000000005</v>
      </c>
      <c r="P29" s="123">
        <f t="shared" si="2"/>
        <v>-7.6762200542081396E-2</v>
      </c>
      <c r="Q29" s="166">
        <v>2061.0200199999999</v>
      </c>
      <c r="R29" s="123">
        <f t="shared" si="3"/>
        <v>-2.2332942370557187E-2</v>
      </c>
      <c r="T29" s="164">
        <v>41579</v>
      </c>
      <c r="U29" s="163">
        <v>72.255202999999995</v>
      </c>
      <c r="V29" s="123">
        <f t="shared" ref="V29" si="42">(U29-U30)/U30</f>
        <v>7.7696485457506931E-2</v>
      </c>
      <c r="W29" s="167">
        <v>1805.8100589999999</v>
      </c>
      <c r="X29" s="123">
        <f t="shared" ref="X29" si="43">(W29-W30)/W30</f>
        <v>2.8049471635186524E-2</v>
      </c>
    </row>
    <row r="30" spans="1:24" ht="15" x14ac:dyDescent="0.2">
      <c r="A30" s="140"/>
      <c r="B30" s="143"/>
      <c r="C30" s="143"/>
      <c r="D30" s="143"/>
      <c r="E30" s="143"/>
      <c r="F30" s="143"/>
      <c r="G30" s="143"/>
      <c r="H30" s="160">
        <v>42207</v>
      </c>
      <c r="I30" s="159">
        <v>77.954043999999996</v>
      </c>
      <c r="J30" s="123">
        <f t="shared" si="0"/>
        <v>-2.1604441744194776E-3</v>
      </c>
      <c r="K30" s="165">
        <v>2114.1499020000001</v>
      </c>
      <c r="L30" s="124">
        <f t="shared" si="1"/>
        <v>-2.3877100868345295E-3</v>
      </c>
      <c r="M30" s="3"/>
      <c r="N30" s="162">
        <v>42079</v>
      </c>
      <c r="O30" s="161">
        <v>98.574493000000004</v>
      </c>
      <c r="P30" s="123">
        <f t="shared" si="2"/>
        <v>3.3439647553279946E-2</v>
      </c>
      <c r="Q30" s="166">
        <v>2108.1000979999999</v>
      </c>
      <c r="R30" s="123">
        <f t="shared" si="3"/>
        <v>2.6638842218080411E-2</v>
      </c>
      <c r="T30" s="164">
        <v>41548</v>
      </c>
      <c r="U30" s="163">
        <v>67.045967000000005</v>
      </c>
      <c r="V30" s="123">
        <f t="shared" ref="V30" si="44">(U30-U31)/U31</f>
        <v>9.8264894264637012E-2</v>
      </c>
      <c r="W30" s="167">
        <v>1756.540039</v>
      </c>
      <c r="X30" s="123">
        <f t="shared" ref="X30" si="45">(W30-W31)/W31</f>
        <v>4.45957526180061E-2</v>
      </c>
    </row>
    <row r="31" spans="1:24" ht="15" x14ac:dyDescent="0.2">
      <c r="A31" s="140"/>
      <c r="B31" s="143"/>
      <c r="C31" s="143"/>
      <c r="D31" s="143"/>
      <c r="E31" s="143"/>
      <c r="F31" s="143"/>
      <c r="G31" s="143"/>
      <c r="H31" s="160">
        <v>42206</v>
      </c>
      <c r="I31" s="159">
        <v>78.122823999999994</v>
      </c>
      <c r="J31" s="123">
        <f t="shared" si="0"/>
        <v>3.9551472906513788E-3</v>
      </c>
      <c r="K31" s="165">
        <v>2119.209961</v>
      </c>
      <c r="L31" s="124">
        <f t="shared" si="1"/>
        <v>-4.2616891933443934E-3</v>
      </c>
      <c r="M31" s="3"/>
      <c r="N31" s="162">
        <v>42072</v>
      </c>
      <c r="O31" s="161">
        <v>95.384856999999997</v>
      </c>
      <c r="P31" s="123">
        <f t="shared" si="2"/>
        <v>-5.2082276301044499E-2</v>
      </c>
      <c r="Q31" s="166">
        <v>2053.3999020000001</v>
      </c>
      <c r="R31" s="123">
        <f t="shared" si="3"/>
        <v>-8.6228227811919449E-3</v>
      </c>
      <c r="T31" s="164">
        <v>41520</v>
      </c>
      <c r="U31" s="163">
        <v>61.047173000000001</v>
      </c>
      <c r="V31" s="123">
        <f t="shared" ref="V31" si="46">(U31-U32)/U32</f>
        <v>2.650275402171887E-2</v>
      </c>
      <c r="W31" s="167">
        <v>1681.5500489999999</v>
      </c>
      <c r="X31" s="123">
        <f t="shared" ref="X31" si="47">(W31-W32)/W32</f>
        <v>2.9749523177239098E-2</v>
      </c>
    </row>
    <row r="32" spans="1:24" ht="15" x14ac:dyDescent="0.2">
      <c r="A32" s="140"/>
      <c r="B32" s="143"/>
      <c r="C32" s="143"/>
      <c r="D32" s="143"/>
      <c r="E32" s="143"/>
      <c r="F32" s="143"/>
      <c r="G32" s="143"/>
      <c r="H32" s="160">
        <v>42205</v>
      </c>
      <c r="I32" s="159">
        <v>77.815054000000003</v>
      </c>
      <c r="J32" s="123">
        <f t="shared" si="0"/>
        <v>-6.9682285693516855E-3</v>
      </c>
      <c r="K32" s="165">
        <v>2128.280029</v>
      </c>
      <c r="L32" s="124">
        <f t="shared" si="1"/>
        <v>7.7123353389476929E-4</v>
      </c>
      <c r="M32" s="3"/>
      <c r="N32" s="162">
        <v>42065</v>
      </c>
      <c r="O32" s="161">
        <v>100.625671</v>
      </c>
      <c r="P32" s="123">
        <f t="shared" si="2"/>
        <v>-4.1596629078995896E-2</v>
      </c>
      <c r="Q32" s="166">
        <v>2071.26001</v>
      </c>
      <c r="R32" s="123">
        <f t="shared" si="3"/>
        <v>-1.5794720836303178E-2</v>
      </c>
      <c r="T32" s="164">
        <v>41487</v>
      </c>
      <c r="U32" s="163">
        <v>59.471026999999999</v>
      </c>
      <c r="V32" s="123">
        <f t="shared" ref="V32" si="48">(U32-U33)/U33</f>
        <v>-3.6967954629747987E-2</v>
      </c>
      <c r="W32" s="167">
        <v>1632.969971</v>
      </c>
      <c r="X32" s="123">
        <f t="shared" ref="X32" si="49">(W32-W33)/W33</f>
        <v>-3.1298019033866906E-2</v>
      </c>
    </row>
    <row r="33" spans="1:24" ht="15" x14ac:dyDescent="0.2">
      <c r="A33" s="140"/>
      <c r="B33" s="143"/>
      <c r="C33" s="143"/>
      <c r="D33" s="143"/>
      <c r="E33" s="143"/>
      <c r="F33" s="143"/>
      <c r="G33" s="143"/>
      <c r="H33" s="160">
        <v>42202</v>
      </c>
      <c r="I33" s="159">
        <v>78.361091999999999</v>
      </c>
      <c r="J33" s="123">
        <f t="shared" si="0"/>
        <v>5.0703907413268787E-4</v>
      </c>
      <c r="K33" s="165">
        <v>2126.639893</v>
      </c>
      <c r="L33" s="124">
        <f t="shared" si="1"/>
        <v>1.1061832220925132E-3</v>
      </c>
      <c r="M33" s="3"/>
      <c r="N33" s="162">
        <v>42058</v>
      </c>
      <c r="O33" s="161">
        <v>104.993027</v>
      </c>
      <c r="P33" s="123">
        <f t="shared" si="2"/>
        <v>-3.8900319462373836E-2</v>
      </c>
      <c r="Q33" s="166">
        <v>2104.5</v>
      </c>
      <c r="R33" s="123">
        <f t="shared" si="3"/>
        <v>-2.7484475502658461E-3</v>
      </c>
      <c r="T33" s="164">
        <v>41456</v>
      </c>
      <c r="U33" s="163">
        <v>61.753943999999997</v>
      </c>
      <c r="V33" s="123">
        <f t="shared" ref="V33" si="50">(U33-U34)/U34</f>
        <v>3.6881927293143359E-2</v>
      </c>
      <c r="W33" s="167">
        <v>1685.7299800000001</v>
      </c>
      <c r="X33" s="123">
        <f t="shared" ref="X33" si="51">(W33-W34)/W34</f>
        <v>4.9462079815225081E-2</v>
      </c>
    </row>
    <row r="34" spans="1:24" x14ac:dyDescent="0.3">
      <c r="A34" s="140"/>
      <c r="B34" s="143"/>
      <c r="C34" s="143"/>
      <c r="D34" s="143"/>
      <c r="E34" s="143"/>
      <c r="F34" s="143"/>
      <c r="G34" s="143"/>
      <c r="H34" s="160">
        <v>42201</v>
      </c>
      <c r="I34" s="159">
        <v>78.321380000000005</v>
      </c>
      <c r="J34" s="123">
        <f t="shared" si="0"/>
        <v>2.5415875903309721E-3</v>
      </c>
      <c r="K34" s="165">
        <v>2124.290039</v>
      </c>
      <c r="L34" s="124">
        <f t="shared" si="1"/>
        <v>8.0146805473277783E-3</v>
      </c>
      <c r="M34" s="3"/>
      <c r="N34" s="162">
        <v>42052</v>
      </c>
      <c r="O34" s="161">
        <v>109.242599</v>
      </c>
      <c r="P34" s="123">
        <f t="shared" si="2"/>
        <v>3.4383425943355236E-2</v>
      </c>
      <c r="Q34" s="166">
        <v>2110.3000489999999</v>
      </c>
      <c r="R34" s="123">
        <f t="shared" si="3"/>
        <v>6.3472210470589367E-3</v>
      </c>
      <c r="T34" s="164">
        <v>41428</v>
      </c>
      <c r="U34" s="163">
        <v>59.557353999999997</v>
      </c>
      <c r="V34" s="123">
        <f t="shared" ref="V34" si="52">(U34-U35)/U35</f>
        <v>-1.5326440400365337E-2</v>
      </c>
      <c r="W34" s="167">
        <v>1606.280029</v>
      </c>
      <c r="X34" s="123">
        <f t="shared" ref="X34" si="53">(W34-W35)/W35</f>
        <v>-1.4999301636062792E-2</v>
      </c>
    </row>
    <row r="35" spans="1:24" x14ac:dyDescent="0.3">
      <c r="A35" s="140"/>
      <c r="B35" s="143"/>
      <c r="C35" s="143"/>
      <c r="D35" s="143"/>
      <c r="E35" s="143"/>
      <c r="F35" s="143"/>
      <c r="G35" s="143"/>
      <c r="H35" s="160">
        <v>42200</v>
      </c>
      <c r="I35" s="159">
        <v>78.122823999999994</v>
      </c>
      <c r="J35" s="123">
        <f t="shared" si="0"/>
        <v>4.21135231722055E-3</v>
      </c>
      <c r="K35" s="165">
        <v>2107.3999020000001</v>
      </c>
      <c r="L35" s="124">
        <f t="shared" si="1"/>
        <v>-7.3498614761576409E-4</v>
      </c>
      <c r="M35" s="3"/>
      <c r="N35" s="162">
        <v>42044</v>
      </c>
      <c r="O35" s="161">
        <v>105.61132000000001</v>
      </c>
      <c r="P35" s="123">
        <f t="shared" si="2"/>
        <v>4.0715655765599587E-2</v>
      </c>
      <c r="Q35" s="166">
        <v>2096.98999</v>
      </c>
      <c r="R35" s="123">
        <f t="shared" si="3"/>
        <v>2.0199769194292963E-2</v>
      </c>
      <c r="T35" s="164">
        <v>41395</v>
      </c>
      <c r="U35" s="163">
        <v>60.484363999999999</v>
      </c>
      <c r="V35" s="123">
        <f t="shared" ref="V35" si="54">(U35-U36)/U36</f>
        <v>0.14544146149300066</v>
      </c>
      <c r="W35" s="167">
        <v>1630.73999</v>
      </c>
      <c r="X35" s="123">
        <f t="shared" ref="X35" si="55">(W35-W36)/W36</f>
        <v>2.0762811721046208E-2</v>
      </c>
    </row>
    <row r="36" spans="1:24" x14ac:dyDescent="0.3">
      <c r="A36" s="140"/>
      <c r="B36" s="143"/>
      <c r="C36" s="143"/>
      <c r="D36" s="143"/>
      <c r="E36" s="143"/>
      <c r="F36" s="143"/>
      <c r="G36" s="143"/>
      <c r="H36" s="160">
        <v>42199</v>
      </c>
      <c r="I36" s="159">
        <v>77.795201000000006</v>
      </c>
      <c r="J36" s="123">
        <f t="shared" si="0"/>
        <v>8.3644453909426861E-3</v>
      </c>
      <c r="K36" s="165">
        <v>2108.9499510000001</v>
      </c>
      <c r="L36" s="124">
        <f t="shared" si="1"/>
        <v>4.4531589653222462E-3</v>
      </c>
      <c r="M36" s="3"/>
      <c r="N36" s="162">
        <v>42037</v>
      </c>
      <c r="O36" s="161">
        <v>101.47951500000001</v>
      </c>
      <c r="P36" s="123">
        <f t="shared" si="2"/>
        <v>6.3457720405652576E-2</v>
      </c>
      <c r="Q36" s="166">
        <v>2055.469971</v>
      </c>
      <c r="R36" s="123">
        <f t="shared" si="3"/>
        <v>3.0315932061393425E-2</v>
      </c>
      <c r="T36" s="164">
        <v>41365</v>
      </c>
      <c r="U36" s="163">
        <v>52.804412999999997</v>
      </c>
      <c r="V36" s="123">
        <f t="shared" ref="V36" si="56">(U36-U37)/U37</f>
        <v>9.9224374662297748E-2</v>
      </c>
      <c r="W36" s="167">
        <v>1597.5699460000001</v>
      </c>
      <c r="X36" s="123">
        <f t="shared" ref="X36" si="57">(W36-W37)/W37</f>
        <v>1.8085767859252408E-2</v>
      </c>
    </row>
    <row r="37" spans="1:24" x14ac:dyDescent="0.3">
      <c r="A37" s="140"/>
      <c r="B37" s="143"/>
      <c r="C37" s="143"/>
      <c r="D37" s="143"/>
      <c r="E37" s="143"/>
      <c r="F37" s="143"/>
      <c r="G37" s="143"/>
      <c r="H37" s="160">
        <v>42198</v>
      </c>
      <c r="I37" s="159">
        <v>77.149884999999998</v>
      </c>
      <c r="J37" s="123">
        <f t="shared" si="0"/>
        <v>7.9118125101991562E-3</v>
      </c>
      <c r="K37" s="165">
        <v>2099.6000979999999</v>
      </c>
      <c r="L37" s="124">
        <f t="shared" si="1"/>
        <v>1.1066049496427928E-2</v>
      </c>
      <c r="M37" s="3"/>
      <c r="N37" s="162">
        <v>42030</v>
      </c>
      <c r="O37" s="161">
        <v>95.424118000000007</v>
      </c>
      <c r="P37" s="123">
        <f t="shared" si="2"/>
        <v>-8.3600299335353553E-2</v>
      </c>
      <c r="Q37" s="166">
        <v>1994.98999</v>
      </c>
      <c r="R37" s="123">
        <f t="shared" si="3"/>
        <v>-2.7697398464084016E-2</v>
      </c>
      <c r="T37" s="164">
        <v>41334</v>
      </c>
      <c r="U37" s="163">
        <v>48.037883999999998</v>
      </c>
      <c r="V37" s="123">
        <f t="shared" ref="V37" si="58">(U37-U38)/U38</f>
        <v>7.2008491466757835E-2</v>
      </c>
      <c r="W37" s="167">
        <v>1569.1899410000001</v>
      </c>
      <c r="X37" s="123">
        <f t="shared" ref="X37" si="59">(W37-W38)/W38</f>
        <v>3.5987723516956123E-2</v>
      </c>
    </row>
    <row r="38" spans="1:24" x14ac:dyDescent="0.3">
      <c r="A38" s="140"/>
      <c r="B38" s="143"/>
      <c r="C38" s="143"/>
      <c r="D38" s="143"/>
      <c r="E38" s="143"/>
      <c r="F38" s="143"/>
      <c r="G38" s="143"/>
      <c r="H38" s="160">
        <v>42195</v>
      </c>
      <c r="I38" s="159">
        <v>76.544280999999998</v>
      </c>
      <c r="J38" s="123">
        <f t="shared" si="0"/>
        <v>-3.232061306420413E-3</v>
      </c>
      <c r="K38" s="165">
        <v>2076.6201169999999</v>
      </c>
      <c r="L38" s="124">
        <f t="shared" si="1"/>
        <v>1.2338484808258832E-2</v>
      </c>
      <c r="M38" s="3"/>
      <c r="N38" s="162">
        <v>42024</v>
      </c>
      <c r="O38" s="161">
        <v>104.129364</v>
      </c>
      <c r="P38" s="123">
        <f t="shared" si="2"/>
        <v>-2.5383747757398547E-3</v>
      </c>
      <c r="Q38" s="166">
        <v>2051.820068</v>
      </c>
      <c r="R38" s="123">
        <f t="shared" si="3"/>
        <v>1.6044222248989437E-2</v>
      </c>
      <c r="T38" s="164">
        <v>41306</v>
      </c>
      <c r="U38" s="163">
        <v>44.811104</v>
      </c>
      <c r="V38" s="123">
        <f t="shared" ref="V38" si="60">(U38-U39)/U39</f>
        <v>3.4042578537176738E-3</v>
      </c>
      <c r="W38" s="167">
        <v>1514.6800539999999</v>
      </c>
      <c r="X38" s="123">
        <f t="shared" ref="X38" si="61">(W38-W39)/W39</f>
        <v>1.1060649195259101E-2</v>
      </c>
    </row>
    <row r="39" spans="1:24" x14ac:dyDescent="0.3">
      <c r="A39" s="140"/>
      <c r="B39" s="143"/>
      <c r="C39" s="143"/>
      <c r="D39" s="143"/>
      <c r="E39" s="143"/>
      <c r="F39" s="143"/>
      <c r="G39" s="143"/>
      <c r="H39" s="160">
        <v>42194</v>
      </c>
      <c r="I39" s="159">
        <v>76.792479</v>
      </c>
      <c r="J39" s="123">
        <f t="shared" si="0"/>
        <v>-1.2258963884998241E-2</v>
      </c>
      <c r="K39" s="165">
        <v>2051.3100589999999</v>
      </c>
      <c r="L39" s="124">
        <f t="shared" si="1"/>
        <v>2.262202629546896E-3</v>
      </c>
      <c r="M39" s="3"/>
      <c r="N39" s="162">
        <v>42016</v>
      </c>
      <c r="O39" s="161">
        <v>104.394356</v>
      </c>
      <c r="P39" s="123">
        <f t="shared" si="2"/>
        <v>-5.2129761662031072E-2</v>
      </c>
      <c r="Q39" s="166">
        <v>2019.420044</v>
      </c>
      <c r="R39" s="123">
        <f t="shared" si="3"/>
        <v>-1.2416808538401243E-2</v>
      </c>
      <c r="T39" s="164">
        <v>41276</v>
      </c>
      <c r="U39" s="163">
        <v>44.659072999999999</v>
      </c>
      <c r="V39" s="123">
        <f t="shared" ref="V39" si="62">(U39-U40)/U40</f>
        <v>0.10614260475438679</v>
      </c>
      <c r="W39" s="167">
        <v>1498.1099850000001</v>
      </c>
      <c r="X39" s="123">
        <f t="shared" ref="X39" si="63">(W39-W40)/W40</f>
        <v>5.0428096519578497E-2</v>
      </c>
    </row>
    <row r="40" spans="1:24" x14ac:dyDescent="0.3">
      <c r="A40" s="140"/>
      <c r="B40" s="143"/>
      <c r="C40" s="143"/>
      <c r="D40" s="143"/>
      <c r="E40" s="143"/>
      <c r="F40" s="143"/>
      <c r="G40" s="143"/>
      <c r="H40" s="160">
        <v>42193</v>
      </c>
      <c r="I40" s="159">
        <v>77.745559</v>
      </c>
      <c r="J40" s="123">
        <f t="shared" si="0"/>
        <v>-1.891758609855897E-2</v>
      </c>
      <c r="K40" s="165">
        <v>2046.6800539999999</v>
      </c>
      <c r="L40" s="124">
        <f t="shared" si="1"/>
        <v>-1.6652748966799316E-2</v>
      </c>
      <c r="M40" s="3"/>
      <c r="N40" s="162">
        <v>42009</v>
      </c>
      <c r="O40" s="161">
        <v>110.135704</v>
      </c>
      <c r="P40" s="123">
        <f t="shared" si="2"/>
        <v>1.6209421638210462E-2</v>
      </c>
      <c r="Q40" s="166">
        <v>2044.8100589999999</v>
      </c>
      <c r="R40" s="123">
        <f t="shared" si="3"/>
        <v>-6.5056322606044728E-3</v>
      </c>
      <c r="T40" s="164">
        <v>41246</v>
      </c>
      <c r="U40" s="163">
        <v>40.373702999999999</v>
      </c>
      <c r="V40" s="123">
        <f t="shared" ref="V40" si="64">(U40-U41)/U41</f>
        <v>0.27939585224761021</v>
      </c>
      <c r="W40" s="167">
        <v>1426.1899410000001</v>
      </c>
      <c r="X40" s="123">
        <f t="shared" ref="X40" si="65">(W40-W41)/W41</f>
        <v>7.0682304638645639E-3</v>
      </c>
    </row>
    <row r="41" spans="1:24" x14ac:dyDescent="0.3">
      <c r="A41" s="140"/>
      <c r="B41" s="143"/>
      <c r="C41" s="143"/>
      <c r="D41" s="143"/>
      <c r="E41" s="143"/>
      <c r="F41" s="143"/>
      <c r="G41" s="143"/>
      <c r="H41" s="160">
        <v>42192</v>
      </c>
      <c r="I41" s="159">
        <v>79.244676999999996</v>
      </c>
      <c r="J41" s="123">
        <f t="shared" si="0"/>
        <v>0</v>
      </c>
      <c r="K41" s="165">
        <v>2081.3400879999999</v>
      </c>
      <c r="L41" s="124">
        <f t="shared" si="1"/>
        <v>6.0809750474633151E-3</v>
      </c>
      <c r="M41" s="3"/>
      <c r="N41" s="162">
        <v>42002</v>
      </c>
      <c r="O41" s="161">
        <v>108.378944</v>
      </c>
      <c r="P41" s="123">
        <f t="shared" si="2"/>
        <v>-2.0053474606144536E-2</v>
      </c>
      <c r="Q41" s="166">
        <v>2058.1999510000001</v>
      </c>
      <c r="R41" s="123">
        <f t="shared" si="3"/>
        <v>-1.4635440334403055E-2</v>
      </c>
      <c r="T41" s="164">
        <v>41214</v>
      </c>
      <c r="U41" s="163">
        <v>31.556850000000001</v>
      </c>
      <c r="V41" s="123">
        <f t="shared" ref="V41" si="66">(U41-U42)/U42</f>
        <v>-2.3371269573557889E-2</v>
      </c>
      <c r="W41" s="167">
        <v>1416.1800539999999</v>
      </c>
      <c r="X41" s="123">
        <f t="shared" ref="X41" si="67">(W41-W42)/W42</f>
        <v>2.8467170173433272E-3</v>
      </c>
    </row>
    <row r="42" spans="1:24" x14ac:dyDescent="0.3">
      <c r="A42" s="140"/>
      <c r="B42" s="143"/>
      <c r="C42" s="143"/>
      <c r="D42" s="143"/>
      <c r="E42" s="143"/>
      <c r="F42" s="143"/>
      <c r="G42" s="143"/>
      <c r="H42" s="160">
        <v>42191</v>
      </c>
      <c r="I42" s="159">
        <v>79.244676999999996</v>
      </c>
      <c r="J42" s="123">
        <f t="shared" si="0"/>
        <v>-1.2983839797351257E-2</v>
      </c>
      <c r="K42" s="165">
        <v>2068.76001</v>
      </c>
      <c r="L42" s="124">
        <f t="shared" si="1"/>
        <v>-3.8617566078299609E-3</v>
      </c>
      <c r="M42" s="3"/>
      <c r="N42" s="162">
        <v>41995</v>
      </c>
      <c r="O42" s="161">
        <v>110.596794</v>
      </c>
      <c r="P42" s="123">
        <f t="shared" si="2"/>
        <v>-6.9371937359624589E-3</v>
      </c>
      <c r="Q42" s="166">
        <v>2088.7700199999999</v>
      </c>
      <c r="R42" s="123">
        <f t="shared" si="3"/>
        <v>8.7509327301046654E-3</v>
      </c>
      <c r="T42" s="164">
        <v>41183</v>
      </c>
      <c r="U42" s="163">
        <v>32.312023000000003</v>
      </c>
      <c r="V42" s="123">
        <f t="shared" ref="V42" si="68">(U42-U43)/U43</f>
        <v>-0.11618900598658979</v>
      </c>
      <c r="W42" s="167">
        <v>1412.160034</v>
      </c>
      <c r="X42" s="123">
        <f t="shared" ref="X42" si="69">(W42-W43)/W43</f>
        <v>-1.9789409878227443E-2</v>
      </c>
    </row>
    <row r="43" spans="1:24" x14ac:dyDescent="0.3">
      <c r="A43" s="140"/>
      <c r="B43" s="143"/>
      <c r="C43" s="143"/>
      <c r="D43" s="143"/>
      <c r="E43" s="143"/>
      <c r="F43" s="143"/>
      <c r="G43" s="143"/>
      <c r="H43" s="160">
        <v>42187</v>
      </c>
      <c r="I43" s="159">
        <v>80.287111999999993</v>
      </c>
      <c r="J43" s="123">
        <f t="shared" si="0"/>
        <v>1.800100748827593E-2</v>
      </c>
      <c r="K43" s="165">
        <v>2076.780029</v>
      </c>
      <c r="L43" s="124">
        <f t="shared" si="1"/>
        <v>-3.0802294385623452E-4</v>
      </c>
      <c r="M43" s="3"/>
      <c r="N43" s="162">
        <v>41988</v>
      </c>
      <c r="O43" s="161">
        <v>111.36938499999999</v>
      </c>
      <c r="P43" s="123">
        <f t="shared" si="2"/>
        <v>7.8102850282700323E-2</v>
      </c>
      <c r="Q43" s="166">
        <v>2070.6499020000001</v>
      </c>
      <c r="R43" s="123">
        <f t="shared" si="3"/>
        <v>3.4120223690046053E-2</v>
      </c>
      <c r="T43" s="164">
        <v>41156</v>
      </c>
      <c r="U43" s="163">
        <v>36.559879000000002</v>
      </c>
      <c r="V43" s="123">
        <f t="shared" ref="V43" si="70">(U43-U44)/U44</f>
        <v>-6.801176093515017E-2</v>
      </c>
      <c r="W43" s="167">
        <v>1440.670044</v>
      </c>
      <c r="X43" s="123">
        <f t="shared" ref="X43" si="71">(W43-W44)/W44</f>
        <v>2.4236153696477046E-2</v>
      </c>
    </row>
    <row r="44" spans="1:24" x14ac:dyDescent="0.3">
      <c r="A44" s="140"/>
      <c r="B44" s="143"/>
      <c r="C44" s="143"/>
      <c r="D44" s="143"/>
      <c r="E44" s="143"/>
      <c r="F44" s="143"/>
      <c r="G44" s="143"/>
      <c r="H44" s="160">
        <v>42186</v>
      </c>
      <c r="I44" s="159">
        <v>78.867418999999998</v>
      </c>
      <c r="J44" s="123">
        <f t="shared" si="0"/>
        <v>1.300694937545635E-2</v>
      </c>
      <c r="K44" s="165">
        <v>2077.419922</v>
      </c>
      <c r="L44" s="124">
        <f t="shared" si="1"/>
        <v>6.9360403748921539E-3</v>
      </c>
      <c r="M44" s="3"/>
      <c r="N44" s="162">
        <v>41981</v>
      </c>
      <c r="O44" s="161">
        <v>103.30126199999999</v>
      </c>
      <c r="P44" s="123">
        <f t="shared" si="2"/>
        <v>5.3297690011062954E-3</v>
      </c>
      <c r="Q44" s="166">
        <v>2002.329956</v>
      </c>
      <c r="R44" s="123">
        <f t="shared" si="3"/>
        <v>-3.5193800084960897E-2</v>
      </c>
      <c r="T44" s="164">
        <v>41122</v>
      </c>
      <c r="U44" s="163">
        <v>39.227832999999997</v>
      </c>
      <c r="V44" s="123">
        <f t="shared" ref="V44" si="72">(U44-U45)/U45</f>
        <v>5.1546363841040506E-2</v>
      </c>
      <c r="W44" s="167">
        <v>1406.579956</v>
      </c>
      <c r="X44" s="123">
        <f t="shared" ref="X44" si="73">(W44-W45)/W45</f>
        <v>1.9763369680148135E-2</v>
      </c>
    </row>
    <row r="45" spans="1:24" x14ac:dyDescent="0.3">
      <c r="A45" s="140"/>
      <c r="B45" s="143"/>
      <c r="C45" s="143"/>
      <c r="D45" s="143"/>
      <c r="E45" s="143"/>
      <c r="F45" s="143"/>
      <c r="G45" s="143"/>
      <c r="H45" s="160">
        <v>42185</v>
      </c>
      <c r="I45" s="159">
        <v>77.854765999999998</v>
      </c>
      <c r="J45" s="123">
        <f t="shared" si="0"/>
        <v>-3.7318961045236701E-2</v>
      </c>
      <c r="K45" s="165">
        <v>2063.110107</v>
      </c>
      <c r="L45" s="124">
        <f t="shared" si="1"/>
        <v>2.6584894755439801E-3</v>
      </c>
      <c r="M45" s="3"/>
      <c r="N45" s="162">
        <v>41974</v>
      </c>
      <c r="O45" s="161">
        <v>102.753609</v>
      </c>
      <c r="P45" s="123">
        <f t="shared" si="2"/>
        <v>1.7430018670348463E-2</v>
      </c>
      <c r="Q45" s="166">
        <v>2075.3701169999999</v>
      </c>
      <c r="R45" s="123">
        <f t="shared" si="3"/>
        <v>3.7774273912881901E-3</v>
      </c>
      <c r="T45" s="164">
        <v>41092</v>
      </c>
      <c r="U45" s="163">
        <v>37.304901000000001</v>
      </c>
      <c r="V45" s="123">
        <f t="shared" ref="V45" si="74">(U45-U46)/U46</f>
        <v>0.30479003842189273</v>
      </c>
      <c r="W45" s="167">
        <v>1379.3199460000001</v>
      </c>
      <c r="X45" s="123">
        <f t="shared" ref="X45" si="75">(W45-W46)/W46</f>
        <v>1.2597574126154459E-2</v>
      </c>
    </row>
    <row r="46" spans="1:24" x14ac:dyDescent="0.3">
      <c r="A46" s="140"/>
      <c r="B46" s="143"/>
      <c r="C46" s="143"/>
      <c r="D46" s="143"/>
      <c r="E46" s="143"/>
      <c r="F46" s="143"/>
      <c r="G46" s="143"/>
      <c r="H46" s="160">
        <v>42184</v>
      </c>
      <c r="I46" s="159">
        <v>80.872856999999996</v>
      </c>
      <c r="J46" s="123">
        <f t="shared" si="0"/>
        <v>-2.9484880605836351E-2</v>
      </c>
      <c r="K46" s="165">
        <v>2057.639893</v>
      </c>
      <c r="L46" s="124">
        <f t="shared" si="1"/>
        <v>-2.0922155757409452E-2</v>
      </c>
      <c r="M46" s="3"/>
      <c r="N46" s="162">
        <v>41967</v>
      </c>
      <c r="O46" s="161">
        <v>100.99329400000001</v>
      </c>
      <c r="P46" s="123">
        <f t="shared" si="2"/>
        <v>1.5437617168293135E-2</v>
      </c>
      <c r="Q46" s="166">
        <v>2067.5600589999999</v>
      </c>
      <c r="R46" s="123">
        <f t="shared" si="3"/>
        <v>1.9675594863096243E-3</v>
      </c>
      <c r="T46" s="164">
        <v>41061</v>
      </c>
      <c r="U46" s="163">
        <v>28.590731000000002</v>
      </c>
      <c r="V46" s="123">
        <f t="shared" ref="V46" si="76">(U46-U47)/U47</f>
        <v>-2.8990069529190074E-2</v>
      </c>
      <c r="W46" s="167">
        <v>1362.160034</v>
      </c>
      <c r="X46" s="123">
        <f t="shared" ref="X46" si="77">(W46-W47)/W47</f>
        <v>3.9554982134591417E-2</v>
      </c>
    </row>
    <row r="47" spans="1:24" x14ac:dyDescent="0.3">
      <c r="A47" s="140"/>
      <c r="B47" s="143"/>
      <c r="C47" s="143"/>
      <c r="D47" s="143"/>
      <c r="E47" s="143"/>
      <c r="F47" s="143"/>
      <c r="G47" s="143"/>
      <c r="H47" s="160">
        <v>42181</v>
      </c>
      <c r="I47" s="159">
        <v>83.329826999999995</v>
      </c>
      <c r="J47" s="123">
        <f t="shared" si="0"/>
        <v>-1.7452012783738868E-2</v>
      </c>
      <c r="K47" s="165">
        <v>2101.610107</v>
      </c>
      <c r="L47" s="124">
        <f t="shared" si="1"/>
        <v>-3.3294422818529613E-4</v>
      </c>
      <c r="M47" s="3"/>
      <c r="N47" s="162">
        <v>41960</v>
      </c>
      <c r="O47" s="161">
        <v>99.457901000000007</v>
      </c>
      <c r="P47" s="123">
        <f t="shared" si="2"/>
        <v>3.3431486805338792E-2</v>
      </c>
      <c r="Q47" s="166">
        <v>2063.5</v>
      </c>
      <c r="R47" s="123">
        <f t="shared" si="3"/>
        <v>1.1608894229334065E-2</v>
      </c>
      <c r="T47" s="164">
        <v>41030</v>
      </c>
      <c r="U47" s="163">
        <v>29.444324000000002</v>
      </c>
      <c r="V47" s="123">
        <f t="shared" ref="V47" si="78">(U47-U48)/U48</f>
        <v>-0.19118794625090443</v>
      </c>
      <c r="W47" s="167">
        <v>1310.329956</v>
      </c>
      <c r="X47" s="123">
        <f t="shared" ref="X47" si="79">(W47-W48)/W48</f>
        <v>-6.2650725633177598E-2</v>
      </c>
    </row>
    <row r="48" spans="1:24" x14ac:dyDescent="0.3">
      <c r="A48" s="140"/>
      <c r="B48" s="143"/>
      <c r="C48" s="143"/>
      <c r="D48" s="143"/>
      <c r="E48" s="143"/>
      <c r="F48" s="143"/>
      <c r="G48" s="143"/>
      <c r="H48" s="160">
        <v>42180</v>
      </c>
      <c r="I48" s="159">
        <v>84.809931000000006</v>
      </c>
      <c r="J48" s="123">
        <f t="shared" si="0"/>
        <v>-2.0289586969418082E-2</v>
      </c>
      <c r="K48" s="165">
        <v>2102.3100589999999</v>
      </c>
      <c r="L48" s="124">
        <f t="shared" si="1"/>
        <v>-2.9735740489150383E-3</v>
      </c>
      <c r="M48" s="3"/>
      <c r="N48" s="162">
        <v>41953</v>
      </c>
      <c r="O48" s="161">
        <v>96.240440000000007</v>
      </c>
      <c r="P48" s="123">
        <f t="shared" si="2"/>
        <v>7.2671839032575338E-3</v>
      </c>
      <c r="Q48" s="166">
        <v>2039.8199460000001</v>
      </c>
      <c r="R48" s="123">
        <f t="shared" si="3"/>
        <v>3.8879000299876518E-3</v>
      </c>
      <c r="T48" s="164">
        <v>41001</v>
      </c>
      <c r="U48" s="163">
        <v>36.404407999999997</v>
      </c>
      <c r="V48" s="123">
        <f t="shared" ref="V48" si="80">(U48-U49)/U49</f>
        <v>-6.233380655702702E-2</v>
      </c>
      <c r="W48" s="167">
        <v>1397.910034</v>
      </c>
      <c r="X48" s="123">
        <f t="shared" ref="X48" si="81">(W48-W49)/W49</f>
        <v>-7.4974527092704279E-3</v>
      </c>
    </row>
    <row r="49" spans="1:24" x14ac:dyDescent="0.3">
      <c r="A49" s="140"/>
      <c r="B49" s="143"/>
      <c r="C49" s="143"/>
      <c r="D49" s="143"/>
      <c r="E49" s="143"/>
      <c r="F49" s="143"/>
      <c r="G49" s="143"/>
      <c r="H49" s="160">
        <v>42179</v>
      </c>
      <c r="I49" s="159">
        <v>86.566326000000004</v>
      </c>
      <c r="J49" s="123">
        <f t="shared" si="0"/>
        <v>-1.0042881931962221E-2</v>
      </c>
      <c r="K49" s="165">
        <v>2108.580078</v>
      </c>
      <c r="L49" s="124">
        <f t="shared" si="1"/>
        <v>-7.3532969401711923E-3</v>
      </c>
      <c r="M49" s="3"/>
      <c r="N49" s="162">
        <v>41946</v>
      </c>
      <c r="O49" s="161">
        <v>95.546088999999995</v>
      </c>
      <c r="P49" s="123">
        <f t="shared" si="2"/>
        <v>-6.8110808953108035E-3</v>
      </c>
      <c r="Q49" s="166">
        <v>2031.920044</v>
      </c>
      <c r="R49" s="123">
        <f t="shared" si="3"/>
        <v>6.8729687882978854E-3</v>
      </c>
      <c r="T49" s="164">
        <v>40969</v>
      </c>
      <c r="U49" s="163">
        <v>38.824486</v>
      </c>
      <c r="V49" s="123">
        <f t="shared" ref="V49" si="82">(U49-U50)/U50</f>
        <v>5.4522309193510941E-2</v>
      </c>
      <c r="W49" s="167">
        <v>1408.469971</v>
      </c>
      <c r="X49" s="123">
        <f t="shared" ref="X49" si="83">(W49-W50)/W50</f>
        <v>3.1332314530530633E-2</v>
      </c>
    </row>
    <row r="50" spans="1:24" x14ac:dyDescent="0.3">
      <c r="A50" s="140"/>
      <c r="B50" s="143"/>
      <c r="C50" s="143"/>
      <c r="D50" s="143"/>
      <c r="E50" s="143"/>
      <c r="F50" s="143"/>
      <c r="G50" s="143"/>
      <c r="H50" s="160">
        <v>42178</v>
      </c>
      <c r="I50" s="159">
        <v>87.444520999999995</v>
      </c>
      <c r="J50" s="123">
        <f t="shared" si="0"/>
        <v>-3.253270296907388E-2</v>
      </c>
      <c r="K50" s="165">
        <v>2124.1999510000001</v>
      </c>
      <c r="L50" s="124">
        <f t="shared" si="1"/>
        <v>6.3586826091578631E-4</v>
      </c>
      <c r="M50" s="3"/>
      <c r="N50" s="162">
        <v>41939</v>
      </c>
      <c r="O50" s="161">
        <v>96.201324</v>
      </c>
      <c r="P50" s="123">
        <f t="shared" si="2"/>
        <v>7.2971281816980718E-2</v>
      </c>
      <c r="Q50" s="166">
        <v>2018.0500489999999</v>
      </c>
      <c r="R50" s="123">
        <f t="shared" si="3"/>
        <v>2.7217061253576133E-2</v>
      </c>
      <c r="T50" s="164">
        <v>40940</v>
      </c>
      <c r="U50" s="163">
        <v>36.817131000000003</v>
      </c>
      <c r="V50" s="123">
        <f t="shared" ref="V50" si="84">(U50-U51)/U51</f>
        <v>7.9779866114460002E-2</v>
      </c>
      <c r="W50" s="167">
        <v>1365.6800539999999</v>
      </c>
      <c r="X50" s="123">
        <f t="shared" ref="X50" si="85">(W50-W51)/W51</f>
        <v>4.058946413084185E-2</v>
      </c>
    </row>
    <row r="51" spans="1:24" x14ac:dyDescent="0.3">
      <c r="A51" s="140"/>
      <c r="B51" s="143"/>
      <c r="C51" s="143"/>
      <c r="D51" s="143"/>
      <c r="E51" s="143"/>
      <c r="F51" s="143"/>
      <c r="G51" s="143"/>
      <c r="H51" s="160">
        <v>42177</v>
      </c>
      <c r="I51" s="159">
        <v>90.384989000000004</v>
      </c>
      <c r="J51" s="123">
        <f t="shared" si="0"/>
        <v>6.3722516686953801E-3</v>
      </c>
      <c r="K51" s="165">
        <v>2122.8500979999999</v>
      </c>
      <c r="L51" s="124">
        <f t="shared" si="1"/>
        <v>6.0948668292022815E-3</v>
      </c>
      <c r="M51" s="3"/>
      <c r="N51" s="162">
        <v>41932</v>
      </c>
      <c r="O51" s="161">
        <v>89.658805999999998</v>
      </c>
      <c r="P51" s="123">
        <f t="shared" si="2"/>
        <v>5.5734715837492767E-2</v>
      </c>
      <c r="Q51" s="166">
        <v>1964.579956</v>
      </c>
      <c r="R51" s="123">
        <f t="shared" si="3"/>
        <v>4.1245280580226029E-2</v>
      </c>
      <c r="T51" s="164">
        <v>40911</v>
      </c>
      <c r="U51" s="163">
        <v>34.096885999999998</v>
      </c>
      <c r="V51" s="123">
        <f t="shared" ref="V51" si="86">(U51-U52)/U52</f>
        <v>0.1744749574420616</v>
      </c>
      <c r="W51" s="167">
        <v>1312.410034</v>
      </c>
      <c r="X51" s="123">
        <f t="shared" ref="X51" si="87">(W51-W52)/W52</f>
        <v>4.3583062218506295E-2</v>
      </c>
    </row>
    <row r="52" spans="1:24" x14ac:dyDescent="0.3">
      <c r="A52" s="140"/>
      <c r="B52" s="143"/>
      <c r="C52" s="143"/>
      <c r="D52" s="143"/>
      <c r="E52" s="143"/>
      <c r="F52" s="143"/>
      <c r="G52" s="143"/>
      <c r="H52" s="160">
        <v>42174</v>
      </c>
      <c r="I52" s="159">
        <v>89.81268</v>
      </c>
      <c r="J52" s="123">
        <f t="shared" si="0"/>
        <v>-1.5148258694596463E-2</v>
      </c>
      <c r="K52" s="165">
        <v>2109.98999</v>
      </c>
      <c r="L52" s="124">
        <f t="shared" si="1"/>
        <v>-5.3035017504077884E-3</v>
      </c>
      <c r="M52" s="3"/>
      <c r="N52" s="162">
        <v>41925</v>
      </c>
      <c r="O52" s="161">
        <v>84.925506999999996</v>
      </c>
      <c r="P52" s="123">
        <f t="shared" si="2"/>
        <v>-4.0017755580902745E-2</v>
      </c>
      <c r="Q52" s="166">
        <v>1886.76001</v>
      </c>
      <c r="R52" s="123">
        <f t="shared" si="3"/>
        <v>-1.0161948528794087E-2</v>
      </c>
      <c r="T52" s="164">
        <v>40878</v>
      </c>
      <c r="U52" s="163">
        <v>29.031599</v>
      </c>
      <c r="V52" s="123">
        <f t="shared" ref="V52" si="88">(U52-U53)/U53</f>
        <v>6.4671548581242855E-2</v>
      </c>
      <c r="W52" s="167">
        <v>1257.599976</v>
      </c>
      <c r="X52" s="123">
        <f t="shared" ref="X52" si="89">(W52-W53)/W53</f>
        <v>8.5327639481440794E-3</v>
      </c>
    </row>
    <row r="53" spans="1:24" x14ac:dyDescent="0.3">
      <c r="A53" s="140"/>
      <c r="B53" s="143"/>
      <c r="C53" s="143"/>
      <c r="D53" s="143"/>
      <c r="E53" s="143"/>
      <c r="F53" s="143"/>
      <c r="G53" s="143"/>
      <c r="H53" s="160">
        <v>42173</v>
      </c>
      <c r="I53" s="159">
        <v>91.194112000000004</v>
      </c>
      <c r="J53" s="123">
        <f t="shared" si="0"/>
        <v>4.346900204732709E-3</v>
      </c>
      <c r="K53" s="165">
        <v>2121.23999</v>
      </c>
      <c r="L53" s="124">
        <f t="shared" si="1"/>
        <v>9.9027106626515746E-3</v>
      </c>
      <c r="M53" s="3"/>
      <c r="N53" s="162">
        <v>41918</v>
      </c>
      <c r="O53" s="161">
        <v>88.465705999999997</v>
      </c>
      <c r="P53" s="123">
        <f t="shared" si="2"/>
        <v>-5.1781980215634148E-2</v>
      </c>
      <c r="Q53" s="166">
        <v>1906.130005</v>
      </c>
      <c r="R53" s="123">
        <f t="shared" si="3"/>
        <v>-3.1388799352949269E-2</v>
      </c>
      <c r="T53" s="164">
        <v>40848</v>
      </c>
      <c r="U53" s="163">
        <v>27.268127</v>
      </c>
      <c r="V53" s="123">
        <f t="shared" ref="V53" si="90">(U53-U54)/U54</f>
        <v>9.1216170925563389E-2</v>
      </c>
      <c r="W53" s="167">
        <v>1246.959961</v>
      </c>
      <c r="X53" s="123">
        <f t="shared" ref="X53" si="91">(W53-W54)/W54</f>
        <v>-5.0587151935872331E-3</v>
      </c>
    </row>
    <row r="54" spans="1:24" x14ac:dyDescent="0.3">
      <c r="A54" s="140"/>
      <c r="B54" s="143"/>
      <c r="C54" s="143"/>
      <c r="D54" s="143"/>
      <c r="E54" s="143"/>
      <c r="F54" s="143"/>
      <c r="G54" s="143"/>
      <c r="H54" s="160">
        <v>42172</v>
      </c>
      <c r="I54" s="159">
        <v>90.799415999999994</v>
      </c>
      <c r="J54" s="123">
        <f t="shared" si="0"/>
        <v>1.0653412893342465E-2</v>
      </c>
      <c r="K54" s="165">
        <v>2100.4399410000001</v>
      </c>
      <c r="L54" s="124">
        <f t="shared" si="1"/>
        <v>1.9796411387709269E-3</v>
      </c>
      <c r="M54" s="3"/>
      <c r="N54" s="162">
        <v>41911</v>
      </c>
      <c r="O54" s="161">
        <v>93.296798999999993</v>
      </c>
      <c r="P54" s="123">
        <f t="shared" si="2"/>
        <v>-1.5379466671118912E-2</v>
      </c>
      <c r="Q54" s="166">
        <v>1967.900024</v>
      </c>
      <c r="R54" s="123">
        <f t="shared" si="3"/>
        <v>-7.5396284040401551E-3</v>
      </c>
      <c r="T54" s="164">
        <v>40819</v>
      </c>
      <c r="U54" s="163">
        <v>24.988748999999999</v>
      </c>
      <c r="V54" s="123">
        <f t="shared" ref="V54" si="92">(U54-U55)/U55</f>
        <v>3.5769836855804031E-2</v>
      </c>
      <c r="W54" s="167">
        <v>1253.3000489999999</v>
      </c>
      <c r="X54" s="123">
        <f t="shared" ref="X54" si="93">(W54-W55)/W55</f>
        <v>0.10772303853581013</v>
      </c>
    </row>
    <row r="55" spans="1:24" x14ac:dyDescent="0.3">
      <c r="A55" s="140"/>
      <c r="B55" s="143"/>
      <c r="C55" s="143"/>
      <c r="D55" s="143"/>
      <c r="E55" s="143"/>
      <c r="F55" s="143"/>
      <c r="G55" s="143"/>
      <c r="H55" s="160">
        <v>42171</v>
      </c>
      <c r="I55" s="159">
        <v>89.842288999999994</v>
      </c>
      <c r="J55" s="123">
        <f t="shared" si="0"/>
        <v>-7.629394722041799E-3</v>
      </c>
      <c r="K55" s="165">
        <v>2096.290039</v>
      </c>
      <c r="L55" s="124">
        <f t="shared" si="1"/>
        <v>5.6898564053051463E-3</v>
      </c>
      <c r="M55" s="3"/>
      <c r="N55" s="162">
        <v>41904</v>
      </c>
      <c r="O55" s="161">
        <v>94.754065999999995</v>
      </c>
      <c r="P55" s="123">
        <f t="shared" si="2"/>
        <v>-1.248475240271962E-2</v>
      </c>
      <c r="Q55" s="166">
        <v>1982.849976</v>
      </c>
      <c r="R55" s="123">
        <f t="shared" si="3"/>
        <v>-1.3703764261395602E-2</v>
      </c>
      <c r="T55" s="164">
        <v>40787</v>
      </c>
      <c r="U55" s="163">
        <v>24.125774</v>
      </c>
      <c r="V55" s="123">
        <f t="shared" ref="V55" si="94">(U55-U56)/U56</f>
        <v>-0.12783992419373602</v>
      </c>
      <c r="W55" s="167">
        <v>1131.420044</v>
      </c>
      <c r="X55" s="123">
        <f t="shared" ref="X55" si="95">(W55-W56)/W56</f>
        <v>-7.1761988303760113E-2</v>
      </c>
    </row>
    <row r="56" spans="1:24" x14ac:dyDescent="0.3">
      <c r="A56" s="140"/>
      <c r="B56" s="143"/>
      <c r="C56" s="143"/>
      <c r="D56" s="143"/>
      <c r="E56" s="143"/>
      <c r="F56" s="143"/>
      <c r="G56" s="143"/>
      <c r="H56" s="160">
        <v>42170</v>
      </c>
      <c r="I56" s="159">
        <v>90.533000999999999</v>
      </c>
      <c r="J56" s="123">
        <f t="shared" si="0"/>
        <v>-1.3546952050469727E-2</v>
      </c>
      <c r="K56" s="165">
        <v>2084.429932</v>
      </c>
      <c r="L56" s="124">
        <f t="shared" si="1"/>
        <v>-4.6225721215145078E-3</v>
      </c>
      <c r="M56" s="3"/>
      <c r="N56" s="162">
        <v>41897</v>
      </c>
      <c r="O56" s="161">
        <v>95.952003000000005</v>
      </c>
      <c r="P56" s="123">
        <f t="shared" si="2"/>
        <v>-1.3715087283673105E-2</v>
      </c>
      <c r="Q56" s="166">
        <v>2010.400024</v>
      </c>
      <c r="R56" s="123">
        <f t="shared" si="3"/>
        <v>1.2520515583518813E-2</v>
      </c>
      <c r="T56" s="164">
        <v>40767</v>
      </c>
      <c r="U56" s="163">
        <v>27.662094</v>
      </c>
      <c r="V56" s="123"/>
      <c r="W56" s="167">
        <v>1218.8900149999999</v>
      </c>
      <c r="X56" s="124"/>
    </row>
    <row r="57" spans="1:24" x14ac:dyDescent="0.3">
      <c r="A57" s="140"/>
      <c r="B57" s="143"/>
      <c r="C57" s="143"/>
      <c r="D57" s="143"/>
      <c r="E57" s="143"/>
      <c r="F57" s="143"/>
      <c r="G57" s="143"/>
      <c r="H57" s="160">
        <v>42167</v>
      </c>
      <c r="I57" s="159">
        <v>91.776290000000003</v>
      </c>
      <c r="J57" s="123">
        <f t="shared" si="0"/>
        <v>-1.5350372680488019E-2</v>
      </c>
      <c r="K57" s="165">
        <v>2094.110107</v>
      </c>
      <c r="L57" s="124">
        <f t="shared" si="1"/>
        <v>-6.9942998831643219E-3</v>
      </c>
      <c r="M57" s="3"/>
      <c r="N57" s="162">
        <v>41890</v>
      </c>
      <c r="O57" s="161">
        <v>97.286293000000001</v>
      </c>
      <c r="P57" s="123">
        <f t="shared" si="2"/>
        <v>-1.0206090900259875E-2</v>
      </c>
      <c r="Q57" s="166">
        <v>1985.540039</v>
      </c>
      <c r="R57" s="123">
        <f t="shared" si="3"/>
        <v>-1.1042392791116925E-2</v>
      </c>
      <c r="T57" s="122"/>
      <c r="U57" s="147"/>
      <c r="V57" s="125"/>
      <c r="W57" s="156"/>
      <c r="X57" s="125"/>
    </row>
    <row r="58" spans="1:24" x14ac:dyDescent="0.3">
      <c r="A58" s="140"/>
      <c r="B58" s="143"/>
      <c r="C58" s="143"/>
      <c r="D58" s="143"/>
      <c r="E58" s="143"/>
      <c r="F58" s="143"/>
      <c r="G58" s="143"/>
      <c r="H58" s="160">
        <v>42166</v>
      </c>
      <c r="I58" s="159">
        <v>93.207053000000002</v>
      </c>
      <c r="J58" s="123">
        <f t="shared" si="0"/>
        <v>9.188037565806188E-3</v>
      </c>
      <c r="K58" s="165">
        <v>2108.860107</v>
      </c>
      <c r="L58" s="124">
        <f t="shared" si="1"/>
        <v>1.7386262992554644E-3</v>
      </c>
      <c r="M58" s="3"/>
      <c r="N58" s="162">
        <v>41884</v>
      </c>
      <c r="O58" s="161">
        <v>98.289444000000003</v>
      </c>
      <c r="P58" s="123">
        <f t="shared" si="2"/>
        <v>-2.0289364839506406E-2</v>
      </c>
      <c r="Q58" s="166">
        <v>2007.709961</v>
      </c>
      <c r="R58" s="123">
        <f t="shared" si="3"/>
        <v>2.1663327347577668E-3</v>
      </c>
      <c r="T58" s="122"/>
      <c r="U58" s="147"/>
      <c r="V58" s="125"/>
      <c r="W58" s="156"/>
      <c r="X58" s="125"/>
    </row>
    <row r="59" spans="1:24" x14ac:dyDescent="0.3">
      <c r="A59" s="140"/>
      <c r="B59" s="143"/>
      <c r="C59" s="143"/>
      <c r="D59" s="143"/>
      <c r="E59" s="143"/>
      <c r="F59" s="143"/>
      <c r="G59" s="143"/>
      <c r="H59" s="160">
        <v>42165</v>
      </c>
      <c r="I59" s="159">
        <v>92.358459999999994</v>
      </c>
      <c r="J59" s="123">
        <f t="shared" si="0"/>
        <v>1.6949122682323996E-2</v>
      </c>
      <c r="K59" s="165">
        <v>2105.1999510000001</v>
      </c>
      <c r="L59" s="124">
        <f t="shared" si="1"/>
        <v>1.2042424911740781E-2</v>
      </c>
      <c r="M59" s="3"/>
      <c r="N59" s="162">
        <v>41876</v>
      </c>
      <c r="O59" s="161">
        <v>100.324974</v>
      </c>
      <c r="P59" s="123">
        <f t="shared" si="2"/>
        <v>1.9901021439397537E-2</v>
      </c>
      <c r="Q59" s="166">
        <v>2003.369995</v>
      </c>
      <c r="R59" s="123">
        <f t="shared" si="3"/>
        <v>7.5286515888716293E-3</v>
      </c>
      <c r="T59" s="122"/>
      <c r="U59" s="147"/>
      <c r="V59" s="125"/>
      <c r="W59" s="156"/>
      <c r="X59" s="125"/>
    </row>
    <row r="60" spans="1:24" x14ac:dyDescent="0.3">
      <c r="A60" s="140"/>
      <c r="B60" s="143"/>
      <c r="C60" s="143"/>
      <c r="D60" s="143"/>
      <c r="E60" s="143"/>
      <c r="F60" s="143"/>
      <c r="G60" s="143"/>
      <c r="H60" s="160">
        <v>42164</v>
      </c>
      <c r="I60" s="159">
        <v>90.819154999999995</v>
      </c>
      <c r="J60" s="123">
        <f t="shared" si="0"/>
        <v>-6.0474835738023877E-3</v>
      </c>
      <c r="K60" s="165">
        <v>2080.1499020000001</v>
      </c>
      <c r="L60" s="124">
        <f t="shared" si="1"/>
        <v>4.1835298173784259E-4</v>
      </c>
      <c r="M60" s="3"/>
      <c r="N60" s="162">
        <v>41869</v>
      </c>
      <c r="O60" s="161">
        <v>98.367362999999997</v>
      </c>
      <c r="P60" s="123">
        <f t="shared" si="2"/>
        <v>3.7765746308705255E-3</v>
      </c>
      <c r="Q60" s="166">
        <v>1988.400024</v>
      </c>
      <c r="R60" s="123">
        <f t="shared" si="3"/>
        <v>1.7053166651592937E-2</v>
      </c>
      <c r="T60" s="122"/>
      <c r="U60" s="147"/>
      <c r="V60" s="125"/>
      <c r="W60" s="156"/>
      <c r="X60" s="125"/>
    </row>
    <row r="61" spans="1:24" x14ac:dyDescent="0.3">
      <c r="A61" s="140"/>
      <c r="B61" s="143"/>
      <c r="C61" s="143"/>
      <c r="D61" s="143"/>
      <c r="E61" s="143"/>
      <c r="F61" s="143"/>
      <c r="G61" s="143"/>
      <c r="H61" s="160">
        <v>42163</v>
      </c>
      <c r="I61" s="159">
        <v>91.371724</v>
      </c>
      <c r="J61" s="123">
        <f t="shared" si="0"/>
        <v>-2.3927531901782449E-2</v>
      </c>
      <c r="K61" s="165">
        <v>2079.280029</v>
      </c>
      <c r="L61" s="124">
        <f t="shared" si="1"/>
        <v>-6.4745098717947352E-3</v>
      </c>
      <c r="M61" s="3"/>
      <c r="N61" s="162">
        <v>41862</v>
      </c>
      <c r="O61" s="161">
        <v>97.997269000000003</v>
      </c>
      <c r="P61" s="123">
        <f t="shared" si="2"/>
        <v>-6.7127513438993841E-3</v>
      </c>
      <c r="Q61" s="166">
        <v>1955.0600589999999</v>
      </c>
      <c r="R61" s="123">
        <f t="shared" si="3"/>
        <v>1.2150660032989582E-2</v>
      </c>
      <c r="T61" s="122"/>
      <c r="U61" s="147"/>
      <c r="V61" s="125"/>
      <c r="W61" s="156"/>
      <c r="X61" s="125"/>
    </row>
    <row r="62" spans="1:24" x14ac:dyDescent="0.3">
      <c r="A62" s="140"/>
      <c r="B62" s="143"/>
      <c r="C62" s="143"/>
      <c r="D62" s="143"/>
      <c r="E62" s="143"/>
      <c r="F62" s="143"/>
      <c r="G62" s="143"/>
      <c r="H62" s="160">
        <v>42160</v>
      </c>
      <c r="I62" s="159">
        <v>93.611619000000005</v>
      </c>
      <c r="J62" s="123">
        <f t="shared" si="0"/>
        <v>-5.5555350766025207E-3</v>
      </c>
      <c r="K62" s="165">
        <v>2092.830078</v>
      </c>
      <c r="L62" s="124">
        <f t="shared" si="1"/>
        <v>-1.4361830452781976E-3</v>
      </c>
      <c r="M62" s="3"/>
      <c r="N62" s="162">
        <v>41855</v>
      </c>
      <c r="O62" s="161">
        <v>98.659546000000006</v>
      </c>
      <c r="P62" s="123">
        <f t="shared" si="2"/>
        <v>9.9700451292645785E-3</v>
      </c>
      <c r="Q62" s="166">
        <v>1931.589966</v>
      </c>
      <c r="R62" s="123">
        <f t="shared" si="3"/>
        <v>3.3451637117710539E-3</v>
      </c>
      <c r="T62" s="122"/>
      <c r="U62" s="147"/>
      <c r="V62" s="125"/>
      <c r="W62" s="156"/>
      <c r="X62" s="125"/>
    </row>
    <row r="63" spans="1:24" x14ac:dyDescent="0.3">
      <c r="A63" s="140"/>
      <c r="B63" s="143"/>
      <c r="C63" s="143"/>
      <c r="D63" s="143"/>
      <c r="E63" s="143"/>
      <c r="F63" s="143"/>
      <c r="G63" s="143"/>
      <c r="H63" s="160">
        <v>42159</v>
      </c>
      <c r="I63" s="159">
        <v>94.134586999999996</v>
      </c>
      <c r="J63" s="123">
        <f t="shared" si="0"/>
        <v>-2.7919280359501784E-2</v>
      </c>
      <c r="K63" s="165">
        <v>2095.8400879999999</v>
      </c>
      <c r="L63" s="124">
        <f t="shared" si="1"/>
        <v>-8.623167356627116E-3</v>
      </c>
      <c r="M63" s="3"/>
      <c r="N63" s="162">
        <v>41848</v>
      </c>
      <c r="O63" s="161">
        <v>97.685615999999996</v>
      </c>
      <c r="P63" s="123">
        <f t="shared" si="2"/>
        <v>9.4606174420942442E-3</v>
      </c>
      <c r="Q63" s="166">
        <v>1925.150024</v>
      </c>
      <c r="R63" s="123">
        <f t="shared" si="3"/>
        <v>-2.6886148444720839E-2</v>
      </c>
      <c r="T63" s="122"/>
      <c r="U63" s="147"/>
      <c r="V63" s="125"/>
      <c r="W63" s="156"/>
      <c r="X63" s="125"/>
    </row>
    <row r="64" spans="1:24" x14ac:dyDescent="0.3">
      <c r="H64" s="160">
        <v>42158</v>
      </c>
      <c r="I64" s="159">
        <v>96.838240999999996</v>
      </c>
      <c r="J64" s="123">
        <f t="shared" si="0"/>
        <v>1.2274394941554948E-2</v>
      </c>
      <c r="K64" s="165">
        <v>2114.070068</v>
      </c>
      <c r="L64" s="124">
        <f t="shared" si="1"/>
        <v>2.1188707775648308E-3</v>
      </c>
      <c r="N64" s="162">
        <v>41841</v>
      </c>
      <c r="O64" s="161">
        <v>96.770111</v>
      </c>
      <c r="P64" s="123">
        <f t="shared" si="2"/>
        <v>-1.0053836426046593E-3</v>
      </c>
      <c r="Q64" s="166">
        <v>1978.339966</v>
      </c>
      <c r="R64" s="123">
        <f t="shared" si="3"/>
        <v>6.0658067231703814E-5</v>
      </c>
      <c r="T64" s="122"/>
      <c r="U64" s="147"/>
      <c r="V64" s="125"/>
      <c r="W64" s="156"/>
      <c r="X64" s="125"/>
    </row>
    <row r="65" spans="8:24" x14ac:dyDescent="0.3">
      <c r="H65" s="160">
        <v>42157</v>
      </c>
      <c r="I65" s="159">
        <v>95.664023</v>
      </c>
      <c r="J65" s="123">
        <f t="shared" si="0"/>
        <v>-1.8531924893268081E-3</v>
      </c>
      <c r="K65" s="165">
        <v>2109.6000979999999</v>
      </c>
      <c r="L65" s="124">
        <f t="shared" si="1"/>
        <v>-1.0085958054164574E-3</v>
      </c>
      <c r="N65" s="162">
        <v>41834</v>
      </c>
      <c r="O65" s="161">
        <v>96.867500000000007</v>
      </c>
      <c r="P65" s="123">
        <f t="shared" si="2"/>
        <v>1.7285477919651734E-2</v>
      </c>
      <c r="Q65" s="166">
        <v>1978.219971</v>
      </c>
      <c r="R65" s="123">
        <f t="shared" si="3"/>
        <v>5.412780888247982E-3</v>
      </c>
      <c r="T65" s="122"/>
      <c r="U65" s="147"/>
      <c r="V65" s="125"/>
      <c r="W65" s="156"/>
      <c r="X65" s="125"/>
    </row>
    <row r="66" spans="8:24" x14ac:dyDescent="0.3">
      <c r="H66" s="160">
        <v>42156</v>
      </c>
      <c r="I66" s="159">
        <v>95.841635999999994</v>
      </c>
      <c r="J66" s="123">
        <f t="shared" si="0"/>
        <v>-2.3624058848205716E-3</v>
      </c>
      <c r="K66" s="165">
        <v>2111.7299800000001</v>
      </c>
      <c r="L66" s="124">
        <f t="shared" si="1"/>
        <v>2.0594608593389697E-3</v>
      </c>
      <c r="N66" s="162">
        <v>41827</v>
      </c>
      <c r="O66" s="161">
        <v>95.221549999999993</v>
      </c>
      <c r="P66" s="123">
        <f t="shared" si="2"/>
        <v>1.2740723950633508E-2</v>
      </c>
      <c r="Q66" s="166">
        <v>1967.5699460000001</v>
      </c>
      <c r="R66" s="123">
        <f t="shared" si="3"/>
        <v>-9.0005215624903243E-3</v>
      </c>
      <c r="T66" s="122"/>
      <c r="U66" s="147"/>
      <c r="V66" s="125"/>
      <c r="W66" s="156"/>
      <c r="X66" s="125"/>
    </row>
    <row r="67" spans="8:24" x14ac:dyDescent="0.3">
      <c r="H67" s="160">
        <v>42153</v>
      </c>
      <c r="I67" s="159">
        <v>96.068589000000003</v>
      </c>
      <c r="J67" s="123">
        <f t="shared" si="0"/>
        <v>-1.8845129542379935E-2</v>
      </c>
      <c r="K67" s="165">
        <v>2107.389893</v>
      </c>
      <c r="L67" s="124">
        <f t="shared" si="1"/>
        <v>-6.3184689448647254E-3</v>
      </c>
      <c r="N67" s="162">
        <v>41820</v>
      </c>
      <c r="O67" s="161">
        <v>94.023621000000006</v>
      </c>
      <c r="P67" s="123">
        <f t="shared" si="2"/>
        <v>3.9181916145824801E-2</v>
      </c>
      <c r="Q67" s="166">
        <v>1985.4399410000001</v>
      </c>
      <c r="R67" s="123">
        <f t="shared" si="3"/>
        <v>1.2483671511332846E-2</v>
      </c>
      <c r="T67" s="122"/>
      <c r="U67" s="147"/>
      <c r="V67" s="125"/>
      <c r="W67" s="156"/>
      <c r="X67" s="125"/>
    </row>
    <row r="68" spans="8:24" x14ac:dyDescent="0.3">
      <c r="H68" s="160">
        <v>42152</v>
      </c>
      <c r="I68" s="159">
        <v>97.913786999999999</v>
      </c>
      <c r="J68" s="123">
        <f t="shared" si="0"/>
        <v>5.1499420881519764E-2</v>
      </c>
      <c r="K68" s="165">
        <v>2120.790039</v>
      </c>
      <c r="L68" s="124">
        <f t="shared" si="1"/>
        <v>-1.2667607066397159E-3</v>
      </c>
      <c r="N68" s="162">
        <v>41813</v>
      </c>
      <c r="O68" s="161">
        <v>90.478499999999997</v>
      </c>
      <c r="P68" s="123">
        <f t="shared" si="2"/>
        <v>2.024804210726389E-2</v>
      </c>
      <c r="Q68" s="166">
        <v>1960.959961</v>
      </c>
      <c r="R68" s="123">
        <f t="shared" si="3"/>
        <v>-9.7308227486558321E-4</v>
      </c>
      <c r="T68" s="122"/>
      <c r="U68" s="147"/>
      <c r="V68" s="125"/>
      <c r="W68" s="156"/>
      <c r="X68" s="125"/>
    </row>
    <row r="69" spans="8:24" x14ac:dyDescent="0.3">
      <c r="H69" s="160">
        <v>42151</v>
      </c>
      <c r="I69" s="159">
        <v>93.118251000000001</v>
      </c>
      <c r="J69" s="123">
        <f t="shared" si="0"/>
        <v>1.2553716265897982E-2</v>
      </c>
      <c r="K69" s="165">
        <v>2123.4799800000001</v>
      </c>
      <c r="L69" s="124">
        <f t="shared" si="1"/>
        <v>9.1626411220271011E-3</v>
      </c>
      <c r="N69" s="162">
        <v>41806</v>
      </c>
      <c r="O69" s="161">
        <v>88.682845999999998</v>
      </c>
      <c r="P69" s="123">
        <f t="shared" si="2"/>
        <v>-7.1645867555416116E-3</v>
      </c>
      <c r="Q69" s="166">
        <v>1962.869995</v>
      </c>
      <c r="R69" s="123">
        <f t="shared" si="3"/>
        <v>1.3795327106726148E-2</v>
      </c>
      <c r="T69" s="122"/>
      <c r="U69" s="147"/>
      <c r="V69" s="125"/>
      <c r="W69" s="156"/>
      <c r="X69" s="125"/>
    </row>
    <row r="70" spans="8:24" x14ac:dyDescent="0.3">
      <c r="H70" s="160">
        <v>42150</v>
      </c>
      <c r="I70" s="159">
        <v>91.963763999999998</v>
      </c>
      <c r="J70" s="123">
        <f t="shared" si="0"/>
        <v>-2.131688066484384E-2</v>
      </c>
      <c r="K70" s="165">
        <v>2104.1999510000001</v>
      </c>
      <c r="L70" s="124">
        <f t="shared" si="1"/>
        <v>-1.0281980467796303E-2</v>
      </c>
      <c r="N70" s="162">
        <v>41799</v>
      </c>
      <c r="O70" s="161">
        <v>89.322806999999997</v>
      </c>
      <c r="P70" s="123">
        <f t="shared" si="2"/>
        <v>-4.3405671082747256E-4</v>
      </c>
      <c r="Q70" s="166">
        <v>1936.160034</v>
      </c>
      <c r="R70" s="123">
        <f t="shared" si="3"/>
        <v>-6.8121652381801148E-3</v>
      </c>
      <c r="T70" s="122"/>
      <c r="U70" s="147"/>
      <c r="V70" s="125"/>
      <c r="W70" s="156"/>
      <c r="X70" s="125"/>
    </row>
    <row r="71" spans="8:24" x14ac:dyDescent="0.3">
      <c r="H71" s="160">
        <v>42146</v>
      </c>
      <c r="I71" s="159">
        <v>93.966843999999995</v>
      </c>
      <c r="J71" s="123">
        <f t="shared" si="0"/>
        <v>-2.0994487553206264E-4</v>
      </c>
      <c r="K71" s="165">
        <v>2126.0600589999999</v>
      </c>
      <c r="L71" s="124">
        <f t="shared" si="1"/>
        <v>-2.2338859444231973E-3</v>
      </c>
      <c r="N71" s="162">
        <v>41792</v>
      </c>
      <c r="O71" s="161">
        <v>89.361594999999994</v>
      </c>
      <c r="P71" s="123">
        <f t="shared" si="2"/>
        <v>4.9061017340694867E-2</v>
      </c>
      <c r="Q71" s="166">
        <v>1949.4399410000001</v>
      </c>
      <c r="R71" s="123">
        <f t="shared" si="3"/>
        <v>1.344894946700317E-2</v>
      </c>
      <c r="T71" s="122"/>
      <c r="U71" s="147"/>
      <c r="V71" s="125"/>
      <c r="W71" s="156"/>
      <c r="X71" s="125"/>
    </row>
    <row r="72" spans="8:24" x14ac:dyDescent="0.3">
      <c r="H72" s="160">
        <v>42145</v>
      </c>
      <c r="I72" s="159">
        <v>93.986575999999999</v>
      </c>
      <c r="J72" s="123">
        <f t="shared" si="0"/>
        <v>4.4289674743813821E-3</v>
      </c>
      <c r="K72" s="165">
        <v>2130.820068</v>
      </c>
      <c r="L72" s="124">
        <f t="shared" si="1"/>
        <v>2.3378741542857849E-3</v>
      </c>
      <c r="N72" s="162">
        <v>41786</v>
      </c>
      <c r="O72" s="161">
        <v>85.182456999999999</v>
      </c>
      <c r="P72" s="123">
        <f t="shared" si="2"/>
        <v>3.5600519005930975E-2</v>
      </c>
      <c r="Q72" s="166">
        <v>1923.5699460000001</v>
      </c>
      <c r="R72" s="123">
        <f t="shared" si="3"/>
        <v>1.2122890271890599E-2</v>
      </c>
      <c r="T72" s="122"/>
      <c r="U72" s="147"/>
      <c r="V72" s="125"/>
      <c r="W72" s="156"/>
      <c r="X72" s="125"/>
    </row>
    <row r="73" spans="8:24" x14ac:dyDescent="0.3">
      <c r="H73" s="160">
        <v>42144</v>
      </c>
      <c r="I73" s="159">
        <v>93.572147999999999</v>
      </c>
      <c r="J73" s="123">
        <f t="shared" si="0"/>
        <v>-7.9505683410526374E-3</v>
      </c>
      <c r="K73" s="165">
        <v>2125.8500979999999</v>
      </c>
      <c r="L73" s="124">
        <f t="shared" si="1"/>
        <v>-9.3051603155318719E-4</v>
      </c>
      <c r="N73" s="162">
        <v>41778</v>
      </c>
      <c r="O73" s="161">
        <v>82.254165999999998</v>
      </c>
      <c r="P73" s="123">
        <f t="shared" si="2"/>
        <v>-1.2571340958401537E-2</v>
      </c>
      <c r="Q73" s="166">
        <v>1900.530029</v>
      </c>
      <c r="R73" s="123">
        <f t="shared" si="3"/>
        <v>1.2072275984942487E-2</v>
      </c>
      <c r="T73" s="122"/>
      <c r="U73" s="147"/>
      <c r="V73" s="125"/>
      <c r="W73" s="156"/>
      <c r="X73" s="125"/>
    </row>
    <row r="74" spans="8:24" x14ac:dyDescent="0.3">
      <c r="H74" s="160">
        <v>42143</v>
      </c>
      <c r="I74" s="159">
        <v>94.322062000000003</v>
      </c>
      <c r="J74" s="123">
        <f t="shared" ref="J74:J137" si="96">(I74-I75)/I75</f>
        <v>-2.3296276907925496E-2</v>
      </c>
      <c r="K74" s="165">
        <v>2127.830078</v>
      </c>
      <c r="L74" s="124">
        <f t="shared" ref="L74:L137" si="97">(K74-K75)/K75</f>
        <v>-6.4337452166327697E-4</v>
      </c>
      <c r="N74" s="162">
        <v>41771</v>
      </c>
      <c r="O74" s="161">
        <v>83.301376000000005</v>
      </c>
      <c r="P74" s="123">
        <f t="shared" ref="P74:P137" si="98">(O74-O75)/O75</f>
        <v>4.8322291082729132E-2</v>
      </c>
      <c r="Q74" s="166">
        <v>1877.8599850000001</v>
      </c>
      <c r="R74" s="123">
        <f t="shared" ref="R74:R137" si="99">(Q74-Q75)/Q75</f>
        <v>-3.3005142807005969E-4</v>
      </c>
      <c r="T74" s="122"/>
      <c r="U74" s="118"/>
      <c r="V74" s="125"/>
      <c r="W74" s="118"/>
      <c r="X74" s="125"/>
    </row>
    <row r="75" spans="8:24" x14ac:dyDescent="0.3">
      <c r="H75" s="160">
        <v>42142</v>
      </c>
      <c r="I75" s="159">
        <v>96.571826000000001</v>
      </c>
      <c r="J75" s="123">
        <f t="shared" si="96"/>
        <v>2.0477621491349989E-3</v>
      </c>
      <c r="K75" s="165">
        <v>2129.1999510000001</v>
      </c>
      <c r="L75" s="124">
        <f t="shared" si="97"/>
        <v>3.0479481898116815E-3</v>
      </c>
      <c r="N75" s="162">
        <v>41764</v>
      </c>
      <c r="O75" s="161">
        <v>79.461608999999996</v>
      </c>
      <c r="P75" s="123">
        <f t="shared" si="98"/>
        <v>-2.0674068738562555E-2</v>
      </c>
      <c r="Q75" s="166">
        <v>1878.4799800000001</v>
      </c>
      <c r="R75" s="123">
        <f t="shared" si="99"/>
        <v>-1.4140547640202528E-3</v>
      </c>
      <c r="T75" s="122"/>
      <c r="U75" s="154"/>
      <c r="V75" s="125"/>
      <c r="W75" s="154"/>
      <c r="X75" s="125"/>
    </row>
    <row r="76" spans="8:24" x14ac:dyDescent="0.3">
      <c r="H76" s="160">
        <v>42139</v>
      </c>
      <c r="I76" s="159">
        <v>96.374474000000006</v>
      </c>
      <c r="J76" s="123">
        <f t="shared" si="96"/>
        <v>-7.5196182131889487E-3</v>
      </c>
      <c r="K76" s="165">
        <v>2122.7299800000001</v>
      </c>
      <c r="L76" s="124">
        <f t="shared" si="97"/>
        <v>7.6841352349990783E-4</v>
      </c>
      <c r="N76" s="162">
        <v>41757</v>
      </c>
      <c r="O76" s="161">
        <v>81.139083999999997</v>
      </c>
      <c r="P76" s="123">
        <f t="shared" si="98"/>
        <v>-4.6599026760965556E-2</v>
      </c>
      <c r="Q76" s="166">
        <v>1881.1400149999999</v>
      </c>
      <c r="R76" s="123">
        <f t="shared" si="99"/>
        <v>9.5202268817830161E-3</v>
      </c>
      <c r="T76" s="122"/>
      <c r="U76" s="154"/>
      <c r="V76" s="125"/>
      <c r="W76" s="154"/>
      <c r="X76" s="125"/>
    </row>
    <row r="77" spans="8:24" x14ac:dyDescent="0.3">
      <c r="H77" s="160">
        <v>42138</v>
      </c>
      <c r="I77" s="159">
        <v>97.104664</v>
      </c>
      <c r="J77" s="123">
        <f t="shared" si="96"/>
        <v>2.553151954916125E-2</v>
      </c>
      <c r="K77" s="165">
        <v>2121.1000979999999</v>
      </c>
      <c r="L77" s="124">
        <f t="shared" si="97"/>
        <v>1.0779287015166006E-2</v>
      </c>
      <c r="N77" s="162">
        <v>41750</v>
      </c>
      <c r="O77" s="161">
        <v>85.104889</v>
      </c>
      <c r="P77" s="123">
        <f t="shared" si="98"/>
        <v>-3.602425278019955E-2</v>
      </c>
      <c r="Q77" s="166">
        <v>1863.400024</v>
      </c>
      <c r="R77" s="123">
        <f t="shared" si="99"/>
        <v>-7.7751670035677942E-4</v>
      </c>
      <c r="T77" s="122"/>
      <c r="U77" s="154"/>
      <c r="V77" s="125"/>
      <c r="W77" s="154"/>
      <c r="X77" s="125"/>
    </row>
    <row r="78" spans="8:24" x14ac:dyDescent="0.3">
      <c r="H78" s="160">
        <v>42137</v>
      </c>
      <c r="I78" s="159">
        <v>94.687156999999999</v>
      </c>
      <c r="J78" s="123">
        <f t="shared" si="96"/>
        <v>0</v>
      </c>
      <c r="K78" s="165">
        <v>2098.4799800000001</v>
      </c>
      <c r="L78" s="124">
        <f t="shared" si="97"/>
        <v>-3.0495491649841012E-4</v>
      </c>
      <c r="N78" s="162">
        <v>41743</v>
      </c>
      <c r="O78" s="161">
        <v>88.285301000000004</v>
      </c>
      <c r="P78" s="123">
        <f t="shared" si="98"/>
        <v>3.219595084535614E-2</v>
      </c>
      <c r="Q78" s="166">
        <v>1864.849976</v>
      </c>
      <c r="R78" s="123">
        <f t="shared" si="99"/>
        <v>2.7075126589578807E-2</v>
      </c>
      <c r="T78" s="122"/>
      <c r="U78" s="154"/>
      <c r="V78" s="125"/>
      <c r="W78" s="154"/>
      <c r="X78" s="125"/>
    </row>
    <row r="79" spans="8:24" x14ac:dyDescent="0.3">
      <c r="H79" s="160">
        <v>42136</v>
      </c>
      <c r="I79" s="159">
        <v>94.687156999999999</v>
      </c>
      <c r="J79" s="123">
        <f t="shared" si="96"/>
        <v>-9.3705190050970592E-4</v>
      </c>
      <c r="K79" s="165">
        <v>2099.1201169999999</v>
      </c>
      <c r="L79" s="124">
        <f t="shared" si="97"/>
        <v>-2.9496377147184903E-3</v>
      </c>
      <c r="N79" s="162">
        <v>41736</v>
      </c>
      <c r="O79" s="161">
        <v>85.531531999999999</v>
      </c>
      <c r="P79" s="123">
        <f t="shared" si="98"/>
        <v>-2.5303890797974862E-2</v>
      </c>
      <c r="Q79" s="166">
        <v>1815.6899410000001</v>
      </c>
      <c r="R79" s="123">
        <f t="shared" si="99"/>
        <v>-2.6486671367358539E-2</v>
      </c>
      <c r="T79" s="122"/>
      <c r="U79" s="154"/>
      <c r="V79" s="125"/>
      <c r="W79" s="154"/>
      <c r="X79" s="125"/>
    </row>
    <row r="80" spans="8:24" x14ac:dyDescent="0.3">
      <c r="H80" s="160">
        <v>42135</v>
      </c>
      <c r="I80" s="159">
        <v>94.775966999999994</v>
      </c>
      <c r="J80" s="123">
        <f t="shared" si="96"/>
        <v>-4.9725040303583287E-3</v>
      </c>
      <c r="K80" s="165">
        <v>2105.330078</v>
      </c>
      <c r="L80" s="124">
        <f t="shared" si="97"/>
        <v>-5.0895607491247951E-3</v>
      </c>
      <c r="N80" s="162">
        <v>41729</v>
      </c>
      <c r="O80" s="161">
        <v>87.751998999999998</v>
      </c>
      <c r="P80" s="123">
        <f t="shared" si="98"/>
        <v>1.2191000554714159E-2</v>
      </c>
      <c r="Q80" s="166">
        <v>1865.089966</v>
      </c>
      <c r="R80" s="123">
        <f t="shared" si="99"/>
        <v>4.0212589335312287E-3</v>
      </c>
      <c r="T80" s="122"/>
      <c r="U80" s="154"/>
      <c r="V80" s="125"/>
      <c r="W80" s="154"/>
      <c r="X80" s="125"/>
    </row>
    <row r="81" spans="8:24" x14ac:dyDescent="0.3">
      <c r="H81" s="160">
        <v>42132</v>
      </c>
      <c r="I81" s="159">
        <v>95.249595999999997</v>
      </c>
      <c r="J81" s="123">
        <f t="shared" si="96"/>
        <v>1.7819514669539585E-2</v>
      </c>
      <c r="K81" s="165">
        <v>2116.1000979999999</v>
      </c>
      <c r="L81" s="124">
        <f t="shared" si="97"/>
        <v>1.3457901340996115E-2</v>
      </c>
      <c r="N81" s="162">
        <v>41722</v>
      </c>
      <c r="O81" s="161">
        <v>86.695098999999999</v>
      </c>
      <c r="P81" s="123">
        <f t="shared" si="98"/>
        <v>1.229438563690952E-2</v>
      </c>
      <c r="Q81" s="166">
        <v>1857.619995</v>
      </c>
      <c r="R81" s="123">
        <f t="shared" si="99"/>
        <v>-4.7682451324577348E-3</v>
      </c>
      <c r="T81" s="122"/>
      <c r="U81" s="154"/>
      <c r="V81" s="125"/>
      <c r="W81" s="154"/>
      <c r="X81" s="125"/>
    </row>
    <row r="82" spans="8:24" x14ac:dyDescent="0.3">
      <c r="H82" s="160">
        <v>42131</v>
      </c>
      <c r="I82" s="159">
        <v>93.582009999999997</v>
      </c>
      <c r="J82" s="123">
        <f t="shared" si="96"/>
        <v>-3.1629620677757714E-4</v>
      </c>
      <c r="K82" s="165">
        <v>2088</v>
      </c>
      <c r="L82" s="124">
        <f t="shared" si="97"/>
        <v>3.7738136047081325E-3</v>
      </c>
      <c r="N82" s="162">
        <v>41715</v>
      </c>
      <c r="O82" s="161">
        <v>85.642180999999994</v>
      </c>
      <c r="P82" s="123">
        <f t="shared" si="98"/>
        <v>4.234309986623068E-2</v>
      </c>
      <c r="Q82" s="166">
        <v>1866.5200199999999</v>
      </c>
      <c r="R82" s="123">
        <f t="shared" si="99"/>
        <v>1.3790452021882045E-2</v>
      </c>
      <c r="T82" s="122"/>
      <c r="U82" s="154"/>
      <c r="V82" s="125"/>
      <c r="W82" s="154"/>
      <c r="X82" s="125"/>
    </row>
    <row r="83" spans="8:24" x14ac:dyDescent="0.3">
      <c r="H83" s="160">
        <v>42130</v>
      </c>
      <c r="I83" s="159">
        <v>93.611619000000005</v>
      </c>
      <c r="J83" s="123">
        <f t="shared" si="96"/>
        <v>-1.9836733234841131E-2</v>
      </c>
      <c r="K83" s="165">
        <v>2080.1499020000001</v>
      </c>
      <c r="L83" s="124">
        <f t="shared" si="97"/>
        <v>-4.4557250073096327E-3</v>
      </c>
      <c r="N83" s="162">
        <v>41708</v>
      </c>
      <c r="O83" s="161">
        <v>82.163139000000001</v>
      </c>
      <c r="P83" s="123">
        <f t="shared" si="98"/>
        <v>9.139449907855637E-3</v>
      </c>
      <c r="Q83" s="166">
        <v>1841.130005</v>
      </c>
      <c r="R83" s="123">
        <f t="shared" si="99"/>
        <v>-1.9653486205572848E-2</v>
      </c>
      <c r="T83" s="122"/>
      <c r="U83" s="154"/>
      <c r="V83" s="125"/>
      <c r="W83" s="154"/>
      <c r="X83" s="125"/>
    </row>
    <row r="84" spans="8:24" x14ac:dyDescent="0.3">
      <c r="H84" s="160">
        <v>42129</v>
      </c>
      <c r="I84" s="159">
        <v>95.506148999999994</v>
      </c>
      <c r="J84" s="123">
        <f t="shared" si="96"/>
        <v>-2.7333954903302312E-2</v>
      </c>
      <c r="K84" s="165">
        <v>2089.459961</v>
      </c>
      <c r="L84" s="124">
        <f t="shared" si="97"/>
        <v>-1.1837383538524111E-2</v>
      </c>
      <c r="N84" s="162">
        <v>41701</v>
      </c>
      <c r="O84" s="161">
        <v>81.419014000000004</v>
      </c>
      <c r="P84" s="123">
        <f t="shared" si="98"/>
        <v>-3.1497919967309773E-2</v>
      </c>
      <c r="Q84" s="166">
        <v>1878.040039</v>
      </c>
      <c r="R84" s="123">
        <f t="shared" si="99"/>
        <v>9.9976275188274327E-3</v>
      </c>
      <c r="T84" s="122"/>
      <c r="U84" s="154"/>
      <c r="V84" s="125"/>
      <c r="W84" s="154"/>
      <c r="X84" s="125"/>
    </row>
    <row r="85" spans="8:24" x14ac:dyDescent="0.3">
      <c r="H85" s="160">
        <v>42128</v>
      </c>
      <c r="I85" s="159">
        <v>98.190072000000001</v>
      </c>
      <c r="J85" s="123">
        <f t="shared" si="96"/>
        <v>1.8121471679431469E-3</v>
      </c>
      <c r="K85" s="165">
        <v>2114.48999</v>
      </c>
      <c r="L85" s="124">
        <f t="shared" si="97"/>
        <v>2.9407486092097672E-3</v>
      </c>
      <c r="N85" s="162">
        <v>41694</v>
      </c>
      <c r="O85" s="161">
        <v>84.066947999999996</v>
      </c>
      <c r="P85" s="123">
        <f t="shared" si="98"/>
        <v>-1.1589582845914815E-2</v>
      </c>
      <c r="Q85" s="166">
        <v>1859.4499510000001</v>
      </c>
      <c r="R85" s="123">
        <f t="shared" si="99"/>
        <v>1.2634418515997307E-2</v>
      </c>
      <c r="T85" s="122"/>
      <c r="U85" s="154"/>
      <c r="V85" s="125"/>
      <c r="W85" s="154"/>
      <c r="X85" s="125"/>
    </row>
    <row r="86" spans="8:24" x14ac:dyDescent="0.3">
      <c r="H86" s="160">
        <v>42125</v>
      </c>
      <c r="I86" s="159">
        <v>98.012459000000007</v>
      </c>
      <c r="J86" s="123">
        <f t="shared" si="96"/>
        <v>1.6267693187760845E-2</v>
      </c>
      <c r="K86" s="165">
        <v>2108.290039</v>
      </c>
      <c r="L86" s="124">
        <f t="shared" si="97"/>
        <v>1.0923001515586115E-2</v>
      </c>
      <c r="N86" s="162">
        <v>41688</v>
      </c>
      <c r="O86" s="161">
        <v>85.052672999999999</v>
      </c>
      <c r="P86" s="123">
        <f t="shared" si="98"/>
        <v>1.4992501583243018E-2</v>
      </c>
      <c r="Q86" s="166">
        <v>1836.25</v>
      </c>
      <c r="R86" s="123">
        <f t="shared" si="99"/>
        <v>-1.2944447732973785E-3</v>
      </c>
      <c r="T86" s="122"/>
      <c r="U86" s="154"/>
      <c r="V86" s="125"/>
      <c r="W86" s="154"/>
      <c r="X86" s="125"/>
    </row>
    <row r="87" spans="8:24" x14ac:dyDescent="0.3">
      <c r="H87" s="160">
        <v>42124</v>
      </c>
      <c r="I87" s="159">
        <v>96.443545</v>
      </c>
      <c r="J87" s="123">
        <f t="shared" si="96"/>
        <v>1.9931083366000746E-2</v>
      </c>
      <c r="K87" s="165">
        <v>2085.51001</v>
      </c>
      <c r="L87" s="124">
        <f t="shared" si="97"/>
        <v>-1.0128906665100539E-2</v>
      </c>
      <c r="N87" s="162">
        <v>41680</v>
      </c>
      <c r="O87" s="161">
        <v>83.796356000000003</v>
      </c>
      <c r="P87" s="123">
        <f t="shared" si="98"/>
        <v>2.3972657812412888E-2</v>
      </c>
      <c r="Q87" s="166">
        <v>1838.630005</v>
      </c>
      <c r="R87" s="123">
        <f t="shared" si="99"/>
        <v>2.3154992452449168E-2</v>
      </c>
      <c r="T87" s="122"/>
      <c r="U87" s="154"/>
      <c r="V87" s="125"/>
      <c r="W87" s="154"/>
      <c r="X87" s="125"/>
    </row>
    <row r="88" spans="8:24" x14ac:dyDescent="0.3">
      <c r="H88" s="160">
        <v>42123</v>
      </c>
      <c r="I88" s="159">
        <v>94.558884000000006</v>
      </c>
      <c r="J88" s="123">
        <f t="shared" si="96"/>
        <v>-2.1144025129152543E-2</v>
      </c>
      <c r="K88" s="165">
        <v>2106.8500979999999</v>
      </c>
      <c r="L88" s="124">
        <f t="shared" si="97"/>
        <v>-3.7403355286636411E-3</v>
      </c>
      <c r="N88" s="162">
        <v>41673</v>
      </c>
      <c r="O88" s="161">
        <v>81.834564</v>
      </c>
      <c r="P88" s="123">
        <f t="shared" si="98"/>
        <v>-1.7291416154799202E-2</v>
      </c>
      <c r="Q88" s="166">
        <v>1797.0200199999999</v>
      </c>
      <c r="R88" s="123">
        <f t="shared" si="99"/>
        <v>8.0949933945717763E-3</v>
      </c>
      <c r="T88" s="122"/>
      <c r="U88" s="154"/>
      <c r="V88" s="125"/>
      <c r="W88" s="154"/>
      <c r="X88" s="125"/>
    </row>
    <row r="89" spans="8:24" x14ac:dyDescent="0.3">
      <c r="H89" s="160">
        <v>42122</v>
      </c>
      <c r="I89" s="159">
        <v>96.601427000000001</v>
      </c>
      <c r="J89" s="123">
        <f t="shared" si="96"/>
        <v>-1.0111216153451029E-2</v>
      </c>
      <c r="K89" s="165">
        <v>2114.76001</v>
      </c>
      <c r="L89" s="124">
        <f t="shared" si="97"/>
        <v>2.7692317470553647E-3</v>
      </c>
      <c r="N89" s="162">
        <v>41666</v>
      </c>
      <c r="O89" s="161">
        <v>83.274497999999994</v>
      </c>
      <c r="P89" s="123">
        <f t="shared" si="98"/>
        <v>1.3764688354986633E-2</v>
      </c>
      <c r="Q89" s="166">
        <v>1782.589966</v>
      </c>
      <c r="R89" s="123">
        <f t="shared" si="99"/>
        <v>-4.3010198527949108E-3</v>
      </c>
      <c r="T89" s="122"/>
      <c r="U89" s="154"/>
      <c r="V89" s="125"/>
      <c r="W89" s="154"/>
      <c r="X89" s="125"/>
    </row>
    <row r="90" spans="8:24" x14ac:dyDescent="0.3">
      <c r="H90" s="160">
        <v>42121</v>
      </c>
      <c r="I90" s="159">
        <v>97.588161999999997</v>
      </c>
      <c r="J90" s="123">
        <f t="shared" si="96"/>
        <v>-8.5212895996729914E-3</v>
      </c>
      <c r="K90" s="165">
        <v>2108.919922</v>
      </c>
      <c r="L90" s="124">
        <f t="shared" si="97"/>
        <v>-4.141313999847746E-3</v>
      </c>
      <c r="N90" s="162">
        <v>41660</v>
      </c>
      <c r="O90" s="161">
        <v>82.143814000000006</v>
      </c>
      <c r="P90" s="123">
        <f t="shared" si="98"/>
        <v>-4.3008368907501697E-2</v>
      </c>
      <c r="Q90" s="166">
        <v>1790.290039</v>
      </c>
      <c r="R90" s="123">
        <f t="shared" si="99"/>
        <v>-2.6328337026207967E-2</v>
      </c>
      <c r="T90" s="122"/>
      <c r="U90" s="154"/>
      <c r="V90" s="125"/>
      <c r="W90" s="154"/>
      <c r="X90" s="125"/>
    </row>
    <row r="91" spans="8:24" x14ac:dyDescent="0.3">
      <c r="H91" s="160">
        <v>42118</v>
      </c>
      <c r="I91" s="159">
        <v>98.426885999999996</v>
      </c>
      <c r="J91" s="123">
        <f t="shared" si="96"/>
        <v>-5.185961974827436E-3</v>
      </c>
      <c r="K91" s="165">
        <v>2117.6899410000001</v>
      </c>
      <c r="L91" s="124">
        <f t="shared" si="97"/>
        <v>2.2528002125912815E-3</v>
      </c>
      <c r="N91" s="162">
        <v>41652</v>
      </c>
      <c r="O91" s="161">
        <v>85.835457000000005</v>
      </c>
      <c r="P91" s="123">
        <f t="shared" si="98"/>
        <v>3.9316692537141686E-2</v>
      </c>
      <c r="Q91" s="166">
        <v>1838.6999510000001</v>
      </c>
      <c r="R91" s="123">
        <f t="shared" si="99"/>
        <v>-1.9920233231978802E-3</v>
      </c>
      <c r="T91" s="122"/>
      <c r="U91" s="154"/>
      <c r="V91" s="125"/>
      <c r="W91" s="154"/>
      <c r="X91" s="125"/>
    </row>
    <row r="92" spans="8:24" x14ac:dyDescent="0.3">
      <c r="H92" s="160">
        <v>42117</v>
      </c>
      <c r="I92" s="159">
        <v>98.939984999999993</v>
      </c>
      <c r="J92" s="123">
        <f t="shared" si="96"/>
        <v>-3.9877972253157291E-4</v>
      </c>
      <c r="K92" s="165">
        <v>2112.929932</v>
      </c>
      <c r="L92" s="124">
        <f t="shared" si="97"/>
        <v>2.3577160344365701E-3</v>
      </c>
      <c r="N92" s="162">
        <v>41645</v>
      </c>
      <c r="O92" s="161">
        <v>82.588356000000005</v>
      </c>
      <c r="P92" s="123">
        <f t="shared" si="98"/>
        <v>2.6176699515204904E-2</v>
      </c>
      <c r="Q92" s="166">
        <v>1842.369995</v>
      </c>
      <c r="R92" s="123">
        <f t="shared" si="99"/>
        <v>6.0064323593987902E-3</v>
      </c>
      <c r="T92" s="122"/>
      <c r="U92" s="154"/>
      <c r="V92" s="125"/>
      <c r="W92" s="154"/>
      <c r="X92" s="125"/>
    </row>
    <row r="93" spans="8:24" x14ac:dyDescent="0.3">
      <c r="H93" s="160">
        <v>42116</v>
      </c>
      <c r="I93" s="159">
        <v>98.979455999999999</v>
      </c>
      <c r="J93" s="123">
        <f t="shared" si="96"/>
        <v>6.3201993659578225E-3</v>
      </c>
      <c r="K93" s="165">
        <v>2107.959961</v>
      </c>
      <c r="L93" s="124">
        <f t="shared" si="97"/>
        <v>5.0874804159597893E-3</v>
      </c>
      <c r="N93" s="162">
        <v>41638</v>
      </c>
      <c r="O93" s="161">
        <v>80.481612999999996</v>
      </c>
      <c r="P93" s="123">
        <f t="shared" si="98"/>
        <v>5.5542891978145898E-3</v>
      </c>
      <c r="Q93" s="166">
        <v>1831.369995</v>
      </c>
      <c r="R93" s="123">
        <f t="shared" si="99"/>
        <v>-5.4469582216101963E-3</v>
      </c>
      <c r="T93" s="122"/>
      <c r="U93" s="154"/>
      <c r="V93" s="125"/>
      <c r="W93" s="154"/>
      <c r="X93" s="125"/>
    </row>
    <row r="94" spans="8:24" x14ac:dyDescent="0.3">
      <c r="H94" s="160">
        <v>42115</v>
      </c>
      <c r="I94" s="159">
        <v>98.357815000000002</v>
      </c>
      <c r="J94" s="123">
        <f t="shared" si="96"/>
        <v>-1.8704480759126924E-2</v>
      </c>
      <c r="K94" s="165">
        <v>2097.290039</v>
      </c>
      <c r="L94" s="124">
        <f t="shared" si="97"/>
        <v>-1.4806051919155593E-3</v>
      </c>
      <c r="N94" s="162">
        <v>41631</v>
      </c>
      <c r="O94" s="161">
        <v>80.037064000000001</v>
      </c>
      <c r="P94" s="123">
        <f t="shared" si="98"/>
        <v>5.3433497206709767E-3</v>
      </c>
      <c r="Q94" s="166">
        <v>1841.400024</v>
      </c>
      <c r="R94" s="123">
        <f t="shared" si="99"/>
        <v>1.2693078603010582E-2</v>
      </c>
      <c r="T94" s="122"/>
      <c r="U94" s="154"/>
      <c r="V94" s="125"/>
      <c r="W94" s="154"/>
      <c r="X94" s="125"/>
    </row>
    <row r="95" spans="8:24" x14ac:dyDescent="0.3">
      <c r="H95" s="160">
        <v>42114</v>
      </c>
      <c r="I95" s="159">
        <v>100.232614</v>
      </c>
      <c r="J95" s="123">
        <f t="shared" si="96"/>
        <v>2.1520499979407987E-2</v>
      </c>
      <c r="K95" s="165">
        <v>2100.3999020000001</v>
      </c>
      <c r="L95" s="124">
        <f t="shared" si="97"/>
        <v>9.235131333180711E-3</v>
      </c>
      <c r="N95" s="162">
        <v>41624</v>
      </c>
      <c r="O95" s="161">
        <v>79.611671000000001</v>
      </c>
      <c r="P95" s="123">
        <f t="shared" si="98"/>
        <v>4.5920270045401203E-2</v>
      </c>
      <c r="Q95" s="166">
        <v>1818.3199460000001</v>
      </c>
      <c r="R95" s="123">
        <f t="shared" si="99"/>
        <v>2.4220986249201978E-2</v>
      </c>
      <c r="T95" s="122"/>
      <c r="U95" s="154"/>
      <c r="V95" s="125"/>
      <c r="W95" s="154"/>
      <c r="X95" s="125"/>
    </row>
    <row r="96" spans="8:24" x14ac:dyDescent="0.3">
      <c r="H96" s="160">
        <v>42111</v>
      </c>
      <c r="I96" s="159">
        <v>98.121001000000007</v>
      </c>
      <c r="J96" s="123">
        <f t="shared" si="96"/>
        <v>1.6457135019652337E-2</v>
      </c>
      <c r="K96" s="165">
        <v>2081.179932</v>
      </c>
      <c r="L96" s="124">
        <f t="shared" si="97"/>
        <v>-1.1311245237798032E-2</v>
      </c>
      <c r="N96" s="162">
        <v>41617</v>
      </c>
      <c r="O96" s="161">
        <v>76.116386000000006</v>
      </c>
      <c r="P96" s="123">
        <f t="shared" si="98"/>
        <v>1.774153612988099E-3</v>
      </c>
      <c r="Q96" s="166">
        <v>1775.3199460000001</v>
      </c>
      <c r="R96" s="123">
        <f t="shared" si="99"/>
        <v>-1.6492263854288099E-2</v>
      </c>
      <c r="T96" s="122"/>
      <c r="U96" s="154"/>
      <c r="V96" s="125"/>
      <c r="W96" s="154"/>
      <c r="X96" s="125"/>
    </row>
    <row r="97" spans="8:24" x14ac:dyDescent="0.3">
      <c r="H97" s="160">
        <v>42110</v>
      </c>
      <c r="I97" s="159">
        <v>96.532354999999995</v>
      </c>
      <c r="J97" s="123">
        <f t="shared" si="96"/>
        <v>-1.2217283770219297E-2</v>
      </c>
      <c r="K97" s="165">
        <v>2104.98999</v>
      </c>
      <c r="L97" s="124">
        <f t="shared" si="97"/>
        <v>-7.7844381361603856E-4</v>
      </c>
      <c r="N97" s="162">
        <v>41610</v>
      </c>
      <c r="O97" s="161">
        <v>75.981583000000001</v>
      </c>
      <c r="P97" s="123">
        <f t="shared" si="98"/>
        <v>5.157247983927201E-2</v>
      </c>
      <c r="Q97" s="166">
        <v>1805.089966</v>
      </c>
      <c r="R97" s="123">
        <f t="shared" si="99"/>
        <v>-3.9876453030651004E-4</v>
      </c>
      <c r="T97" s="122"/>
      <c r="U97" s="154"/>
      <c r="V97" s="125"/>
      <c r="W97" s="154"/>
      <c r="X97" s="125"/>
    </row>
    <row r="98" spans="8:24" x14ac:dyDescent="0.3">
      <c r="H98" s="160">
        <v>42109</v>
      </c>
      <c r="I98" s="159">
        <v>97.726304999999996</v>
      </c>
      <c r="J98" s="123">
        <f t="shared" si="96"/>
        <v>2.9950052226122625E-2</v>
      </c>
      <c r="K98" s="165">
        <v>2106.6298830000001</v>
      </c>
      <c r="L98" s="124">
        <f t="shared" si="97"/>
        <v>5.1481957339104684E-3</v>
      </c>
      <c r="N98" s="162">
        <v>41603</v>
      </c>
      <c r="O98" s="161">
        <v>72.255202999999995</v>
      </c>
      <c r="P98" s="123">
        <f t="shared" si="98"/>
        <v>-1.1978542215491269E-3</v>
      </c>
      <c r="Q98" s="166">
        <v>1805.8100589999999</v>
      </c>
      <c r="R98" s="123">
        <f t="shared" si="99"/>
        <v>5.8182195648270407E-4</v>
      </c>
      <c r="T98" s="122"/>
      <c r="U98" s="154"/>
      <c r="V98" s="125"/>
      <c r="W98" s="154"/>
      <c r="X98" s="125"/>
    </row>
    <row r="99" spans="8:24" x14ac:dyDescent="0.3">
      <c r="H99" s="160">
        <v>42108</v>
      </c>
      <c r="I99" s="159">
        <v>94.884508999999994</v>
      </c>
      <c r="J99" s="123">
        <f t="shared" si="96"/>
        <v>6.9110418859650215E-3</v>
      </c>
      <c r="K99" s="165">
        <v>2095.8400879999999</v>
      </c>
      <c r="L99" s="124">
        <f t="shared" si="97"/>
        <v>1.6297587545693335E-3</v>
      </c>
      <c r="N99" s="162">
        <v>41596</v>
      </c>
      <c r="O99" s="161">
        <v>72.341858000000002</v>
      </c>
      <c r="P99" s="123">
        <f t="shared" si="98"/>
        <v>-5.5593085540309407E-3</v>
      </c>
      <c r="Q99" s="166">
        <v>1804.76001</v>
      </c>
      <c r="R99" s="123">
        <f t="shared" si="99"/>
        <v>3.6592308903455554E-3</v>
      </c>
      <c r="T99" s="122"/>
      <c r="U99" s="154"/>
      <c r="V99" s="125"/>
      <c r="W99" s="154"/>
      <c r="X99" s="125"/>
    </row>
    <row r="100" spans="8:24" x14ac:dyDescent="0.3">
      <c r="H100" s="160">
        <v>42107</v>
      </c>
      <c r="I100" s="159">
        <v>94.233259000000004</v>
      </c>
      <c r="J100" s="123">
        <f t="shared" si="96"/>
        <v>-4.0671611133626332E-3</v>
      </c>
      <c r="K100" s="165">
        <v>2092.429932</v>
      </c>
      <c r="L100" s="124">
        <f t="shared" si="97"/>
        <v>-4.5812806150653867E-3</v>
      </c>
      <c r="N100" s="162">
        <v>41589</v>
      </c>
      <c r="O100" s="161">
        <v>72.746277000000006</v>
      </c>
      <c r="P100" s="123">
        <f t="shared" si="98"/>
        <v>5.4137093407934156E-2</v>
      </c>
      <c r="Q100" s="166">
        <v>1798.1800539999999</v>
      </c>
      <c r="R100" s="123">
        <f t="shared" si="99"/>
        <v>1.5570944043896756E-2</v>
      </c>
      <c r="T100" s="122"/>
      <c r="U100" s="154"/>
      <c r="V100" s="125"/>
      <c r="W100" s="154"/>
      <c r="X100" s="125"/>
    </row>
    <row r="101" spans="8:24" x14ac:dyDescent="0.3">
      <c r="H101" s="160">
        <v>42104</v>
      </c>
      <c r="I101" s="159">
        <v>94.618086000000005</v>
      </c>
      <c r="J101" s="123">
        <f t="shared" si="96"/>
        <v>1.9889420925318493E-2</v>
      </c>
      <c r="K101" s="165">
        <v>2102.0600589999999</v>
      </c>
      <c r="L101" s="124">
        <f t="shared" si="97"/>
        <v>5.2028650588637638E-3</v>
      </c>
      <c r="N101" s="162">
        <v>41582</v>
      </c>
      <c r="O101" s="161">
        <v>69.010261999999997</v>
      </c>
      <c r="P101" s="123">
        <f t="shared" si="98"/>
        <v>2.6055816124240041E-2</v>
      </c>
      <c r="Q101" s="166">
        <v>1770.6099850000001</v>
      </c>
      <c r="R101" s="123">
        <f t="shared" si="99"/>
        <v>5.0918291612489872E-3</v>
      </c>
      <c r="T101" s="122"/>
      <c r="U101" s="154"/>
      <c r="V101" s="125"/>
      <c r="W101" s="154"/>
      <c r="X101" s="125"/>
    </row>
    <row r="102" spans="8:24" x14ac:dyDescent="0.3">
      <c r="H102" s="160">
        <v>42103</v>
      </c>
      <c r="I102" s="159">
        <v>92.772886999999997</v>
      </c>
      <c r="J102" s="123">
        <f t="shared" si="96"/>
        <v>1.1712594593952616E-3</v>
      </c>
      <c r="K102" s="165">
        <v>2091.179932</v>
      </c>
      <c r="L102" s="124">
        <f t="shared" si="97"/>
        <v>4.4574813568533881E-3</v>
      </c>
      <c r="N102" s="162">
        <v>41575</v>
      </c>
      <c r="O102" s="161">
        <v>67.257805000000005</v>
      </c>
      <c r="P102" s="123">
        <f t="shared" si="98"/>
        <v>-3.8276225319472931E-2</v>
      </c>
      <c r="Q102" s="166">
        <v>1761.6400149999999</v>
      </c>
      <c r="R102" s="123">
        <f t="shared" si="99"/>
        <v>1.0626360142219136E-3</v>
      </c>
      <c r="T102" s="122"/>
      <c r="U102" s="154"/>
      <c r="V102" s="125"/>
      <c r="W102" s="154"/>
      <c r="X102" s="125"/>
    </row>
    <row r="103" spans="8:24" x14ac:dyDescent="0.3">
      <c r="H103" s="160">
        <v>42102</v>
      </c>
      <c r="I103" s="159">
        <v>92.664353000000006</v>
      </c>
      <c r="J103" s="123">
        <f t="shared" si="96"/>
        <v>-2.125138850305536E-3</v>
      </c>
      <c r="K103" s="165">
        <v>2081.8999020000001</v>
      </c>
      <c r="L103" s="124">
        <f t="shared" si="97"/>
        <v>2.6825330225747246E-3</v>
      </c>
      <c r="N103" s="162">
        <v>41568</v>
      </c>
      <c r="O103" s="161">
        <v>69.934639000000004</v>
      </c>
      <c r="P103" s="123">
        <f t="shared" si="98"/>
        <v>1.2123766898798604E-2</v>
      </c>
      <c r="Q103" s="166">
        <v>1759.7700199999999</v>
      </c>
      <c r="R103" s="123">
        <f t="shared" si="99"/>
        <v>8.7532358842074692E-3</v>
      </c>
      <c r="T103" s="122"/>
      <c r="U103" s="154"/>
      <c r="V103" s="125"/>
      <c r="W103" s="154"/>
      <c r="X103" s="125"/>
    </row>
    <row r="104" spans="8:24" x14ac:dyDescent="0.3">
      <c r="H104" s="160">
        <v>42101</v>
      </c>
      <c r="I104" s="159">
        <v>92.861697000000007</v>
      </c>
      <c r="J104" s="123">
        <f t="shared" si="96"/>
        <v>9.8722836144572446E-3</v>
      </c>
      <c r="K104" s="165">
        <v>2076.330078</v>
      </c>
      <c r="L104" s="124">
        <f t="shared" si="97"/>
        <v>-2.0619040280095394E-3</v>
      </c>
      <c r="N104" s="162">
        <v>41561</v>
      </c>
      <c r="O104" s="161">
        <v>69.096924000000001</v>
      </c>
      <c r="P104" s="123">
        <f t="shared" si="98"/>
        <v>7.537836833498178E-2</v>
      </c>
      <c r="Q104" s="166">
        <v>1744.5</v>
      </c>
      <c r="R104" s="123">
        <f t="shared" si="99"/>
        <v>2.4248502928708657E-2</v>
      </c>
      <c r="T104" s="122"/>
      <c r="U104" s="154"/>
      <c r="V104" s="125"/>
      <c r="W104" s="154"/>
      <c r="X104" s="125"/>
    </row>
    <row r="105" spans="8:24" x14ac:dyDescent="0.3">
      <c r="H105" s="160">
        <v>42100</v>
      </c>
      <c r="I105" s="159">
        <v>91.953901999999999</v>
      </c>
      <c r="J105" s="123">
        <f t="shared" si="96"/>
        <v>2.0430349140786227E-3</v>
      </c>
      <c r="K105" s="165">
        <v>2080.6201169999999</v>
      </c>
      <c r="L105" s="124">
        <f t="shared" si="97"/>
        <v>6.6088150025852945E-3</v>
      </c>
      <c r="N105" s="162">
        <v>41554</v>
      </c>
      <c r="O105" s="161">
        <v>64.253592999999995</v>
      </c>
      <c r="P105" s="123">
        <f t="shared" si="98"/>
        <v>2.6141804388223597E-2</v>
      </c>
      <c r="Q105" s="166">
        <v>1703.1999510000001</v>
      </c>
      <c r="R105" s="123">
        <f t="shared" si="99"/>
        <v>7.5125412599822868E-3</v>
      </c>
      <c r="T105" s="122"/>
      <c r="U105" s="154"/>
      <c r="V105" s="125"/>
      <c r="W105" s="154"/>
      <c r="X105" s="125"/>
    </row>
    <row r="106" spans="8:24" x14ac:dyDescent="0.3">
      <c r="H106" s="160">
        <v>42096</v>
      </c>
      <c r="I106" s="159">
        <v>91.766419999999997</v>
      </c>
      <c r="J106" s="123">
        <f t="shared" si="96"/>
        <v>7.0384495080775943E-3</v>
      </c>
      <c r="K106" s="165">
        <v>2066.959961</v>
      </c>
      <c r="L106" s="124">
        <f t="shared" si="97"/>
        <v>3.5296671869311865E-3</v>
      </c>
      <c r="N106" s="162">
        <v>41547</v>
      </c>
      <c r="O106" s="161">
        <v>62.616680000000002</v>
      </c>
      <c r="P106" s="123">
        <f t="shared" si="98"/>
        <v>2.7005695361790122E-2</v>
      </c>
      <c r="Q106" s="166">
        <v>1690.5</v>
      </c>
      <c r="R106" s="123">
        <f t="shared" si="99"/>
        <v>-7.3887985813506725E-4</v>
      </c>
      <c r="T106" s="122"/>
      <c r="U106" s="154"/>
      <c r="V106" s="125"/>
      <c r="W106" s="154"/>
      <c r="X106" s="125"/>
    </row>
    <row r="107" spans="8:24" x14ac:dyDescent="0.3">
      <c r="H107" s="160">
        <v>42095</v>
      </c>
      <c r="I107" s="159">
        <v>91.125040999999996</v>
      </c>
      <c r="J107" s="123">
        <f t="shared" si="96"/>
        <v>1.4723624819880305E-2</v>
      </c>
      <c r="K107" s="165">
        <v>2059.6899410000001</v>
      </c>
      <c r="L107" s="124">
        <f t="shared" si="97"/>
        <v>-3.9653716707826374E-3</v>
      </c>
      <c r="N107" s="162">
        <v>41540</v>
      </c>
      <c r="O107" s="161">
        <v>60.970139000000003</v>
      </c>
      <c r="P107" s="123">
        <f t="shared" si="98"/>
        <v>-1.8394957639258369E-3</v>
      </c>
      <c r="Q107" s="166">
        <v>1691.75</v>
      </c>
      <c r="R107" s="123">
        <f t="shared" si="99"/>
        <v>-1.0620461684477136E-2</v>
      </c>
      <c r="T107" s="122"/>
      <c r="U107" s="154"/>
      <c r="V107" s="125"/>
      <c r="W107" s="154"/>
      <c r="X107" s="125"/>
    </row>
    <row r="108" spans="8:24" x14ac:dyDescent="0.3">
      <c r="H108" s="160">
        <v>42094</v>
      </c>
      <c r="I108" s="159">
        <v>89.802818000000002</v>
      </c>
      <c r="J108" s="123">
        <f t="shared" si="96"/>
        <v>-1.5362937180624562E-2</v>
      </c>
      <c r="K108" s="165">
        <v>2067.889893</v>
      </c>
      <c r="L108" s="124">
        <f t="shared" si="97"/>
        <v>-8.795774737306231E-3</v>
      </c>
      <c r="N108" s="162">
        <v>41533</v>
      </c>
      <c r="O108" s="161">
        <v>61.082500000000003</v>
      </c>
      <c r="P108" s="123">
        <f t="shared" si="98"/>
        <v>-1.0565586676576512E-2</v>
      </c>
      <c r="Q108" s="166">
        <v>1709.910034</v>
      </c>
      <c r="R108" s="123">
        <f t="shared" si="99"/>
        <v>1.2985885064401336E-2</v>
      </c>
      <c r="T108" s="122"/>
      <c r="U108" s="154"/>
      <c r="V108" s="125"/>
      <c r="W108" s="154"/>
      <c r="X108" s="125"/>
    </row>
    <row r="109" spans="8:24" x14ac:dyDescent="0.3">
      <c r="H109" s="160">
        <v>42093</v>
      </c>
      <c r="I109" s="159">
        <v>91.203979000000004</v>
      </c>
      <c r="J109" s="123">
        <f t="shared" si="96"/>
        <v>2.1567626307477127E-3</v>
      </c>
      <c r="K109" s="165">
        <v>2086.23999</v>
      </c>
      <c r="L109" s="124">
        <f t="shared" si="97"/>
        <v>1.2236644843459649E-2</v>
      </c>
      <c r="N109" s="162">
        <v>41526</v>
      </c>
      <c r="O109" s="161">
        <v>61.734763999999998</v>
      </c>
      <c r="P109" s="123">
        <f t="shared" si="98"/>
        <v>-9.6937294308342345E-3</v>
      </c>
      <c r="Q109" s="166">
        <v>1687.98999</v>
      </c>
      <c r="R109" s="123">
        <f t="shared" si="99"/>
        <v>1.9828745764806793E-2</v>
      </c>
      <c r="T109" s="122"/>
      <c r="U109" s="154"/>
      <c r="V109" s="125"/>
      <c r="W109" s="154"/>
      <c r="X109" s="125"/>
    </row>
    <row r="110" spans="8:24" x14ac:dyDescent="0.3">
      <c r="H110" s="160">
        <v>42090</v>
      </c>
      <c r="I110" s="159">
        <v>91.007696999999993</v>
      </c>
      <c r="J110" s="123">
        <f t="shared" si="96"/>
        <v>-9.7180229928598219E-3</v>
      </c>
      <c r="K110" s="165">
        <v>2061.0200199999999</v>
      </c>
      <c r="L110" s="124">
        <f t="shared" si="97"/>
        <v>2.3685617450666884E-3</v>
      </c>
      <c r="N110" s="162">
        <v>41520</v>
      </c>
      <c r="O110" s="161">
        <v>62.339061999999998</v>
      </c>
      <c r="P110" s="123">
        <f t="shared" si="98"/>
        <v>4.8225752011983904E-2</v>
      </c>
      <c r="Q110" s="166">
        <v>1655.170044</v>
      </c>
      <c r="R110" s="123">
        <f t="shared" si="99"/>
        <v>1.3594905842882751E-2</v>
      </c>
      <c r="T110" s="122"/>
      <c r="U110" s="154"/>
      <c r="V110" s="125"/>
      <c r="W110" s="154"/>
      <c r="X110" s="125"/>
    </row>
    <row r="111" spans="8:24" x14ac:dyDescent="0.3">
      <c r="H111" s="160">
        <v>42089</v>
      </c>
      <c r="I111" s="159">
        <v>91.900790999999998</v>
      </c>
      <c r="J111" s="123">
        <f t="shared" si="96"/>
        <v>-1.0357259784895365E-2</v>
      </c>
      <c r="K111" s="165">
        <v>2056.1499020000001</v>
      </c>
      <c r="L111" s="124">
        <f t="shared" si="97"/>
        <v>-2.3775002467200318E-3</v>
      </c>
      <c r="N111" s="162">
        <v>41512</v>
      </c>
      <c r="O111" s="161">
        <v>59.471026999999999</v>
      </c>
      <c r="P111" s="123">
        <f t="shared" si="98"/>
        <v>-5.2422410716852164E-2</v>
      </c>
      <c r="Q111" s="166">
        <v>1632.969971</v>
      </c>
      <c r="R111" s="123">
        <f t="shared" si="99"/>
        <v>-1.8352887886985279E-2</v>
      </c>
      <c r="T111" s="122"/>
      <c r="U111" s="154"/>
      <c r="V111" s="125"/>
      <c r="W111" s="154"/>
      <c r="X111" s="125"/>
    </row>
    <row r="112" spans="8:24" x14ac:dyDescent="0.3">
      <c r="H112" s="160">
        <v>42088</v>
      </c>
      <c r="I112" s="159">
        <v>92.862593000000004</v>
      </c>
      <c r="J112" s="123">
        <f t="shared" si="96"/>
        <v>-3.3898299089473012E-2</v>
      </c>
      <c r="K112" s="165">
        <v>2061.0500489999999</v>
      </c>
      <c r="L112" s="124">
        <f t="shared" si="97"/>
        <v>-1.455890557016498E-2</v>
      </c>
      <c r="N112" s="162">
        <v>41505</v>
      </c>
      <c r="O112" s="161">
        <v>62.761116000000001</v>
      </c>
      <c r="P112" s="123">
        <f t="shared" si="98"/>
        <v>1.2848323819086819E-2</v>
      </c>
      <c r="Q112" s="166">
        <v>1663.5</v>
      </c>
      <c r="R112" s="123">
        <f t="shared" si="99"/>
        <v>4.6321447273055382E-3</v>
      </c>
      <c r="T112" s="122"/>
      <c r="U112" s="154"/>
      <c r="V112" s="125"/>
      <c r="W112" s="154"/>
      <c r="X112" s="125"/>
    </row>
    <row r="113" spans="8:24" x14ac:dyDescent="0.3">
      <c r="H113" s="160">
        <v>42087</v>
      </c>
      <c r="I113" s="159">
        <v>96.120929000000004</v>
      </c>
      <c r="J113" s="123">
        <f t="shared" si="96"/>
        <v>-1.7061387389716826E-2</v>
      </c>
      <c r="K113" s="165">
        <v>2091.5</v>
      </c>
      <c r="L113" s="124">
        <f t="shared" si="97"/>
        <v>-6.1394220159830069E-3</v>
      </c>
      <c r="N113" s="162">
        <v>41498</v>
      </c>
      <c r="O113" s="161">
        <v>61.964970000000001</v>
      </c>
      <c r="P113" s="123">
        <f t="shared" si="98"/>
        <v>-4.2962989871249066E-2</v>
      </c>
      <c r="Q113" s="166">
        <v>1655.829956</v>
      </c>
      <c r="R113" s="123">
        <f t="shared" si="99"/>
        <v>-2.1041543244239763E-2</v>
      </c>
      <c r="T113" s="122"/>
      <c r="U113" s="154"/>
      <c r="V113" s="125"/>
      <c r="W113" s="154"/>
      <c r="X113" s="125"/>
    </row>
    <row r="114" spans="8:24" x14ac:dyDescent="0.3">
      <c r="H114" s="160">
        <v>42086</v>
      </c>
      <c r="I114" s="159">
        <v>97.789350999999996</v>
      </c>
      <c r="J114" s="123">
        <f t="shared" si="96"/>
        <v>-7.964991269141259E-3</v>
      </c>
      <c r="K114" s="165">
        <v>2104.419922</v>
      </c>
      <c r="L114" s="124">
        <f t="shared" si="97"/>
        <v>-1.7457311460168847E-3</v>
      </c>
      <c r="N114" s="162">
        <v>41491</v>
      </c>
      <c r="O114" s="161">
        <v>64.746680999999995</v>
      </c>
      <c r="P114" s="123">
        <f t="shared" si="98"/>
        <v>3.5911558984899776E-2</v>
      </c>
      <c r="Q114" s="166">
        <v>1691.420044</v>
      </c>
      <c r="R114" s="123">
        <f t="shared" si="99"/>
        <v>-1.0674574350792099E-2</v>
      </c>
      <c r="T114" s="122"/>
      <c r="U114" s="154"/>
      <c r="V114" s="125"/>
      <c r="W114" s="154"/>
      <c r="X114" s="125"/>
    </row>
    <row r="115" spans="8:24" x14ac:dyDescent="0.3">
      <c r="H115" s="160">
        <v>42083</v>
      </c>
      <c r="I115" s="159">
        <v>98.574495999999996</v>
      </c>
      <c r="J115" s="123">
        <f t="shared" si="96"/>
        <v>1.1480358197732349E-2</v>
      </c>
      <c r="K115" s="165">
        <v>2108.1000979999999</v>
      </c>
      <c r="L115" s="124">
        <f t="shared" si="97"/>
        <v>9.0127546079467307E-3</v>
      </c>
      <c r="N115" s="162">
        <v>41484</v>
      </c>
      <c r="O115" s="161">
        <v>62.502132000000003</v>
      </c>
      <c r="P115" s="123">
        <f t="shared" si="98"/>
        <v>4.0396000161730276E-2</v>
      </c>
      <c r="Q115" s="166">
        <v>1709.670044</v>
      </c>
      <c r="R115" s="123">
        <f t="shared" si="99"/>
        <v>1.0652333369399067E-2</v>
      </c>
      <c r="T115" s="122"/>
      <c r="U115" s="154"/>
      <c r="V115" s="125"/>
      <c r="W115" s="154"/>
      <c r="X115" s="125"/>
    </row>
    <row r="116" spans="8:24" x14ac:dyDescent="0.3">
      <c r="H116" s="160">
        <v>42082</v>
      </c>
      <c r="I116" s="159">
        <v>97.455669999999998</v>
      </c>
      <c r="J116" s="123">
        <f t="shared" si="96"/>
        <v>1.4507624749747624E-2</v>
      </c>
      <c r="K116" s="165">
        <v>2089.2700199999999</v>
      </c>
      <c r="L116" s="124">
        <f t="shared" si="97"/>
        <v>-4.8725791855203943E-3</v>
      </c>
      <c r="N116" s="162">
        <v>41477</v>
      </c>
      <c r="O116" s="161">
        <v>60.075329000000004</v>
      </c>
      <c r="P116" s="123">
        <f t="shared" si="98"/>
        <v>-0.10259351667512527</v>
      </c>
      <c r="Q116" s="166">
        <v>1691.650024</v>
      </c>
      <c r="R116" s="123">
        <f t="shared" si="99"/>
        <v>-2.5999917784511799E-4</v>
      </c>
      <c r="T116" s="122"/>
      <c r="U116" s="154"/>
      <c r="V116" s="125"/>
      <c r="W116" s="154"/>
      <c r="X116" s="125"/>
    </row>
    <row r="117" spans="8:24" x14ac:dyDescent="0.3">
      <c r="H117" s="160">
        <v>42081</v>
      </c>
      <c r="I117" s="159">
        <v>96.062038000000001</v>
      </c>
      <c r="J117" s="123">
        <f t="shared" si="96"/>
        <v>1.3040719049188566E-2</v>
      </c>
      <c r="K117" s="165">
        <v>2099.5</v>
      </c>
      <c r="L117" s="124">
        <f t="shared" si="97"/>
        <v>1.2158421547431283E-2</v>
      </c>
      <c r="N117" s="162">
        <v>41470</v>
      </c>
      <c r="O117" s="161">
        <v>66.943275</v>
      </c>
      <c r="P117" s="123">
        <f t="shared" si="98"/>
        <v>2.8440978034242195E-2</v>
      </c>
      <c r="Q117" s="166">
        <v>1692.089966</v>
      </c>
      <c r="R117" s="123">
        <f t="shared" si="99"/>
        <v>7.0825474606266044E-3</v>
      </c>
      <c r="T117" s="122"/>
      <c r="U117" s="154"/>
      <c r="V117" s="125"/>
      <c r="W117" s="154"/>
      <c r="X117" s="125"/>
    </row>
    <row r="118" spans="8:24" x14ac:dyDescent="0.3">
      <c r="H118" s="160">
        <v>42080</v>
      </c>
      <c r="I118" s="159">
        <v>94.825445999999999</v>
      </c>
      <c r="J118" s="123">
        <f t="shared" si="96"/>
        <v>-1.6089560383205057E-2</v>
      </c>
      <c r="K118" s="165">
        <v>2074.280029</v>
      </c>
      <c r="L118" s="124">
        <f t="shared" si="97"/>
        <v>-3.3201736486771134E-3</v>
      </c>
      <c r="N118" s="162">
        <v>41463</v>
      </c>
      <c r="O118" s="161">
        <v>65.091994999999997</v>
      </c>
      <c r="P118" s="123">
        <f t="shared" si="98"/>
        <v>5.1929836151717992E-2</v>
      </c>
      <c r="Q118" s="166">
        <v>1680.1899410000001</v>
      </c>
      <c r="R118" s="123">
        <f t="shared" si="99"/>
        <v>2.9597537552186165E-2</v>
      </c>
      <c r="T118" s="122"/>
      <c r="U118" s="154"/>
      <c r="V118" s="125"/>
      <c r="W118" s="154"/>
      <c r="X118" s="125"/>
    </row>
    <row r="119" spans="8:24" x14ac:dyDescent="0.3">
      <c r="H119" s="160">
        <v>42079</v>
      </c>
      <c r="I119" s="159">
        <v>96.376095000000007</v>
      </c>
      <c r="J119" s="123">
        <f t="shared" si="96"/>
        <v>1.039196378116993E-2</v>
      </c>
      <c r="K119" s="165">
        <v>2081.1899410000001</v>
      </c>
      <c r="L119" s="124">
        <f t="shared" si="97"/>
        <v>1.3533671143615344E-2</v>
      </c>
      <c r="N119" s="162">
        <v>41456</v>
      </c>
      <c r="O119" s="161">
        <v>61.878647000000001</v>
      </c>
      <c r="P119" s="123">
        <f t="shared" si="98"/>
        <v>3.8975757720868601E-2</v>
      </c>
      <c r="Q119" s="166">
        <v>1631.8900149999999</v>
      </c>
      <c r="R119" s="123">
        <f t="shared" si="99"/>
        <v>1.5943662087328319E-2</v>
      </c>
      <c r="T119" s="122"/>
      <c r="U119" s="154"/>
      <c r="V119" s="125"/>
      <c r="W119" s="154"/>
      <c r="X119" s="125"/>
    </row>
    <row r="120" spans="8:24" x14ac:dyDescent="0.3">
      <c r="H120" s="160">
        <v>42076</v>
      </c>
      <c r="I120" s="159">
        <v>95.384859000000006</v>
      </c>
      <c r="J120" s="123">
        <f t="shared" si="96"/>
        <v>-1.3900115940954401E-2</v>
      </c>
      <c r="K120" s="165">
        <v>2053.3999020000001</v>
      </c>
      <c r="L120" s="124">
        <f t="shared" si="97"/>
        <v>-6.0747110518941825E-3</v>
      </c>
      <c r="N120" s="162">
        <v>41449</v>
      </c>
      <c r="O120" s="161">
        <v>59.557353999999997</v>
      </c>
      <c r="P120" s="123">
        <f t="shared" si="98"/>
        <v>3.5878541080096325E-2</v>
      </c>
      <c r="Q120" s="166">
        <v>1606.280029</v>
      </c>
      <c r="R120" s="123">
        <f t="shared" si="99"/>
        <v>8.6973835775144732E-3</v>
      </c>
      <c r="T120" s="122"/>
      <c r="U120" s="154"/>
      <c r="V120" s="125"/>
      <c r="W120" s="154"/>
      <c r="X120" s="125"/>
    </row>
    <row r="121" spans="8:24" x14ac:dyDescent="0.3">
      <c r="H121" s="160">
        <v>42075</v>
      </c>
      <c r="I121" s="159">
        <v>96.729409000000004</v>
      </c>
      <c r="J121" s="123">
        <f t="shared" si="96"/>
        <v>6.8443978728213858E-3</v>
      </c>
      <c r="K121" s="165">
        <v>2065.9499510000001</v>
      </c>
      <c r="L121" s="124">
        <f t="shared" si="97"/>
        <v>1.2601439598289622E-2</v>
      </c>
      <c r="N121" s="162">
        <v>41442</v>
      </c>
      <c r="O121" s="161">
        <v>57.494534000000002</v>
      </c>
      <c r="P121" s="123">
        <f t="shared" si="98"/>
        <v>-5.7764572044245566E-2</v>
      </c>
      <c r="Q121" s="166">
        <v>1592.4300539999999</v>
      </c>
      <c r="R121" s="123">
        <f t="shared" si="99"/>
        <v>-2.1085199401070939E-2</v>
      </c>
      <c r="T121" s="122"/>
      <c r="U121" s="154"/>
      <c r="V121" s="125"/>
      <c r="W121" s="154"/>
      <c r="X121" s="125"/>
    </row>
    <row r="122" spans="8:24" x14ac:dyDescent="0.3">
      <c r="H122" s="160">
        <v>42074</v>
      </c>
      <c r="I122" s="159">
        <v>96.071854999999999</v>
      </c>
      <c r="J122" s="123">
        <f t="shared" si="96"/>
        <v>-1.5092061792219972E-2</v>
      </c>
      <c r="K122" s="165">
        <v>2040.23999</v>
      </c>
      <c r="L122" s="124">
        <f t="shared" si="97"/>
        <v>-1.9176796017918633E-3</v>
      </c>
      <c r="N122" s="162">
        <v>41435</v>
      </c>
      <c r="O122" s="161">
        <v>61.019286999999998</v>
      </c>
      <c r="P122" s="123">
        <f t="shared" si="98"/>
        <v>-4.2088741170349013E-3</v>
      </c>
      <c r="Q122" s="166">
        <v>1626.7299800000001</v>
      </c>
      <c r="R122" s="123">
        <f t="shared" si="99"/>
        <v>-1.0131573311919367E-2</v>
      </c>
      <c r="T122" s="122"/>
      <c r="U122" s="154"/>
      <c r="V122" s="125"/>
      <c r="W122" s="154"/>
      <c r="X122" s="125"/>
    </row>
    <row r="123" spans="8:24" x14ac:dyDescent="0.3">
      <c r="H123" s="160">
        <v>42073</v>
      </c>
      <c r="I123" s="159">
        <v>97.543994999999995</v>
      </c>
      <c r="J123" s="123">
        <f t="shared" si="96"/>
        <v>-3.1097698898635423E-2</v>
      </c>
      <c r="K123" s="165">
        <v>2044.160034</v>
      </c>
      <c r="L123" s="124">
        <f t="shared" si="97"/>
        <v>-1.6961330342146873E-2</v>
      </c>
      <c r="N123" s="162">
        <v>41428</v>
      </c>
      <c r="O123" s="161">
        <v>61.277194999999999</v>
      </c>
      <c r="P123" s="123">
        <f t="shared" si="98"/>
        <v>1.3108032350311225E-2</v>
      </c>
      <c r="Q123" s="166">
        <v>1643.380005</v>
      </c>
      <c r="R123" s="123">
        <f t="shared" si="99"/>
        <v>7.7510915765302037E-3</v>
      </c>
      <c r="T123" s="122"/>
      <c r="U123" s="154"/>
      <c r="V123" s="125"/>
      <c r="W123" s="154"/>
      <c r="X123" s="125"/>
    </row>
    <row r="124" spans="8:24" x14ac:dyDescent="0.3">
      <c r="H124" s="160">
        <v>42072</v>
      </c>
      <c r="I124" s="159">
        <v>100.67474799999999</v>
      </c>
      <c r="J124" s="123">
        <f t="shared" si="96"/>
        <v>4.876886588604643E-4</v>
      </c>
      <c r="K124" s="165">
        <v>2079.429932</v>
      </c>
      <c r="L124" s="124">
        <f t="shared" si="97"/>
        <v>3.9444212511011798E-3</v>
      </c>
      <c r="N124" s="162">
        <v>41422</v>
      </c>
      <c r="O124" s="161">
        <v>60.484363999999999</v>
      </c>
      <c r="P124" s="123">
        <f t="shared" si="98"/>
        <v>1.6372430601626263E-2</v>
      </c>
      <c r="Q124" s="166">
        <v>1630.73999</v>
      </c>
      <c r="R124" s="123">
        <f t="shared" si="99"/>
        <v>-1.1433066364205583E-2</v>
      </c>
      <c r="T124" s="122"/>
      <c r="U124" s="154"/>
      <c r="V124" s="125"/>
      <c r="W124" s="154"/>
      <c r="X124" s="125"/>
    </row>
    <row r="125" spans="8:24" x14ac:dyDescent="0.3">
      <c r="H125" s="160">
        <v>42069</v>
      </c>
      <c r="I125" s="159">
        <v>100.625674</v>
      </c>
      <c r="J125" s="123">
        <f t="shared" si="96"/>
        <v>-2.7044961814876648E-2</v>
      </c>
      <c r="K125" s="165">
        <v>2071.26001</v>
      </c>
      <c r="L125" s="124">
        <f t="shared" si="97"/>
        <v>-1.4173946449004351E-2</v>
      </c>
      <c r="N125" s="162">
        <v>41414</v>
      </c>
      <c r="O125" s="161">
        <v>59.510039999999996</v>
      </c>
      <c r="P125" s="123">
        <f t="shared" si="98"/>
        <v>3.0433328350571349E-2</v>
      </c>
      <c r="Q125" s="166">
        <v>1649.599976</v>
      </c>
      <c r="R125" s="123">
        <f t="shared" si="99"/>
        <v>-1.0716831673606203E-2</v>
      </c>
      <c r="T125" s="122"/>
      <c r="U125" s="154"/>
      <c r="V125" s="125"/>
      <c r="W125" s="154"/>
      <c r="X125" s="125"/>
    </row>
    <row r="126" spans="8:24" x14ac:dyDescent="0.3">
      <c r="H126" s="160">
        <v>42068</v>
      </c>
      <c r="I126" s="159">
        <v>103.422738</v>
      </c>
      <c r="J126" s="123">
        <f t="shared" si="96"/>
        <v>1.8979119129605582E-4</v>
      </c>
      <c r="K126" s="165">
        <v>2101.040039</v>
      </c>
      <c r="L126" s="124">
        <f t="shared" si="97"/>
        <v>1.1960800966932296E-3</v>
      </c>
      <c r="N126" s="162">
        <v>41407</v>
      </c>
      <c r="O126" s="161">
        <v>57.752440999999997</v>
      </c>
      <c r="P126" s="123">
        <f t="shared" si="98"/>
        <v>3.4034537872076151E-2</v>
      </c>
      <c r="Q126" s="166">
        <v>1667.469971</v>
      </c>
      <c r="R126" s="123">
        <f t="shared" si="99"/>
        <v>2.0670882666874689E-2</v>
      </c>
      <c r="T126" s="122"/>
      <c r="U126" s="154"/>
      <c r="V126" s="125"/>
      <c r="W126" s="154"/>
      <c r="X126" s="125"/>
    </row>
    <row r="127" spans="8:24" x14ac:dyDescent="0.3">
      <c r="H127" s="160">
        <v>42067</v>
      </c>
      <c r="I127" s="159">
        <v>103.403113</v>
      </c>
      <c r="J127" s="123">
        <f t="shared" si="96"/>
        <v>-1.9891957097405073E-3</v>
      </c>
      <c r="K127" s="165">
        <v>2098.530029</v>
      </c>
      <c r="L127" s="124">
        <f t="shared" si="97"/>
        <v>-4.3885034836336802E-3</v>
      </c>
      <c r="N127" s="162">
        <v>41400</v>
      </c>
      <c r="O127" s="161">
        <v>55.851559000000002</v>
      </c>
      <c r="P127" s="123">
        <f t="shared" si="98"/>
        <v>2.3097058243005869E-2</v>
      </c>
      <c r="Q127" s="166">
        <v>1633.6999510000001</v>
      </c>
      <c r="R127" s="123">
        <f t="shared" si="99"/>
        <v>1.1942311464512575E-2</v>
      </c>
      <c r="T127" s="122"/>
      <c r="U127" s="154"/>
      <c r="V127" s="125"/>
      <c r="W127" s="154"/>
      <c r="X127" s="125"/>
    </row>
    <row r="128" spans="8:24" x14ac:dyDescent="0.3">
      <c r="H128" s="160">
        <v>42066</v>
      </c>
      <c r="I128" s="159">
        <v>103.609212</v>
      </c>
      <c r="J128" s="123">
        <f t="shared" si="96"/>
        <v>-2.9509086724668045E-2</v>
      </c>
      <c r="K128" s="165">
        <v>2107.780029</v>
      </c>
      <c r="L128" s="124">
        <f t="shared" si="97"/>
        <v>-4.5385424912859993E-3</v>
      </c>
      <c r="N128" s="162">
        <v>41393</v>
      </c>
      <c r="O128" s="161">
        <v>54.590674999999997</v>
      </c>
      <c r="P128" s="123">
        <f t="shared" si="98"/>
        <v>7.2433890346395136E-2</v>
      </c>
      <c r="Q128" s="166">
        <v>1614.420044</v>
      </c>
      <c r="R128" s="123">
        <f t="shared" si="99"/>
        <v>2.033828888372359E-2</v>
      </c>
      <c r="T128" s="122"/>
      <c r="U128" s="154"/>
      <c r="V128" s="125"/>
      <c r="W128" s="154"/>
      <c r="X128" s="125"/>
    </row>
    <row r="129" spans="8:24" x14ac:dyDescent="0.3">
      <c r="H129" s="160">
        <v>42065</v>
      </c>
      <c r="I129" s="159">
        <v>106.75959</v>
      </c>
      <c r="J129" s="123">
        <f t="shared" si="96"/>
        <v>1.6825526899038781E-2</v>
      </c>
      <c r="K129" s="165">
        <v>2117.389893</v>
      </c>
      <c r="L129" s="124">
        <f t="shared" si="97"/>
        <v>6.1249194583036489E-3</v>
      </c>
      <c r="N129" s="162">
        <v>41386</v>
      </c>
      <c r="O129" s="161">
        <v>50.903534000000001</v>
      </c>
      <c r="P129" s="123">
        <f t="shared" si="98"/>
        <v>6.7294203271337852E-2</v>
      </c>
      <c r="Q129" s="166">
        <v>1582.23999</v>
      </c>
      <c r="R129" s="123">
        <f t="shared" si="99"/>
        <v>1.7354116701494959E-2</v>
      </c>
      <c r="T129" s="122"/>
      <c r="U129" s="154"/>
      <c r="V129" s="125"/>
      <c r="W129" s="154"/>
      <c r="X129" s="125"/>
    </row>
    <row r="130" spans="8:24" x14ac:dyDescent="0.3">
      <c r="H130" s="160">
        <v>42062</v>
      </c>
      <c r="I130" s="159">
        <v>104.993027</v>
      </c>
      <c r="J130" s="123">
        <f t="shared" si="96"/>
        <v>-3.353766444307411E-3</v>
      </c>
      <c r="K130" s="165">
        <v>2104.5</v>
      </c>
      <c r="L130" s="124">
        <f t="shared" si="97"/>
        <v>-2.9563044380468834E-3</v>
      </c>
      <c r="N130" s="162">
        <v>41379</v>
      </c>
      <c r="O130" s="161">
        <v>47.694004</v>
      </c>
      <c r="P130" s="123">
        <f t="shared" si="98"/>
        <v>-4.56803794691759E-2</v>
      </c>
      <c r="Q130" s="166">
        <v>1555.25</v>
      </c>
      <c r="R130" s="123">
        <f t="shared" si="99"/>
        <v>-2.1147355954014863E-2</v>
      </c>
      <c r="T130" s="122"/>
      <c r="U130" s="154"/>
      <c r="V130" s="125"/>
      <c r="W130" s="154"/>
      <c r="X130" s="125"/>
    </row>
    <row r="131" spans="8:24" x14ac:dyDescent="0.3">
      <c r="H131" s="160">
        <v>42061</v>
      </c>
      <c r="I131" s="159">
        <v>105.346334</v>
      </c>
      <c r="J131" s="123">
        <f t="shared" si="96"/>
        <v>1.1210505636190046E-2</v>
      </c>
      <c r="K131" s="165">
        <v>2110.73999</v>
      </c>
      <c r="L131" s="124">
        <f t="shared" si="97"/>
        <v>-1.4760281390749272E-3</v>
      </c>
      <c r="N131" s="162">
        <v>41372</v>
      </c>
      <c r="O131" s="161">
        <v>49.976970999999999</v>
      </c>
      <c r="P131" s="123">
        <f t="shared" si="98"/>
        <v>5.0602394492777647E-2</v>
      </c>
      <c r="Q131" s="166">
        <v>1588.849976</v>
      </c>
      <c r="R131" s="123">
        <f t="shared" si="99"/>
        <v>2.2899893345631857E-2</v>
      </c>
      <c r="T131" s="122"/>
      <c r="U131" s="154"/>
      <c r="V131" s="125"/>
      <c r="W131" s="154"/>
      <c r="X131" s="125"/>
    </row>
    <row r="132" spans="8:24" x14ac:dyDescent="0.3">
      <c r="H132" s="160">
        <v>42060</v>
      </c>
      <c r="I132" s="159">
        <v>104.17844100000001</v>
      </c>
      <c r="J132" s="123">
        <f t="shared" si="96"/>
        <v>-2.5878680303746383E-2</v>
      </c>
      <c r="K132" s="165">
        <v>2113.860107</v>
      </c>
      <c r="L132" s="124">
        <f t="shared" si="97"/>
        <v>-7.657236255197734E-4</v>
      </c>
      <c r="N132" s="162">
        <v>41365</v>
      </c>
      <c r="O132" s="161">
        <v>47.569823999999997</v>
      </c>
      <c r="P132" s="123">
        <f t="shared" si="98"/>
        <v>-9.743559895352619E-3</v>
      </c>
      <c r="Q132" s="166">
        <v>1553.280029</v>
      </c>
      <c r="R132" s="123">
        <f t="shared" si="99"/>
        <v>-1.0138933206429519E-2</v>
      </c>
      <c r="T132" s="122"/>
      <c r="U132" s="154"/>
      <c r="V132" s="125"/>
      <c r="W132" s="154"/>
      <c r="X132" s="125"/>
    </row>
    <row r="133" spans="8:24" x14ac:dyDescent="0.3">
      <c r="H133" s="160">
        <v>42059</v>
      </c>
      <c r="I133" s="159">
        <v>106.94606400000001</v>
      </c>
      <c r="J133" s="123">
        <f t="shared" si="96"/>
        <v>-1.908358507904355E-2</v>
      </c>
      <c r="K133" s="165">
        <v>2115.4799800000001</v>
      </c>
      <c r="L133" s="124">
        <f t="shared" si="97"/>
        <v>2.7587707226623321E-3</v>
      </c>
      <c r="N133" s="162">
        <v>41358</v>
      </c>
      <c r="O133" s="161">
        <v>48.037883999999998</v>
      </c>
      <c r="P133" s="123">
        <f t="shared" si="98"/>
        <v>5.4786611375320642E-2</v>
      </c>
      <c r="Q133" s="166">
        <v>1569.1899410000001</v>
      </c>
      <c r="R133" s="123">
        <f t="shared" si="99"/>
        <v>7.9003178654210478E-3</v>
      </c>
      <c r="T133" s="122"/>
      <c r="U133" s="154"/>
      <c r="V133" s="125"/>
      <c r="W133" s="154"/>
      <c r="X133" s="125"/>
    </row>
    <row r="134" spans="8:24" x14ac:dyDescent="0.3">
      <c r="H134" s="160">
        <v>42058</v>
      </c>
      <c r="I134" s="159">
        <v>109.026684</v>
      </c>
      <c r="J134" s="123">
        <f t="shared" si="96"/>
        <v>-1.9764725663474502E-3</v>
      </c>
      <c r="K134" s="165">
        <v>2109.6599120000001</v>
      </c>
      <c r="L134" s="124">
        <f t="shared" si="97"/>
        <v>-3.0333932859604834E-4</v>
      </c>
      <c r="N134" s="162">
        <v>41351</v>
      </c>
      <c r="O134" s="161">
        <v>45.542751000000003</v>
      </c>
      <c r="P134" s="123">
        <f t="shared" si="98"/>
        <v>-4.4457747001039459E-2</v>
      </c>
      <c r="Q134" s="166">
        <v>1556.8900149999999</v>
      </c>
      <c r="R134" s="123">
        <f t="shared" si="99"/>
        <v>-2.4411713459457315E-3</v>
      </c>
      <c r="T134" s="122"/>
      <c r="U134" s="154"/>
      <c r="V134" s="125"/>
      <c r="W134" s="154"/>
      <c r="X134" s="125"/>
    </row>
    <row r="135" spans="8:24" x14ac:dyDescent="0.3">
      <c r="H135" s="160">
        <v>42055</v>
      </c>
      <c r="I135" s="159">
        <v>109.242599</v>
      </c>
      <c r="J135" s="123">
        <f t="shared" si="96"/>
        <v>1.3383120021447188E-2</v>
      </c>
      <c r="K135" s="165">
        <v>2110.3000489999999</v>
      </c>
      <c r="L135" s="124">
        <f t="shared" si="97"/>
        <v>6.1265337911273424E-3</v>
      </c>
      <c r="N135" s="162">
        <v>41344</v>
      </c>
      <c r="O135" s="161">
        <v>47.661681999999999</v>
      </c>
      <c r="P135" s="123">
        <f t="shared" si="98"/>
        <v>5.2454852638224185E-2</v>
      </c>
      <c r="Q135" s="166">
        <v>1560.6999510000001</v>
      </c>
      <c r="R135" s="123">
        <f t="shared" si="99"/>
        <v>6.1371966300439087E-3</v>
      </c>
      <c r="T135" s="122"/>
      <c r="U135" s="154"/>
      <c r="V135" s="125"/>
      <c r="W135" s="154"/>
      <c r="X135" s="125"/>
    </row>
    <row r="136" spans="8:24" x14ac:dyDescent="0.3">
      <c r="H136" s="160">
        <v>42054</v>
      </c>
      <c r="I136" s="159">
        <v>107.79989999999999</v>
      </c>
      <c r="J136" s="123">
        <f t="shared" si="96"/>
        <v>7.7063809354638441E-3</v>
      </c>
      <c r="K136" s="165">
        <v>2097.4499510000001</v>
      </c>
      <c r="L136" s="124">
        <f t="shared" si="97"/>
        <v>-1.0620575860225694E-3</v>
      </c>
      <c r="N136" s="162">
        <v>41337</v>
      </c>
      <c r="O136" s="161">
        <v>45.286200999999998</v>
      </c>
      <c r="P136" s="123">
        <f t="shared" si="98"/>
        <v>-1.0792830103778231E-2</v>
      </c>
      <c r="Q136" s="166">
        <v>1551.1800539999999</v>
      </c>
      <c r="R136" s="123">
        <f t="shared" si="99"/>
        <v>2.1723161681224339E-2</v>
      </c>
      <c r="T136" s="122"/>
      <c r="U136" s="154"/>
      <c r="V136" s="125"/>
      <c r="W136" s="154"/>
      <c r="X136" s="125"/>
    </row>
    <row r="137" spans="8:24" x14ac:dyDescent="0.3">
      <c r="H137" s="160">
        <v>42053</v>
      </c>
      <c r="I137" s="159">
        <v>106.975506</v>
      </c>
      <c r="J137" s="123">
        <f t="shared" si="96"/>
        <v>2.0886051227709888E-2</v>
      </c>
      <c r="K137" s="165">
        <v>2099.679932</v>
      </c>
      <c r="L137" s="124">
        <f t="shared" si="97"/>
        <v>-3.1430909868912401E-4</v>
      </c>
      <c r="N137" s="162">
        <v>41330</v>
      </c>
      <c r="O137" s="161">
        <v>45.780299999999997</v>
      </c>
      <c r="P137" s="123">
        <f t="shared" si="98"/>
        <v>4.9673176149206258E-2</v>
      </c>
      <c r="Q137" s="166">
        <v>1518.1999510000001</v>
      </c>
      <c r="R137" s="123">
        <f t="shared" si="99"/>
        <v>1.7154757463522722E-3</v>
      </c>
      <c r="T137" s="122"/>
      <c r="U137" s="154"/>
      <c r="V137" s="125"/>
      <c r="W137" s="154"/>
      <c r="X137" s="125"/>
    </row>
    <row r="138" spans="8:24" x14ac:dyDescent="0.3">
      <c r="H138" s="160">
        <v>42052</v>
      </c>
      <c r="I138" s="159">
        <v>104.78692100000001</v>
      </c>
      <c r="J138" s="123">
        <f t="shared" ref="J138:J201" si="100">(I138-I139)/I139</f>
        <v>-7.8060001198923725E-3</v>
      </c>
      <c r="K138" s="165">
        <v>2100.3400879999999</v>
      </c>
      <c r="L138" s="124">
        <f t="shared" ref="L138:L201" si="101">(K138-K139)/K139</f>
        <v>1.597574626476824E-3</v>
      </c>
      <c r="N138" s="162">
        <v>41324</v>
      </c>
      <c r="O138" s="161">
        <v>43.613861</v>
      </c>
      <c r="P138" s="123">
        <f t="shared" ref="P138:P201" si="102">(O138-O139)/O139</f>
        <v>-5.5361179193014996E-2</v>
      </c>
      <c r="Q138" s="166">
        <v>1515.599976</v>
      </c>
      <c r="R138" s="123">
        <f t="shared" ref="R138:R201" si="103">(Q138-Q139)/Q139</f>
        <v>-2.7570012254831008E-3</v>
      </c>
      <c r="T138" s="122"/>
      <c r="U138" s="154"/>
      <c r="V138" s="125"/>
      <c r="W138" s="154"/>
      <c r="X138" s="125"/>
    </row>
    <row r="139" spans="8:24" x14ac:dyDescent="0.3">
      <c r="H139" s="160">
        <v>42048</v>
      </c>
      <c r="I139" s="159">
        <v>105.611323</v>
      </c>
      <c r="J139" s="123">
        <f t="shared" si="100"/>
        <v>3.9182549862628313E-3</v>
      </c>
      <c r="K139" s="165">
        <v>2096.98999</v>
      </c>
      <c r="L139" s="124">
        <f t="shared" si="101"/>
        <v>4.0747386048680077E-3</v>
      </c>
      <c r="N139" s="162">
        <v>41316</v>
      </c>
      <c r="O139" s="161">
        <v>46.169879999999999</v>
      </c>
      <c r="P139" s="123">
        <f t="shared" si="102"/>
        <v>2.0622307656128804E-3</v>
      </c>
      <c r="Q139" s="166">
        <v>1519.790039</v>
      </c>
      <c r="R139" s="123">
        <f t="shared" si="103"/>
        <v>1.225343022294525E-3</v>
      </c>
      <c r="T139" s="122"/>
      <c r="U139" s="154"/>
      <c r="V139" s="125"/>
      <c r="W139" s="154"/>
      <c r="X139" s="125"/>
    </row>
    <row r="140" spans="8:24" x14ac:dyDescent="0.3">
      <c r="H140" s="160">
        <v>42047</v>
      </c>
      <c r="I140" s="159">
        <v>105.19912600000001</v>
      </c>
      <c r="J140" s="123">
        <f t="shared" si="100"/>
        <v>1.0368619533987641E-2</v>
      </c>
      <c r="K140" s="165">
        <v>2088.4799800000001</v>
      </c>
      <c r="L140" s="124">
        <f t="shared" si="101"/>
        <v>9.6445063500695521E-3</v>
      </c>
      <c r="N140" s="162">
        <v>41309</v>
      </c>
      <c r="O140" s="161">
        <v>46.074863000000001</v>
      </c>
      <c r="P140" s="123">
        <f t="shared" si="102"/>
        <v>3.6775754852063143E-2</v>
      </c>
      <c r="Q140" s="166">
        <v>1517.9300539999999</v>
      </c>
      <c r="R140" s="123">
        <f t="shared" si="103"/>
        <v>3.145720481894476E-3</v>
      </c>
      <c r="T140" s="122"/>
      <c r="U140" s="154"/>
      <c r="V140" s="125"/>
      <c r="W140" s="154"/>
      <c r="X140" s="125"/>
    </row>
    <row r="141" spans="8:24" x14ac:dyDescent="0.3">
      <c r="H141" s="160">
        <v>42046</v>
      </c>
      <c r="I141" s="159">
        <v>104.11955</v>
      </c>
      <c r="J141" s="123">
        <f t="shared" si="100"/>
        <v>1.9312012716432434E-2</v>
      </c>
      <c r="K141" s="165">
        <v>2068.530029</v>
      </c>
      <c r="L141" s="124">
        <f t="shared" si="101"/>
        <v>-2.903378506370865E-5</v>
      </c>
      <c r="N141" s="162">
        <v>41302</v>
      </c>
      <c r="O141" s="161">
        <v>44.440528999999998</v>
      </c>
      <c r="P141" s="123">
        <f t="shared" si="102"/>
        <v>-2.7246301018945287E-2</v>
      </c>
      <c r="Q141" s="166">
        <v>1513.170044</v>
      </c>
      <c r="R141" s="123">
        <f t="shared" si="103"/>
        <v>6.7933166983414669E-3</v>
      </c>
      <c r="T141" s="122"/>
      <c r="U141" s="154"/>
      <c r="V141" s="125"/>
      <c r="W141" s="154"/>
      <c r="X141" s="125"/>
    </row>
    <row r="142" spans="8:24" x14ac:dyDescent="0.3">
      <c r="H142" s="160">
        <v>42045</v>
      </c>
      <c r="I142" s="159">
        <v>102.146888</v>
      </c>
      <c r="J142" s="123">
        <f t="shared" si="100"/>
        <v>1.4424986786501023E-2</v>
      </c>
      <c r="K142" s="165">
        <v>2068.5900879999999</v>
      </c>
      <c r="L142" s="124">
        <f t="shared" si="101"/>
        <v>1.0675561188404731E-2</v>
      </c>
      <c r="N142" s="162">
        <v>41296</v>
      </c>
      <c r="O142" s="161">
        <v>45.685284000000003</v>
      </c>
      <c r="P142" s="123">
        <f t="shared" si="102"/>
        <v>7.2974797027358068E-2</v>
      </c>
      <c r="Q142" s="166">
        <v>1502.959961</v>
      </c>
      <c r="R142" s="123">
        <f t="shared" si="103"/>
        <v>1.1426789881785589E-2</v>
      </c>
      <c r="T142" s="122"/>
      <c r="U142" s="154"/>
      <c r="V142" s="125"/>
      <c r="W142" s="154"/>
      <c r="X142" s="125"/>
    </row>
    <row r="143" spans="8:24" x14ac:dyDescent="0.3">
      <c r="H143" s="160">
        <v>42044</v>
      </c>
      <c r="I143" s="159">
        <v>100.694373</v>
      </c>
      <c r="J143" s="123">
        <f t="shared" si="100"/>
        <v>-7.7369799884150024E-3</v>
      </c>
      <c r="K143" s="165">
        <v>2046.73999</v>
      </c>
      <c r="L143" s="124">
        <f t="shared" si="101"/>
        <v>-4.2471946188310196E-3</v>
      </c>
      <c r="N143" s="162">
        <v>41288</v>
      </c>
      <c r="O143" s="161">
        <v>42.578152000000003</v>
      </c>
      <c r="P143" s="123">
        <f t="shared" si="102"/>
        <v>1.8872257115365661E-2</v>
      </c>
      <c r="Q143" s="166">
        <v>1485.9799800000001</v>
      </c>
      <c r="R143" s="123">
        <f t="shared" si="103"/>
        <v>9.462946595778501E-3</v>
      </c>
      <c r="T143" s="122"/>
      <c r="U143" s="154"/>
      <c r="V143" s="125"/>
      <c r="W143" s="154"/>
      <c r="X143" s="125"/>
    </row>
    <row r="144" spans="8:24" x14ac:dyDescent="0.3">
      <c r="H144" s="160">
        <v>42041</v>
      </c>
      <c r="I144" s="159">
        <v>101.479518</v>
      </c>
      <c r="J144" s="123">
        <f t="shared" si="100"/>
        <v>-6.8197008054604645E-3</v>
      </c>
      <c r="K144" s="165">
        <v>2055.469971</v>
      </c>
      <c r="L144" s="124">
        <f t="shared" si="101"/>
        <v>-3.4181723966974849E-3</v>
      </c>
      <c r="N144" s="162">
        <v>41281</v>
      </c>
      <c r="O144" s="161">
        <v>41.789490000000001</v>
      </c>
      <c r="P144" s="123">
        <f t="shared" si="102"/>
        <v>2.5652976351673216E-2</v>
      </c>
      <c r="Q144" s="166">
        <v>1472.0500489999999</v>
      </c>
      <c r="R144" s="123">
        <f t="shared" si="103"/>
        <v>3.8051089421182274E-3</v>
      </c>
      <c r="T144" s="122"/>
      <c r="U144" s="154"/>
      <c r="V144" s="125"/>
      <c r="W144" s="154"/>
      <c r="X144" s="125"/>
    </row>
    <row r="145" spans="8:24" x14ac:dyDescent="0.3">
      <c r="H145" s="160">
        <v>42040</v>
      </c>
      <c r="I145" s="159">
        <v>102.17632999999999</v>
      </c>
      <c r="J145" s="123">
        <f t="shared" si="100"/>
        <v>6.7281945531389429E-4</v>
      </c>
      <c r="K145" s="165">
        <v>2062.5200199999999</v>
      </c>
      <c r="L145" s="124">
        <f t="shared" si="101"/>
        <v>1.0291406800400634E-2</v>
      </c>
      <c r="N145" s="162">
        <v>41274</v>
      </c>
      <c r="O145" s="161">
        <v>40.744278000000001</v>
      </c>
      <c r="P145" s="123">
        <f t="shared" si="102"/>
        <v>3.4249875948737081E-2</v>
      </c>
      <c r="Q145" s="166">
        <v>1466.469971</v>
      </c>
      <c r="R145" s="123">
        <f t="shared" si="103"/>
        <v>4.5663537241908012E-2</v>
      </c>
      <c r="T145" s="122"/>
      <c r="U145" s="154"/>
      <c r="V145" s="125"/>
      <c r="W145" s="154"/>
      <c r="X145" s="125"/>
    </row>
    <row r="146" spans="8:24" x14ac:dyDescent="0.3">
      <c r="H146" s="160">
        <v>42039</v>
      </c>
      <c r="I146" s="159">
        <v>102.10763</v>
      </c>
      <c r="J146" s="123">
        <f t="shared" si="100"/>
        <v>3.3270420198564993E-2</v>
      </c>
      <c r="K146" s="165">
        <v>2041.51001</v>
      </c>
      <c r="L146" s="124">
        <f t="shared" si="101"/>
        <v>-4.1560459502908327E-3</v>
      </c>
      <c r="N146" s="162">
        <v>41267</v>
      </c>
      <c r="O146" s="161">
        <v>39.395004</v>
      </c>
      <c r="P146" s="123">
        <f t="shared" si="102"/>
        <v>-1.4967935140464605E-2</v>
      </c>
      <c r="Q146" s="166">
        <v>1402.4300539999999</v>
      </c>
      <c r="R146" s="123">
        <f t="shared" si="103"/>
        <v>-1.9382560944529344E-2</v>
      </c>
      <c r="T146" s="122"/>
      <c r="U146" s="154"/>
      <c r="V146" s="125"/>
      <c r="W146" s="154"/>
      <c r="X146" s="125"/>
    </row>
    <row r="147" spans="8:24" x14ac:dyDescent="0.3">
      <c r="H147" s="160">
        <v>42038</v>
      </c>
      <c r="I147" s="159">
        <v>98.819851999999997</v>
      </c>
      <c r="J147" s="123">
        <f t="shared" si="100"/>
        <v>2.3064454295960872E-2</v>
      </c>
      <c r="K147" s="165">
        <v>2050.030029</v>
      </c>
      <c r="L147" s="124">
        <f t="shared" si="101"/>
        <v>1.4439494938539686E-2</v>
      </c>
      <c r="N147" s="162">
        <v>41260</v>
      </c>
      <c r="O147" s="161">
        <v>39.993625999999999</v>
      </c>
      <c r="P147" s="123">
        <f t="shared" si="102"/>
        <v>0.1140815525685301</v>
      </c>
      <c r="Q147" s="166">
        <v>1430.150024</v>
      </c>
      <c r="R147" s="123">
        <f t="shared" si="103"/>
        <v>1.1722059250817499E-2</v>
      </c>
      <c r="T147" s="122"/>
      <c r="U147" s="154"/>
      <c r="V147" s="125"/>
      <c r="W147" s="154"/>
      <c r="X147" s="125"/>
    </row>
    <row r="148" spans="8:24" x14ac:dyDescent="0.3">
      <c r="H148" s="160">
        <v>42037</v>
      </c>
      <c r="I148" s="159">
        <v>96.592010000000002</v>
      </c>
      <c r="J148" s="123">
        <f t="shared" si="100"/>
        <v>1.2238970993045779E-2</v>
      </c>
      <c r="K148" s="165">
        <v>2020.849976</v>
      </c>
      <c r="L148" s="124">
        <f t="shared" si="101"/>
        <v>1.2962464037225537E-2</v>
      </c>
      <c r="N148" s="162">
        <v>41253</v>
      </c>
      <c r="O148" s="161">
        <v>35.898293000000002</v>
      </c>
      <c r="P148" s="123">
        <f t="shared" si="102"/>
        <v>1.1413399103687409E-2</v>
      </c>
      <c r="Q148" s="166">
        <v>1413.579956</v>
      </c>
      <c r="R148" s="123">
        <f t="shared" si="103"/>
        <v>-3.1662683583874741E-3</v>
      </c>
      <c r="T148" s="122"/>
      <c r="U148" s="154"/>
      <c r="V148" s="125"/>
      <c r="W148" s="154"/>
      <c r="X148" s="125"/>
    </row>
    <row r="149" spans="8:24" x14ac:dyDescent="0.3">
      <c r="H149" s="160">
        <v>42034</v>
      </c>
      <c r="I149" s="159">
        <v>95.424116999999995</v>
      </c>
      <c r="J149" s="123">
        <f t="shared" si="100"/>
        <v>-3.7898217914919409E-2</v>
      </c>
      <c r="K149" s="165">
        <v>1994.98999</v>
      </c>
      <c r="L149" s="124">
        <f t="shared" si="101"/>
        <v>-1.299196536796535E-2</v>
      </c>
      <c r="N149" s="162">
        <v>41246</v>
      </c>
      <c r="O149" s="161">
        <v>35.493195</v>
      </c>
      <c r="P149" s="123">
        <f t="shared" si="102"/>
        <v>0.12473821056284132</v>
      </c>
      <c r="Q149" s="166">
        <v>1418.0699460000001</v>
      </c>
      <c r="R149" s="123">
        <f t="shared" si="103"/>
        <v>1.3344998008283948E-3</v>
      </c>
      <c r="T149" s="122"/>
      <c r="U149" s="154"/>
      <c r="V149" s="125"/>
      <c r="W149" s="154"/>
      <c r="X149" s="125"/>
    </row>
    <row r="150" spans="8:24" x14ac:dyDescent="0.3">
      <c r="H150" s="160">
        <v>42033</v>
      </c>
      <c r="I150" s="159">
        <v>99.182974999999999</v>
      </c>
      <c r="J150" s="123">
        <f t="shared" si="100"/>
        <v>1.2320896506867879E-2</v>
      </c>
      <c r="K150" s="165">
        <v>2021.25</v>
      </c>
      <c r="L150" s="124">
        <f t="shared" si="101"/>
        <v>9.5346853777024312E-3</v>
      </c>
      <c r="N150" s="162">
        <v>41239</v>
      </c>
      <c r="O150" s="161">
        <v>31.556850000000001</v>
      </c>
      <c r="P150" s="123">
        <f t="shared" si="102"/>
        <v>-4.7306928844022537E-2</v>
      </c>
      <c r="Q150" s="166">
        <v>1416.1800539999999</v>
      </c>
      <c r="R150" s="123">
        <f t="shared" si="103"/>
        <v>4.9888442538179997E-3</v>
      </c>
      <c r="T150" s="122"/>
      <c r="U150" s="154"/>
      <c r="V150" s="125"/>
      <c r="W150" s="154"/>
      <c r="X150" s="125"/>
    </row>
    <row r="151" spans="8:24" x14ac:dyDescent="0.3">
      <c r="H151" s="160">
        <v>42032</v>
      </c>
      <c r="I151" s="159">
        <v>97.975825</v>
      </c>
      <c r="J151" s="123">
        <f t="shared" si="100"/>
        <v>2.2534103195099162E-2</v>
      </c>
      <c r="K151" s="165">
        <v>2002.160034</v>
      </c>
      <c r="L151" s="124">
        <f t="shared" si="101"/>
        <v>-1.3495609538427277E-2</v>
      </c>
      <c r="N151" s="162">
        <v>41232</v>
      </c>
      <c r="O151" s="161">
        <v>33.123837000000002</v>
      </c>
      <c r="P151" s="123">
        <f t="shared" si="102"/>
        <v>1.47483884004412E-2</v>
      </c>
      <c r="Q151" s="166">
        <v>1409.150024</v>
      </c>
      <c r="R151" s="123">
        <f t="shared" si="103"/>
        <v>3.6231151880198466E-2</v>
      </c>
      <c r="T151" s="122"/>
      <c r="U151" s="154"/>
      <c r="V151" s="125"/>
      <c r="W151" s="154"/>
      <c r="X151" s="125"/>
    </row>
    <row r="152" spans="8:24" x14ac:dyDescent="0.3">
      <c r="H152" s="160">
        <v>42031</v>
      </c>
      <c r="I152" s="159">
        <v>95.816682</v>
      </c>
      <c r="J152" s="123">
        <f t="shared" si="100"/>
        <v>-3.3174942558340983E-2</v>
      </c>
      <c r="K152" s="165">
        <v>2029.5500489999999</v>
      </c>
      <c r="L152" s="124">
        <f t="shared" si="101"/>
        <v>-1.3387862379316457E-2</v>
      </c>
      <c r="N152" s="162">
        <v>41225</v>
      </c>
      <c r="O152" s="161">
        <v>32.642414000000002</v>
      </c>
      <c r="P152" s="123">
        <f t="shared" si="102"/>
        <v>-1.5095353533951588E-2</v>
      </c>
      <c r="Q152" s="166">
        <v>1359.880005</v>
      </c>
      <c r="R152" s="123">
        <f t="shared" si="103"/>
        <v>-1.4472566835048441E-2</v>
      </c>
      <c r="T152" s="122"/>
      <c r="U152" s="154"/>
      <c r="V152" s="125"/>
      <c r="W152" s="154"/>
      <c r="X152" s="125"/>
    </row>
    <row r="153" spans="8:24" x14ac:dyDescent="0.3">
      <c r="H153" s="160">
        <v>42030</v>
      </c>
      <c r="I153" s="159">
        <v>99.104467</v>
      </c>
      <c r="J153" s="123">
        <f t="shared" si="100"/>
        <v>-4.8256319468455065E-2</v>
      </c>
      <c r="K153" s="165">
        <v>2057.0900879999999</v>
      </c>
      <c r="L153" s="124">
        <f t="shared" si="101"/>
        <v>2.5684610859356949E-3</v>
      </c>
      <c r="N153" s="162">
        <v>41218</v>
      </c>
      <c r="O153" s="161">
        <v>33.142715000000003</v>
      </c>
      <c r="P153" s="123">
        <f t="shared" si="102"/>
        <v>-2.5568447119363523E-3</v>
      </c>
      <c r="Q153" s="166">
        <v>1379.849976</v>
      </c>
      <c r="R153" s="123">
        <f t="shared" si="103"/>
        <v>-2.4289334033501239E-2</v>
      </c>
      <c r="T153" s="122"/>
      <c r="U153" s="154"/>
      <c r="V153" s="125"/>
      <c r="W153" s="154"/>
      <c r="X153" s="125"/>
    </row>
    <row r="154" spans="8:24" x14ac:dyDescent="0.3">
      <c r="H154" s="160">
        <v>42027</v>
      </c>
      <c r="I154" s="159">
        <v>104.129367</v>
      </c>
      <c r="J154" s="123">
        <f t="shared" si="100"/>
        <v>7.6930130943598978E-3</v>
      </c>
      <c r="K154" s="165">
        <v>2051.820068</v>
      </c>
      <c r="L154" s="124">
        <f t="shared" si="101"/>
        <v>-5.4915224477955155E-3</v>
      </c>
      <c r="N154" s="162">
        <v>41213</v>
      </c>
      <c r="O154" s="161">
        <v>33.227673000000003</v>
      </c>
      <c r="P154" s="123">
        <f t="shared" si="102"/>
        <v>3.1653007975891365E-2</v>
      </c>
      <c r="Q154" s="166">
        <v>1414.1999510000001</v>
      </c>
      <c r="R154" s="123">
        <f t="shared" si="103"/>
        <v>1.6006417372110911E-3</v>
      </c>
      <c r="T154" s="122"/>
      <c r="U154" s="154"/>
      <c r="V154" s="125"/>
      <c r="W154" s="154"/>
      <c r="X154" s="125"/>
    </row>
    <row r="155" spans="8:24" x14ac:dyDescent="0.3">
      <c r="H155" s="160">
        <v>42026</v>
      </c>
      <c r="I155" s="159">
        <v>103.334414</v>
      </c>
      <c r="J155" s="123">
        <f t="shared" si="100"/>
        <v>-1.2566784585982239E-2</v>
      </c>
      <c r="K155" s="165">
        <v>2063.1499020000001</v>
      </c>
      <c r="L155" s="124">
        <f t="shared" si="101"/>
        <v>1.5269721805970466E-2</v>
      </c>
      <c r="N155" s="162">
        <v>41204</v>
      </c>
      <c r="O155" s="161">
        <v>32.208187000000002</v>
      </c>
      <c r="P155" s="123">
        <f t="shared" si="102"/>
        <v>-2.178909022965286E-2</v>
      </c>
      <c r="Q155" s="166">
        <v>1411.9399410000001</v>
      </c>
      <c r="R155" s="123">
        <f t="shared" si="103"/>
        <v>-1.4827064712143413E-2</v>
      </c>
      <c r="T155" s="122"/>
      <c r="U155" s="154"/>
      <c r="V155" s="125"/>
      <c r="W155" s="154"/>
      <c r="X155" s="125"/>
    </row>
    <row r="156" spans="8:24" x14ac:dyDescent="0.3">
      <c r="H156" s="160">
        <v>42025</v>
      </c>
      <c r="I156" s="159">
        <v>104.649522</v>
      </c>
      <c r="J156" s="123">
        <f t="shared" si="100"/>
        <v>3.7527866290447171E-4</v>
      </c>
      <c r="K156" s="165">
        <v>2032.119995</v>
      </c>
      <c r="L156" s="124">
        <f t="shared" si="101"/>
        <v>4.7316238254433785E-3</v>
      </c>
      <c r="N156" s="162">
        <v>41197</v>
      </c>
      <c r="O156" s="161">
        <v>32.925606000000002</v>
      </c>
      <c r="P156" s="123">
        <f t="shared" si="102"/>
        <v>-3.1649038542982226E-2</v>
      </c>
      <c r="Q156" s="166">
        <v>1433.1899410000001</v>
      </c>
      <c r="R156" s="123">
        <f t="shared" si="103"/>
        <v>3.2199407174053228E-3</v>
      </c>
      <c r="T156" s="122"/>
      <c r="U156" s="154"/>
      <c r="V156" s="125"/>
      <c r="W156" s="154"/>
      <c r="X156" s="125"/>
    </row>
    <row r="157" spans="8:24" x14ac:dyDescent="0.3">
      <c r="H157" s="160">
        <v>42024</v>
      </c>
      <c r="I157" s="159">
        <v>104.610264</v>
      </c>
      <c r="J157" s="123">
        <f t="shared" si="100"/>
        <v>2.0681961005631268E-3</v>
      </c>
      <c r="K157" s="165">
        <v>2022.5500489999999</v>
      </c>
      <c r="L157" s="124">
        <f t="shared" si="101"/>
        <v>1.5499524278268393E-3</v>
      </c>
      <c r="N157" s="162">
        <v>41190</v>
      </c>
      <c r="O157" s="161">
        <v>34.001728</v>
      </c>
      <c r="P157" s="123">
        <f t="shared" si="102"/>
        <v>-5.1855804524018632E-2</v>
      </c>
      <c r="Q157" s="166">
        <v>1428.589966</v>
      </c>
      <c r="R157" s="123">
        <f t="shared" si="103"/>
        <v>-2.2136643647964766E-2</v>
      </c>
      <c r="T157" s="122"/>
      <c r="U157" s="154"/>
      <c r="V157" s="125"/>
      <c r="W157" s="154"/>
      <c r="X157" s="125"/>
    </row>
    <row r="158" spans="8:24" x14ac:dyDescent="0.3">
      <c r="H158" s="160">
        <v>42020</v>
      </c>
      <c r="I158" s="159">
        <v>104.394356</v>
      </c>
      <c r="J158" s="123">
        <f t="shared" si="100"/>
        <v>1.5950388110137444E-2</v>
      </c>
      <c r="K158" s="165">
        <v>2019.420044</v>
      </c>
      <c r="L158" s="124">
        <f t="shared" si="101"/>
        <v>1.3424199395451945E-2</v>
      </c>
      <c r="N158" s="162">
        <v>41183</v>
      </c>
      <c r="O158" s="161">
        <v>35.861347000000002</v>
      </c>
      <c r="P158" s="123">
        <f t="shared" si="102"/>
        <v>-1.9106518377700322E-2</v>
      </c>
      <c r="Q158" s="166">
        <v>1460.9300539999999</v>
      </c>
      <c r="R158" s="123">
        <f t="shared" si="103"/>
        <v>1.4062907800698302E-2</v>
      </c>
      <c r="T158" s="122"/>
      <c r="U158" s="154"/>
      <c r="V158" s="125"/>
      <c r="W158" s="154"/>
      <c r="X158" s="125"/>
    </row>
    <row r="159" spans="8:24" x14ac:dyDescent="0.3">
      <c r="H159" s="160">
        <v>42019</v>
      </c>
      <c r="I159" s="159">
        <v>102.755368</v>
      </c>
      <c r="J159" s="123">
        <f t="shared" si="100"/>
        <v>-3.7418402403362444E-2</v>
      </c>
      <c r="K159" s="165">
        <v>1992.670044</v>
      </c>
      <c r="L159" s="124">
        <f t="shared" si="101"/>
        <v>-9.2478761255537292E-3</v>
      </c>
      <c r="N159" s="162">
        <v>41176</v>
      </c>
      <c r="O159" s="161">
        <v>36.559879000000002</v>
      </c>
      <c r="P159" s="123">
        <f t="shared" si="102"/>
        <v>-2.9488361082067708E-2</v>
      </c>
      <c r="Q159" s="166">
        <v>1440.670044</v>
      </c>
      <c r="R159" s="123">
        <f t="shared" si="103"/>
        <v>-1.3341081176464145E-2</v>
      </c>
      <c r="T159" s="122"/>
      <c r="U159" s="154"/>
      <c r="V159" s="125"/>
      <c r="W159" s="154"/>
      <c r="X159" s="125"/>
    </row>
    <row r="160" spans="8:24" x14ac:dyDescent="0.3">
      <c r="H160" s="160">
        <v>42018</v>
      </c>
      <c r="I160" s="159">
        <v>106.749774</v>
      </c>
      <c r="J160" s="123">
        <f t="shared" si="100"/>
        <v>-5.5768949424464974E-3</v>
      </c>
      <c r="K160" s="165">
        <v>2011.2700199999999</v>
      </c>
      <c r="L160" s="124">
        <f t="shared" si="101"/>
        <v>-5.8130669497838093E-3</v>
      </c>
      <c r="N160" s="162">
        <v>41169</v>
      </c>
      <c r="O160" s="161">
        <v>37.670726999999999</v>
      </c>
      <c r="P160" s="123">
        <f t="shared" si="102"/>
        <v>-2.1919155428041369E-2</v>
      </c>
      <c r="Q160" s="166">
        <v>1460.150024</v>
      </c>
      <c r="R160" s="123">
        <f t="shared" si="103"/>
        <v>-3.8341594679361097E-3</v>
      </c>
      <c r="T160" s="122"/>
      <c r="U160" s="154"/>
      <c r="V160" s="125"/>
      <c r="W160" s="154"/>
      <c r="X160" s="125"/>
    </row>
    <row r="161" spans="8:24" x14ac:dyDescent="0.3">
      <c r="H161" s="160">
        <v>42017</v>
      </c>
      <c r="I161" s="159">
        <v>107.348445</v>
      </c>
      <c r="J161" s="123">
        <f t="shared" si="100"/>
        <v>-8.520685153441147E-3</v>
      </c>
      <c r="K161" s="165">
        <v>2023.030029</v>
      </c>
      <c r="L161" s="124">
        <f t="shared" si="101"/>
        <v>-2.578555497921567E-3</v>
      </c>
      <c r="N161" s="162">
        <v>41162</v>
      </c>
      <c r="O161" s="161">
        <v>38.514941999999998</v>
      </c>
      <c r="P161" s="123">
        <f t="shared" si="102"/>
        <v>-1.9111301021251567E-2</v>
      </c>
      <c r="Q161" s="166">
        <v>1465.7700199999999</v>
      </c>
      <c r="R161" s="123">
        <f t="shared" si="103"/>
        <v>1.936823686143704E-2</v>
      </c>
      <c r="T161" s="122"/>
      <c r="U161" s="154"/>
      <c r="V161" s="125"/>
      <c r="W161" s="154"/>
      <c r="X161" s="125"/>
    </row>
    <row r="162" spans="8:24" x14ac:dyDescent="0.3">
      <c r="H162" s="160">
        <v>42016</v>
      </c>
      <c r="I162" s="159">
        <v>108.270988</v>
      </c>
      <c r="J162" s="123">
        <f t="shared" si="100"/>
        <v>-1.6931049451439865E-2</v>
      </c>
      <c r="K162" s="165">
        <v>2028.26001</v>
      </c>
      <c r="L162" s="124">
        <f t="shared" si="101"/>
        <v>-8.0936852433588034E-3</v>
      </c>
      <c r="N162" s="162">
        <v>41156</v>
      </c>
      <c r="O162" s="161">
        <v>39.265354000000002</v>
      </c>
      <c r="P162" s="123">
        <f t="shared" si="102"/>
        <v>9.564892355895684E-4</v>
      </c>
      <c r="Q162" s="166">
        <v>1437.920044</v>
      </c>
      <c r="R162" s="123">
        <f t="shared" si="103"/>
        <v>2.2281056875802601E-2</v>
      </c>
      <c r="T162" s="122"/>
      <c r="U162" s="154"/>
      <c r="V162" s="125"/>
      <c r="W162" s="154"/>
      <c r="X162" s="125"/>
    </row>
    <row r="163" spans="8:24" x14ac:dyDescent="0.3">
      <c r="H163" s="160">
        <v>42013</v>
      </c>
      <c r="I163" s="159">
        <v>110.135701</v>
      </c>
      <c r="J163" s="123">
        <f t="shared" si="100"/>
        <v>1.6669723379715642E-2</v>
      </c>
      <c r="K163" s="165">
        <v>2044.8100589999999</v>
      </c>
      <c r="L163" s="124">
        <f t="shared" si="101"/>
        <v>-8.403811040573337E-3</v>
      </c>
      <c r="N163" s="162">
        <v>41148</v>
      </c>
      <c r="O163" s="161">
        <v>39.227832999999997</v>
      </c>
      <c r="P163" s="123">
        <f t="shared" si="102"/>
        <v>-4.1485260439640279E-2</v>
      </c>
      <c r="Q163" s="166">
        <v>1406.579956</v>
      </c>
      <c r="R163" s="123">
        <f t="shared" si="103"/>
        <v>-3.2244010005300287E-3</v>
      </c>
      <c r="T163" s="122"/>
      <c r="U163" s="154"/>
      <c r="V163" s="125"/>
      <c r="W163" s="154"/>
      <c r="X163" s="125"/>
    </row>
    <row r="164" spans="8:24" x14ac:dyDescent="0.3">
      <c r="H164" s="160">
        <v>42012</v>
      </c>
      <c r="I164" s="159">
        <v>108.32987199999999</v>
      </c>
      <c r="J164" s="123">
        <f t="shared" si="100"/>
        <v>2.0713873408980447E-2</v>
      </c>
      <c r="K164" s="165">
        <v>2062.139893</v>
      </c>
      <c r="L164" s="124">
        <f t="shared" si="101"/>
        <v>1.7888281045797549E-2</v>
      </c>
      <c r="N164" s="162">
        <v>41141</v>
      </c>
      <c r="O164" s="161">
        <v>40.925643999999998</v>
      </c>
      <c r="P164" s="123">
        <f t="shared" si="102"/>
        <v>-4.067720161938173E-2</v>
      </c>
      <c r="Q164" s="166">
        <v>1411.130005</v>
      </c>
      <c r="R164" s="123">
        <f t="shared" si="103"/>
        <v>-4.9571478757382704E-3</v>
      </c>
      <c r="T164" s="122"/>
      <c r="U164" s="154"/>
      <c r="V164" s="125"/>
      <c r="W164" s="154"/>
      <c r="X164" s="125"/>
    </row>
    <row r="165" spans="8:24" x14ac:dyDescent="0.3">
      <c r="H165" s="160">
        <v>42011</v>
      </c>
      <c r="I165" s="159">
        <v>106.131478</v>
      </c>
      <c r="J165" s="123">
        <f t="shared" si="100"/>
        <v>1.5017817747438317E-2</v>
      </c>
      <c r="K165" s="165">
        <v>2025.900024</v>
      </c>
      <c r="L165" s="124">
        <f t="shared" si="101"/>
        <v>1.1629842642575248E-2</v>
      </c>
      <c r="N165" s="162">
        <v>41134</v>
      </c>
      <c r="O165" s="161">
        <v>42.660972999999998</v>
      </c>
      <c r="P165" s="123">
        <f t="shared" si="102"/>
        <v>3.3871258869739365E-2</v>
      </c>
      <c r="Q165" s="166">
        <v>1418.160034</v>
      </c>
      <c r="R165" s="123">
        <f t="shared" si="103"/>
        <v>8.7419455879346637E-3</v>
      </c>
      <c r="T165" s="122"/>
      <c r="U165" s="154"/>
      <c r="V165" s="125"/>
      <c r="W165" s="154"/>
      <c r="X165" s="125"/>
    </row>
    <row r="166" spans="8:24" x14ac:dyDescent="0.3">
      <c r="H166" s="160">
        <v>42010</v>
      </c>
      <c r="I166" s="159">
        <v>104.56119700000001</v>
      </c>
      <c r="J166" s="123">
        <f t="shared" si="100"/>
        <v>-2.2299717360332212E-2</v>
      </c>
      <c r="K166" s="165">
        <v>2002.6099850000001</v>
      </c>
      <c r="L166" s="124">
        <f t="shared" si="101"/>
        <v>-8.8934718701129123E-3</v>
      </c>
      <c r="N166" s="162">
        <v>41127</v>
      </c>
      <c r="O166" s="161">
        <v>41.263331999999998</v>
      </c>
      <c r="P166" s="123">
        <f t="shared" si="102"/>
        <v>7.2926929851429984E-2</v>
      </c>
      <c r="Q166" s="166">
        <v>1405.869995</v>
      </c>
      <c r="R166" s="123">
        <f t="shared" si="103"/>
        <v>1.0697420619108828E-2</v>
      </c>
      <c r="T166" s="122"/>
      <c r="U166" s="154"/>
      <c r="V166" s="125"/>
      <c r="W166" s="154"/>
      <c r="X166" s="125"/>
    </row>
    <row r="167" spans="8:24" x14ac:dyDescent="0.3">
      <c r="H167" s="160">
        <v>42009</v>
      </c>
      <c r="I167" s="159">
        <v>106.94606400000001</v>
      </c>
      <c r="J167" s="123">
        <f t="shared" si="100"/>
        <v>-1.3221036491718532E-2</v>
      </c>
      <c r="K167" s="165">
        <v>2020.579956</v>
      </c>
      <c r="L167" s="124">
        <f t="shared" si="101"/>
        <v>-1.827810508970322E-2</v>
      </c>
      <c r="N167" s="162">
        <v>41120</v>
      </c>
      <c r="O167" s="161">
        <v>38.458660000000002</v>
      </c>
      <c r="P167" s="123">
        <f t="shared" si="102"/>
        <v>2.705412507455484E-2</v>
      </c>
      <c r="Q167" s="166">
        <v>1390.98999</v>
      </c>
      <c r="R167" s="123">
        <f t="shared" si="103"/>
        <v>3.622025805059847E-3</v>
      </c>
      <c r="T167" s="122"/>
      <c r="U167" s="154"/>
      <c r="V167" s="125"/>
      <c r="W167" s="154"/>
      <c r="X167" s="125"/>
    </row>
    <row r="168" spans="8:24" x14ac:dyDescent="0.3">
      <c r="H168" s="160">
        <v>42006</v>
      </c>
      <c r="I168" s="159">
        <v>108.378946</v>
      </c>
      <c r="J168" s="123">
        <f t="shared" si="100"/>
        <v>-2.438995026026704E-3</v>
      </c>
      <c r="K168" s="165">
        <v>2058.1999510000001</v>
      </c>
      <c r="L168" s="124">
        <f t="shared" si="101"/>
        <v>-3.3996358896327516E-4</v>
      </c>
      <c r="N168" s="162">
        <v>41113</v>
      </c>
      <c r="O168" s="161">
        <v>37.445602000000001</v>
      </c>
      <c r="P168" s="123">
        <f t="shared" si="102"/>
        <v>0.24477704006518677</v>
      </c>
      <c r="Q168" s="166">
        <v>1385.969971</v>
      </c>
      <c r="R168" s="123">
        <f t="shared" si="103"/>
        <v>1.7106201413697578E-2</v>
      </c>
      <c r="T168" s="122"/>
      <c r="U168" s="154"/>
      <c r="V168" s="125"/>
      <c r="W168" s="154"/>
      <c r="X168" s="125"/>
    </row>
    <row r="169" spans="8:24" x14ac:dyDescent="0.3">
      <c r="H169" s="160">
        <v>42004</v>
      </c>
      <c r="I169" s="159">
        <v>108.643928</v>
      </c>
      <c r="J169" s="123">
        <f t="shared" si="100"/>
        <v>-1.4335322993331037E-2</v>
      </c>
      <c r="K169" s="165">
        <v>2058.8999020000001</v>
      </c>
      <c r="L169" s="124">
        <f t="shared" si="101"/>
        <v>-1.0310858744699508E-2</v>
      </c>
      <c r="N169" s="162">
        <v>41106</v>
      </c>
      <c r="O169" s="161">
        <v>30.082176</v>
      </c>
      <c r="P169" s="123">
        <f t="shared" si="102"/>
        <v>1.551611915638999E-2</v>
      </c>
      <c r="Q169" s="166">
        <v>1362.660034</v>
      </c>
      <c r="R169" s="123">
        <f t="shared" si="103"/>
        <v>4.3337938901811344E-3</v>
      </c>
      <c r="T169" s="122"/>
      <c r="U169" s="154"/>
      <c r="V169" s="125"/>
      <c r="W169" s="154"/>
      <c r="X169" s="125"/>
    </row>
    <row r="170" spans="8:24" x14ac:dyDescent="0.3">
      <c r="H170" s="160">
        <v>42003</v>
      </c>
      <c r="I170" s="159">
        <v>110.224025</v>
      </c>
      <c r="J170" s="123">
        <f t="shared" si="100"/>
        <v>-2.9297615629148891E-3</v>
      </c>
      <c r="K170" s="165">
        <v>2080.3500979999999</v>
      </c>
      <c r="L170" s="124">
        <f t="shared" si="101"/>
        <v>-4.8886043842468821E-3</v>
      </c>
      <c r="N170" s="162">
        <v>41099</v>
      </c>
      <c r="O170" s="161">
        <v>29.622548999999999</v>
      </c>
      <c r="P170" s="123">
        <f t="shared" si="102"/>
        <v>1.8052868208209324E-2</v>
      </c>
      <c r="Q170" s="166">
        <v>1356.780029</v>
      </c>
      <c r="R170" s="123">
        <f t="shared" si="103"/>
        <v>1.5501630763658427E-3</v>
      </c>
      <c r="T170" s="122"/>
      <c r="U170" s="154"/>
      <c r="V170" s="125"/>
      <c r="W170" s="154"/>
      <c r="X170" s="125"/>
    </row>
    <row r="171" spans="8:24" x14ac:dyDescent="0.3">
      <c r="H171" s="160">
        <v>42002</v>
      </c>
      <c r="I171" s="159">
        <v>110.547904</v>
      </c>
      <c r="J171" s="123">
        <f t="shared" si="100"/>
        <v>-4.4208332724131718E-4</v>
      </c>
      <c r="K171" s="165">
        <v>2090.570068</v>
      </c>
      <c r="L171" s="124">
        <f t="shared" si="101"/>
        <v>8.617741459158155E-4</v>
      </c>
      <c r="N171" s="162">
        <v>41092</v>
      </c>
      <c r="O171" s="161">
        <v>29.097259999999999</v>
      </c>
      <c r="P171" s="123">
        <f t="shared" si="102"/>
        <v>1.7716545967292576E-2</v>
      </c>
      <c r="Q171" s="166">
        <v>1354.6800539999999</v>
      </c>
      <c r="R171" s="123">
        <f t="shared" si="103"/>
        <v>-5.4912637379581708E-3</v>
      </c>
      <c r="T171" s="122"/>
      <c r="U171" s="154"/>
      <c r="V171" s="125"/>
      <c r="W171" s="154"/>
      <c r="X171" s="125"/>
    </row>
    <row r="172" spans="8:24" x14ac:dyDescent="0.3">
      <c r="H172" s="160">
        <v>41999</v>
      </c>
      <c r="I172" s="159">
        <v>110.596797</v>
      </c>
      <c r="J172" s="123">
        <f t="shared" si="100"/>
        <v>-1.7686352925678489E-4</v>
      </c>
      <c r="K172" s="165">
        <v>2088.7700199999999</v>
      </c>
      <c r="L172" s="124">
        <f t="shared" si="101"/>
        <v>3.3095747051799856E-3</v>
      </c>
      <c r="N172" s="162">
        <v>41085</v>
      </c>
      <c r="O172" s="161">
        <v>28.590731000000002</v>
      </c>
      <c r="P172" s="123">
        <f t="shared" si="102"/>
        <v>2.6262605450811938E-2</v>
      </c>
      <c r="Q172" s="166">
        <v>1362.160034</v>
      </c>
      <c r="R172" s="123">
        <f t="shared" si="103"/>
        <v>2.0329293638607807E-2</v>
      </c>
      <c r="T172" s="122"/>
      <c r="U172" s="154"/>
      <c r="V172" s="125"/>
      <c r="W172" s="154"/>
      <c r="X172" s="125"/>
    </row>
    <row r="173" spans="8:24" x14ac:dyDescent="0.3">
      <c r="H173" s="160">
        <v>41997</v>
      </c>
      <c r="I173" s="159">
        <v>110.616361</v>
      </c>
      <c r="J173" s="123">
        <f t="shared" si="100"/>
        <v>-1.6769797314626338E-3</v>
      </c>
      <c r="K173" s="165">
        <v>2081.8798830000001</v>
      </c>
      <c r="L173" s="124">
        <f t="shared" si="101"/>
        <v>-1.3929650838553358E-4</v>
      </c>
      <c r="N173" s="162">
        <v>41078</v>
      </c>
      <c r="O173" s="161">
        <v>27.859079000000001</v>
      </c>
      <c r="P173" s="123">
        <f t="shared" si="102"/>
        <v>-3.2258099253167513E-2</v>
      </c>
      <c r="Q173" s="166">
        <v>1335.0200199999999</v>
      </c>
      <c r="R173" s="123">
        <f t="shared" si="103"/>
        <v>-5.8234385317662441E-3</v>
      </c>
      <c r="T173" s="122"/>
      <c r="U173" s="154"/>
      <c r="V173" s="125"/>
      <c r="W173" s="154"/>
      <c r="X173" s="125"/>
    </row>
    <row r="174" spans="8:24" x14ac:dyDescent="0.3">
      <c r="H174" s="160">
        <v>41996</v>
      </c>
      <c r="I174" s="159">
        <v>110.80217399999999</v>
      </c>
      <c r="J174" s="123">
        <f t="shared" si="100"/>
        <v>-8.5753950868090734E-3</v>
      </c>
      <c r="K174" s="165">
        <v>2082.169922</v>
      </c>
      <c r="L174" s="124">
        <f t="shared" si="101"/>
        <v>1.7463618366218364E-3</v>
      </c>
      <c r="N174" s="162">
        <v>41071</v>
      </c>
      <c r="O174" s="161">
        <v>28.787716</v>
      </c>
      <c r="P174" s="123">
        <f t="shared" si="102"/>
        <v>-1.7291008339078838E-2</v>
      </c>
      <c r="Q174" s="166">
        <v>1342.839966</v>
      </c>
      <c r="R174" s="123">
        <f t="shared" si="103"/>
        <v>1.2959530769108189E-2</v>
      </c>
      <c r="T174" s="122"/>
      <c r="U174" s="154"/>
      <c r="V174" s="125"/>
      <c r="W174" s="154"/>
      <c r="X174" s="125"/>
    </row>
    <row r="175" spans="8:24" x14ac:dyDescent="0.3">
      <c r="H175" s="160">
        <v>41995</v>
      </c>
      <c r="I175" s="159">
        <v>111.760565</v>
      </c>
      <c r="J175" s="123">
        <f t="shared" si="100"/>
        <v>3.5124824523134917E-3</v>
      </c>
      <c r="K175" s="165">
        <v>2078.540039</v>
      </c>
      <c r="L175" s="124">
        <f t="shared" si="101"/>
        <v>3.8104640443461443E-3</v>
      </c>
      <c r="N175" s="162">
        <v>41064</v>
      </c>
      <c r="O175" s="161">
        <v>29.294243000000002</v>
      </c>
      <c r="P175" s="123">
        <f t="shared" si="102"/>
        <v>3.7196906378938216E-2</v>
      </c>
      <c r="Q175" s="166">
        <v>1325.660034</v>
      </c>
      <c r="R175" s="123">
        <f t="shared" si="103"/>
        <v>3.7260174600836603E-2</v>
      </c>
      <c r="T175" s="122"/>
      <c r="U175" s="154"/>
      <c r="V175" s="125"/>
      <c r="W175" s="154"/>
      <c r="X175" s="125"/>
    </row>
    <row r="176" spans="8:24" x14ac:dyDescent="0.3">
      <c r="H176" s="160">
        <v>41992</v>
      </c>
      <c r="I176" s="159">
        <v>111.369382</v>
      </c>
      <c r="J176" s="123">
        <f t="shared" si="100"/>
        <v>1.3527919882343805E-2</v>
      </c>
      <c r="K176" s="165">
        <v>2070.6499020000001</v>
      </c>
      <c r="L176" s="124">
        <f t="shared" si="101"/>
        <v>4.5700489956972401E-3</v>
      </c>
      <c r="N176" s="162">
        <v>41058</v>
      </c>
      <c r="O176" s="161">
        <v>28.243666000000001</v>
      </c>
      <c r="P176" s="123">
        <f t="shared" si="102"/>
        <v>-0.11984796536914172</v>
      </c>
      <c r="Q176" s="166">
        <v>1278.040039</v>
      </c>
      <c r="R176" s="123">
        <f t="shared" si="103"/>
        <v>-3.0186147296331855E-2</v>
      </c>
      <c r="T176" s="122"/>
      <c r="U176" s="154"/>
      <c r="V176" s="125"/>
      <c r="W176" s="154"/>
      <c r="X176" s="125"/>
    </row>
    <row r="177" spans="8:24" x14ac:dyDescent="0.3">
      <c r="H177" s="160">
        <v>41991</v>
      </c>
      <c r="I177" s="159">
        <v>109.882895</v>
      </c>
      <c r="J177" s="123">
        <f t="shared" si="100"/>
        <v>4.0852280969855943E-2</v>
      </c>
      <c r="K177" s="165">
        <v>2061.2299800000001</v>
      </c>
      <c r="L177" s="124">
        <f t="shared" si="101"/>
        <v>2.4015204327992118E-2</v>
      </c>
      <c r="N177" s="162">
        <v>41050</v>
      </c>
      <c r="O177" s="161">
        <v>32.089531000000001</v>
      </c>
      <c r="P177" s="123">
        <f t="shared" si="102"/>
        <v>-1.2983288846188329E-2</v>
      </c>
      <c r="Q177" s="166">
        <v>1317.8199460000001</v>
      </c>
      <c r="R177" s="123">
        <f t="shared" si="103"/>
        <v>1.7448754270327788E-2</v>
      </c>
      <c r="T177" s="122"/>
      <c r="U177" s="154"/>
      <c r="V177" s="125"/>
      <c r="W177" s="154"/>
      <c r="X177" s="125"/>
    </row>
    <row r="178" spans="8:24" x14ac:dyDescent="0.3">
      <c r="H178" s="160">
        <v>41990</v>
      </c>
      <c r="I178" s="159">
        <v>105.570115</v>
      </c>
      <c r="J178" s="123">
        <f t="shared" si="100"/>
        <v>3.311320422730242E-2</v>
      </c>
      <c r="K178" s="165">
        <v>2012.8900149999999</v>
      </c>
      <c r="L178" s="124">
        <f t="shared" si="101"/>
        <v>2.035241603228204E-2</v>
      </c>
      <c r="N178" s="162">
        <v>41043</v>
      </c>
      <c r="O178" s="161">
        <v>32.511639000000002</v>
      </c>
      <c r="P178" s="123">
        <f t="shared" si="102"/>
        <v>-0.13995032755897238</v>
      </c>
      <c r="Q178" s="166">
        <v>1295.219971</v>
      </c>
      <c r="R178" s="123">
        <f t="shared" si="103"/>
        <v>-4.2980990959948798E-2</v>
      </c>
      <c r="T178" s="122"/>
      <c r="U178" s="154"/>
      <c r="V178" s="125"/>
      <c r="W178" s="154"/>
      <c r="X178" s="125"/>
    </row>
    <row r="179" spans="8:24" x14ac:dyDescent="0.3">
      <c r="H179" s="160">
        <v>41989</v>
      </c>
      <c r="I179" s="159">
        <v>102.186396</v>
      </c>
      <c r="J179" s="123">
        <f t="shared" si="100"/>
        <v>-8.6338050604184095E-3</v>
      </c>
      <c r="K179" s="165">
        <v>1972.73999</v>
      </c>
      <c r="L179" s="124">
        <f t="shared" si="101"/>
        <v>-8.4890230633609433E-3</v>
      </c>
      <c r="N179" s="162">
        <v>41036</v>
      </c>
      <c r="O179" s="161">
        <v>37.802047999999999</v>
      </c>
      <c r="P179" s="123">
        <f t="shared" si="102"/>
        <v>3.652261007698742E-2</v>
      </c>
      <c r="Q179" s="166">
        <v>1353.3900149999999</v>
      </c>
      <c r="R179" s="123">
        <f t="shared" si="103"/>
        <v>-1.1474663118393059E-2</v>
      </c>
      <c r="T179" s="122"/>
      <c r="U179" s="154"/>
      <c r="V179" s="125"/>
      <c r="W179" s="154"/>
      <c r="X179" s="125"/>
    </row>
    <row r="180" spans="8:24" x14ac:dyDescent="0.3">
      <c r="H180" s="160">
        <v>41988</v>
      </c>
      <c r="I180" s="159">
        <v>103.076337</v>
      </c>
      <c r="J180" s="123">
        <f t="shared" si="100"/>
        <v>-2.1773789929365201E-3</v>
      </c>
      <c r="K180" s="165">
        <v>1989.630005</v>
      </c>
      <c r="L180" s="124">
        <f t="shared" si="101"/>
        <v>-6.3425865262338689E-3</v>
      </c>
      <c r="N180" s="162">
        <v>41029</v>
      </c>
      <c r="O180" s="161">
        <v>36.470066000000003</v>
      </c>
      <c r="P180" s="123">
        <f t="shared" si="102"/>
        <v>2.5046071479394132E-2</v>
      </c>
      <c r="Q180" s="166">
        <v>1369.099976</v>
      </c>
      <c r="R180" s="123">
        <f t="shared" si="103"/>
        <v>-2.4412844434922434E-2</v>
      </c>
      <c r="T180" s="122"/>
      <c r="U180" s="154"/>
      <c r="V180" s="125"/>
      <c r="W180" s="154"/>
      <c r="X180" s="125"/>
    </row>
    <row r="181" spans="8:24" x14ac:dyDescent="0.3">
      <c r="H181" s="160">
        <v>41985</v>
      </c>
      <c r="I181" s="159">
        <v>103.30126300000001</v>
      </c>
      <c r="J181" s="123">
        <f t="shared" si="100"/>
        <v>-2.2306583397482795E-2</v>
      </c>
      <c r="K181" s="165">
        <v>2002.329956</v>
      </c>
      <c r="L181" s="124">
        <f t="shared" si="101"/>
        <v>-1.6213587336401391E-2</v>
      </c>
      <c r="N181" s="162">
        <v>41022</v>
      </c>
      <c r="O181" s="161">
        <v>35.578952999999998</v>
      </c>
      <c r="P181" s="123">
        <f t="shared" si="102"/>
        <v>-8.470070800406479E-2</v>
      </c>
      <c r="Q181" s="166">
        <v>1403.3599850000001</v>
      </c>
      <c r="R181" s="123">
        <f t="shared" si="103"/>
        <v>1.801190795822703E-2</v>
      </c>
      <c r="T181" s="122"/>
      <c r="U181" s="154"/>
      <c r="V181" s="125"/>
      <c r="W181" s="154"/>
      <c r="X181" s="125"/>
    </row>
    <row r="182" spans="8:24" x14ac:dyDescent="0.3">
      <c r="H182" s="160">
        <v>41984</v>
      </c>
      <c r="I182" s="159">
        <v>105.658135</v>
      </c>
      <c r="J182" s="123">
        <f t="shared" si="100"/>
        <v>7.5538309630305174E-3</v>
      </c>
      <c r="K182" s="165">
        <v>2035.329956</v>
      </c>
      <c r="L182" s="124">
        <f t="shared" si="101"/>
        <v>4.5356890106136574E-3</v>
      </c>
      <c r="N182" s="162">
        <v>41015</v>
      </c>
      <c r="O182" s="161">
        <v>38.871386999999999</v>
      </c>
      <c r="P182" s="123">
        <f t="shared" si="102"/>
        <v>6.201939155809677E-2</v>
      </c>
      <c r="Q182" s="166">
        <v>1378.530029</v>
      </c>
      <c r="R182" s="123">
        <f t="shared" si="103"/>
        <v>6.0353647772294306E-3</v>
      </c>
      <c r="T182" s="122"/>
      <c r="U182" s="154"/>
      <c r="V182" s="125"/>
      <c r="W182" s="154"/>
      <c r="X182" s="125"/>
    </row>
    <row r="183" spans="8:24" x14ac:dyDescent="0.3">
      <c r="H183" s="160">
        <v>41983</v>
      </c>
      <c r="I183" s="159">
        <v>104.865995</v>
      </c>
      <c r="J183" s="123">
        <f t="shared" si="100"/>
        <v>-5.2875628366021565E-3</v>
      </c>
      <c r="K183" s="165">
        <v>2026.1400149999999</v>
      </c>
      <c r="L183" s="124">
        <f t="shared" si="101"/>
        <v>-1.6350968476922346E-2</v>
      </c>
      <c r="N183" s="162">
        <v>41008</v>
      </c>
      <c r="O183" s="161">
        <v>36.601391</v>
      </c>
      <c r="P183" s="123">
        <f t="shared" si="102"/>
        <v>-1.8117801212573077E-2</v>
      </c>
      <c r="Q183" s="166">
        <v>1370.26001</v>
      </c>
      <c r="R183" s="123">
        <f t="shared" si="103"/>
        <v>-1.9898680244007497E-2</v>
      </c>
      <c r="T183" s="122"/>
      <c r="U183" s="154"/>
      <c r="V183" s="125"/>
      <c r="W183" s="154"/>
      <c r="X183" s="125"/>
    </row>
    <row r="184" spans="8:24" x14ac:dyDescent="0.3">
      <c r="H184" s="160">
        <v>41982</v>
      </c>
      <c r="I184" s="159">
        <v>105.423428</v>
      </c>
      <c r="J184" s="123">
        <f t="shared" si="100"/>
        <v>2.6178008840398673E-2</v>
      </c>
      <c r="K184" s="165">
        <v>2059.820068</v>
      </c>
      <c r="L184" s="124">
        <f t="shared" si="101"/>
        <v>-2.3782391289092772E-4</v>
      </c>
      <c r="N184" s="162">
        <v>41001</v>
      </c>
      <c r="O184" s="161">
        <v>37.276764</v>
      </c>
      <c r="P184" s="123">
        <f t="shared" si="102"/>
        <v>-3.9864584427466737E-2</v>
      </c>
      <c r="Q184" s="166">
        <v>1398.079956</v>
      </c>
      <c r="R184" s="123">
        <f t="shared" si="103"/>
        <v>-7.3768097395950439E-3</v>
      </c>
      <c r="T184" s="122"/>
      <c r="U184" s="154"/>
      <c r="V184" s="125"/>
      <c r="W184" s="154"/>
      <c r="X184" s="125"/>
    </row>
    <row r="185" spans="8:24" x14ac:dyDescent="0.3">
      <c r="H185" s="160">
        <v>41981</v>
      </c>
      <c r="I185" s="159">
        <v>102.734055</v>
      </c>
      <c r="J185" s="123">
        <f t="shared" si="100"/>
        <v>-1.9031934556546694E-4</v>
      </c>
      <c r="K185" s="165">
        <v>2060.3100589999999</v>
      </c>
      <c r="L185" s="124">
        <f t="shared" si="101"/>
        <v>-7.2565649262454068E-3</v>
      </c>
      <c r="N185" s="162">
        <v>40994</v>
      </c>
      <c r="O185" s="161">
        <v>38.824486</v>
      </c>
      <c r="P185" s="123">
        <f t="shared" si="102"/>
        <v>-2.4740788620738346E-2</v>
      </c>
      <c r="Q185" s="166">
        <v>1408.469971</v>
      </c>
      <c r="R185" s="123">
        <f t="shared" si="103"/>
        <v>8.1310606337123385E-3</v>
      </c>
      <c r="T185" s="122"/>
      <c r="U185" s="154"/>
      <c r="V185" s="125"/>
      <c r="W185" s="154"/>
      <c r="X185" s="125"/>
    </row>
    <row r="186" spans="8:24" x14ac:dyDescent="0.3">
      <c r="H186" s="160">
        <v>41978</v>
      </c>
      <c r="I186" s="159">
        <v>102.75361100000001</v>
      </c>
      <c r="J186" s="123">
        <f t="shared" si="100"/>
        <v>1.3015794850560857E-2</v>
      </c>
      <c r="K186" s="165">
        <v>2075.3701169999999</v>
      </c>
      <c r="L186" s="124">
        <f t="shared" si="101"/>
        <v>1.6652163837825649E-3</v>
      </c>
      <c r="N186" s="162">
        <v>40987</v>
      </c>
      <c r="O186" s="161">
        <v>39.809401999999999</v>
      </c>
      <c r="P186" s="123">
        <f t="shared" si="102"/>
        <v>0.1092524468007797</v>
      </c>
      <c r="Q186" s="166">
        <v>1397.1099850000001</v>
      </c>
      <c r="R186" s="123">
        <f t="shared" si="103"/>
        <v>-5.027923099604246E-3</v>
      </c>
      <c r="T186" s="122"/>
      <c r="U186" s="154"/>
      <c r="V186" s="125"/>
      <c r="W186" s="154"/>
      <c r="X186" s="125"/>
    </row>
    <row r="187" spans="8:24" x14ac:dyDescent="0.3">
      <c r="H187" s="160">
        <v>41977</v>
      </c>
      <c r="I187" s="159">
        <v>101.433375</v>
      </c>
      <c r="J187" s="123">
        <f t="shared" si="100"/>
        <v>5.6234419948177315E-3</v>
      </c>
      <c r="K187" s="165">
        <v>2071.919922</v>
      </c>
      <c r="L187" s="124">
        <f t="shared" si="101"/>
        <v>-1.1618960866265351E-3</v>
      </c>
      <c r="N187" s="162">
        <v>40980</v>
      </c>
      <c r="O187" s="161">
        <v>35.888496000000004</v>
      </c>
      <c r="P187" s="123">
        <f t="shared" si="102"/>
        <v>-5.109124056789046E-2</v>
      </c>
      <c r="Q187" s="166">
        <v>1404.170044</v>
      </c>
      <c r="R187" s="123">
        <f t="shared" si="103"/>
        <v>2.4291179412676507E-2</v>
      </c>
      <c r="T187" s="122"/>
      <c r="U187" s="154"/>
      <c r="V187" s="125"/>
      <c r="W187" s="154"/>
      <c r="X187" s="125"/>
    </row>
    <row r="188" spans="8:24" x14ac:dyDescent="0.3">
      <c r="H188" s="160">
        <v>41976</v>
      </c>
      <c r="I188" s="159">
        <v>100.86615999999999</v>
      </c>
      <c r="J188" s="123">
        <f t="shared" si="100"/>
        <v>4.0887688878432195E-3</v>
      </c>
      <c r="K188" s="165">
        <v>2074.330078</v>
      </c>
      <c r="L188" s="124">
        <f t="shared" si="101"/>
        <v>3.7647425978213091E-3</v>
      </c>
      <c r="N188" s="162">
        <v>40973</v>
      </c>
      <c r="O188" s="161">
        <v>37.820808</v>
      </c>
      <c r="P188" s="123">
        <f t="shared" si="102"/>
        <v>3.5705045391501315E-2</v>
      </c>
      <c r="Q188" s="166">
        <v>1370.869995</v>
      </c>
      <c r="R188" s="123">
        <f t="shared" si="103"/>
        <v>9.053466961685279E-4</v>
      </c>
      <c r="T188" s="122"/>
      <c r="U188" s="154"/>
      <c r="V188" s="125"/>
      <c r="W188" s="154"/>
      <c r="X188" s="125"/>
    </row>
    <row r="189" spans="8:24" x14ac:dyDescent="0.3">
      <c r="H189" s="160">
        <v>41975</v>
      </c>
      <c r="I189" s="159">
        <v>100.455421</v>
      </c>
      <c r="J189" s="123">
        <f t="shared" si="100"/>
        <v>5.580032358409791E-3</v>
      </c>
      <c r="K189" s="165">
        <v>2066.5500489999999</v>
      </c>
      <c r="L189" s="124">
        <f t="shared" si="101"/>
        <v>6.3844613802609652E-3</v>
      </c>
      <c r="N189" s="162">
        <v>40966</v>
      </c>
      <c r="O189" s="161">
        <v>36.516967999999999</v>
      </c>
      <c r="P189" s="123">
        <f t="shared" si="102"/>
        <v>-2.1367502699569704E-2</v>
      </c>
      <c r="Q189" s="166">
        <v>1369.630005</v>
      </c>
      <c r="R189" s="123">
        <f t="shared" si="103"/>
        <v>2.8482837351785739E-3</v>
      </c>
      <c r="T189" s="122"/>
      <c r="U189" s="154"/>
      <c r="V189" s="125"/>
      <c r="W189" s="154"/>
      <c r="X189" s="125"/>
    </row>
    <row r="190" spans="8:24" x14ac:dyDescent="0.3">
      <c r="H190" s="160">
        <v>41974</v>
      </c>
      <c r="I190" s="159">
        <v>99.897987000000001</v>
      </c>
      <c r="J190" s="123">
        <f t="shared" si="100"/>
        <v>-1.0845314467472882E-2</v>
      </c>
      <c r="K190" s="165">
        <v>2053.4399410000001</v>
      </c>
      <c r="L190" s="124">
        <f t="shared" si="101"/>
        <v>-6.8293629191256405E-3</v>
      </c>
      <c r="N190" s="162">
        <v>40960</v>
      </c>
      <c r="O190" s="161">
        <v>37.314281000000001</v>
      </c>
      <c r="P190" s="123">
        <f t="shared" si="102"/>
        <v>-1.6563690041152313E-2</v>
      </c>
      <c r="Q190" s="166">
        <v>1365.73999</v>
      </c>
      <c r="R190" s="123">
        <f t="shared" si="103"/>
        <v>3.3131873866016127E-3</v>
      </c>
      <c r="T190" s="122"/>
      <c r="U190" s="154"/>
      <c r="V190" s="125"/>
      <c r="W190" s="154"/>
      <c r="X190" s="125"/>
    </row>
    <row r="191" spans="8:24" x14ac:dyDescent="0.3">
      <c r="H191" s="160">
        <v>41971</v>
      </c>
      <c r="I191" s="159">
        <v>100.993291</v>
      </c>
      <c r="J191" s="123">
        <f t="shared" si="100"/>
        <v>-3.8584112987556465E-3</v>
      </c>
      <c r="K191" s="165">
        <v>2067.5600589999999</v>
      </c>
      <c r="L191" s="124">
        <f t="shared" si="101"/>
        <v>-2.5424269243935816E-3</v>
      </c>
      <c r="N191" s="162">
        <v>40952</v>
      </c>
      <c r="O191" s="161">
        <v>37.942753000000003</v>
      </c>
      <c r="P191" s="123">
        <f t="shared" si="102"/>
        <v>4.8742535887181769E-2</v>
      </c>
      <c r="Q191" s="166">
        <v>1361.2299800000001</v>
      </c>
      <c r="R191" s="123">
        <f t="shared" si="103"/>
        <v>1.3845829702908208E-2</v>
      </c>
      <c r="T191" s="122"/>
      <c r="U191" s="154"/>
      <c r="V191" s="125"/>
      <c r="W191" s="154"/>
      <c r="X191" s="125"/>
    </row>
    <row r="192" spans="8:24" x14ac:dyDescent="0.3">
      <c r="H192" s="160">
        <v>41969</v>
      </c>
      <c r="I192" s="159">
        <v>101.384474</v>
      </c>
      <c r="J192" s="123">
        <f t="shared" si="100"/>
        <v>1.0133499421789316E-2</v>
      </c>
      <c r="K192" s="165">
        <v>2072.830078</v>
      </c>
      <c r="L192" s="124">
        <f t="shared" si="101"/>
        <v>2.8059819734723092E-3</v>
      </c>
      <c r="N192" s="162">
        <v>40945</v>
      </c>
      <c r="O192" s="161">
        <v>36.179282999999998</v>
      </c>
      <c r="P192" s="123">
        <f t="shared" si="102"/>
        <v>-2.5919719664692137E-4</v>
      </c>
      <c r="Q192" s="166">
        <v>1342.6400149999999</v>
      </c>
      <c r="R192" s="123">
        <f t="shared" si="103"/>
        <v>-1.6804289981930151E-3</v>
      </c>
      <c r="T192" s="122"/>
      <c r="U192" s="154"/>
      <c r="V192" s="125"/>
      <c r="W192" s="154"/>
      <c r="X192" s="125"/>
    </row>
    <row r="193" spans="8:25" x14ac:dyDescent="0.3">
      <c r="H193" s="160">
        <v>41968</v>
      </c>
      <c r="I193" s="159">
        <v>100.367401</v>
      </c>
      <c r="J193" s="123">
        <f t="shared" si="100"/>
        <v>-1.2651334092379514E-3</v>
      </c>
      <c r="K193" s="165">
        <v>2067.030029</v>
      </c>
      <c r="L193" s="124">
        <f t="shared" si="101"/>
        <v>-1.1500297675195747E-3</v>
      </c>
      <c r="N193" s="162">
        <v>40938</v>
      </c>
      <c r="O193" s="161">
        <v>36.188662999999998</v>
      </c>
      <c r="P193" s="123">
        <f t="shared" si="102"/>
        <v>4.1295555342371518E-2</v>
      </c>
      <c r="Q193" s="166">
        <v>1344.900024</v>
      </c>
      <c r="R193" s="123">
        <f t="shared" si="103"/>
        <v>2.1704336264455559E-2</v>
      </c>
      <c r="T193" s="122"/>
      <c r="U193" s="154"/>
      <c r="V193" s="125"/>
      <c r="W193" s="154"/>
      <c r="X193" s="125"/>
    </row>
    <row r="194" spans="8:25" x14ac:dyDescent="0.3">
      <c r="H194" s="160">
        <v>41967</v>
      </c>
      <c r="I194" s="159">
        <v>100.49454</v>
      </c>
      <c r="J194" s="123">
        <f t="shared" si="100"/>
        <v>1.0422861917540525E-2</v>
      </c>
      <c r="K194" s="165">
        <v>2069.4099120000001</v>
      </c>
      <c r="L194" s="124">
        <f t="shared" si="101"/>
        <v>2.8640232614490315E-3</v>
      </c>
      <c r="N194" s="162">
        <v>40931</v>
      </c>
      <c r="O194" s="161">
        <v>34.753498</v>
      </c>
      <c r="P194" s="123">
        <f t="shared" si="102"/>
        <v>6.9264110819623761E-2</v>
      </c>
      <c r="Q194" s="166">
        <v>1316.329956</v>
      </c>
      <c r="R194" s="123">
        <f t="shared" si="103"/>
        <v>7.2218750200635402E-4</v>
      </c>
      <c r="T194" s="122"/>
      <c r="U194" s="154"/>
      <c r="V194" s="125"/>
      <c r="W194" s="154"/>
      <c r="X194" s="125"/>
    </row>
    <row r="195" spans="8:25" x14ac:dyDescent="0.3">
      <c r="H195" s="160">
        <v>41964</v>
      </c>
      <c r="I195" s="159">
        <v>99.457903999999999</v>
      </c>
      <c r="J195" s="123">
        <f t="shared" si="100"/>
        <v>-6.8781778013380203E-4</v>
      </c>
      <c r="K195" s="165">
        <v>2063.5</v>
      </c>
      <c r="L195" s="124">
        <f t="shared" si="101"/>
        <v>5.2368773596395083E-3</v>
      </c>
      <c r="N195" s="162">
        <v>40925</v>
      </c>
      <c r="O195" s="161">
        <v>32.502257999999998</v>
      </c>
      <c r="P195" s="123">
        <f t="shared" si="102"/>
        <v>3.89805119017817E-2</v>
      </c>
      <c r="Q195" s="166">
        <v>1315.380005</v>
      </c>
      <c r="R195" s="123">
        <f t="shared" si="103"/>
        <v>2.0394262381528753E-2</v>
      </c>
      <c r="T195" s="122"/>
      <c r="U195" s="154"/>
      <c r="V195" s="125"/>
      <c r="W195" s="154"/>
      <c r="X195" s="125"/>
    </row>
    <row r="196" spans="8:25" x14ac:dyDescent="0.3">
      <c r="H196" s="160">
        <v>41963</v>
      </c>
      <c r="I196" s="159">
        <v>99.526359999999997</v>
      </c>
      <c r="J196" s="123">
        <f t="shared" si="100"/>
        <v>1.8616681056402906E-2</v>
      </c>
      <c r="K196" s="165">
        <v>2052.75</v>
      </c>
      <c r="L196" s="124">
        <f t="shared" si="101"/>
        <v>1.9670960682991326E-3</v>
      </c>
      <c r="N196" s="162">
        <v>40917</v>
      </c>
      <c r="O196" s="161">
        <v>31.282837000000001</v>
      </c>
      <c r="P196" s="123">
        <f t="shared" si="102"/>
        <v>-4.1804393827217278E-3</v>
      </c>
      <c r="Q196" s="166">
        <v>1289.089966</v>
      </c>
      <c r="R196" s="123">
        <f t="shared" si="103"/>
        <v>8.8275302894607246E-3</v>
      </c>
      <c r="T196" s="122"/>
      <c r="U196" s="154"/>
      <c r="V196" s="125"/>
      <c r="W196" s="154"/>
      <c r="X196" s="125"/>
    </row>
    <row r="197" spans="8:25" x14ac:dyDescent="0.3">
      <c r="H197" s="160">
        <v>41962</v>
      </c>
      <c r="I197" s="159">
        <v>97.707373000000004</v>
      </c>
      <c r="J197" s="123">
        <f t="shared" si="100"/>
        <v>-4.7813135298469325E-3</v>
      </c>
      <c r="K197" s="165">
        <v>2048.719971</v>
      </c>
      <c r="L197" s="124">
        <f t="shared" si="101"/>
        <v>-1.501158946507052E-3</v>
      </c>
      <c r="N197" s="162">
        <v>40911</v>
      </c>
      <c r="O197" s="161">
        <v>31.414162000000001</v>
      </c>
      <c r="P197" s="123">
        <f t="shared" si="102"/>
        <v>8.2067921921903139E-2</v>
      </c>
      <c r="Q197" s="166">
        <v>1277.8100589999999</v>
      </c>
      <c r="R197" s="123">
        <f t="shared" si="103"/>
        <v>1.6070358926279067E-2</v>
      </c>
      <c r="T197" s="122"/>
      <c r="U197" s="154"/>
      <c r="V197" s="125"/>
      <c r="W197" s="154"/>
      <c r="X197" s="125"/>
    </row>
    <row r="198" spans="8:25" x14ac:dyDescent="0.3">
      <c r="H198" s="160">
        <v>41961</v>
      </c>
      <c r="I198" s="159">
        <v>98.176787000000004</v>
      </c>
      <c r="J198" s="123">
        <f t="shared" si="100"/>
        <v>1.8774095306934954E-2</v>
      </c>
      <c r="K198" s="165">
        <v>2051.8000489999999</v>
      </c>
      <c r="L198" s="124">
        <f t="shared" si="101"/>
        <v>5.1339835387077884E-3</v>
      </c>
      <c r="N198" s="162">
        <v>40904</v>
      </c>
      <c r="O198" s="161">
        <v>29.031599</v>
      </c>
      <c r="P198" s="123">
        <f t="shared" si="102"/>
        <v>-3.7025475492653059E-2</v>
      </c>
      <c r="Q198" s="166">
        <v>1257.599976</v>
      </c>
      <c r="R198" s="123">
        <f t="shared" si="103"/>
        <v>-6.1090626704486785E-3</v>
      </c>
      <c r="T198" s="122"/>
      <c r="U198" s="154"/>
      <c r="V198" s="125"/>
      <c r="W198" s="154"/>
      <c r="X198" s="125"/>
    </row>
    <row r="199" spans="8:25" x14ac:dyDescent="0.3">
      <c r="H199" s="160">
        <v>41960</v>
      </c>
      <c r="I199" s="159">
        <v>96.367572999999993</v>
      </c>
      <c r="J199" s="123">
        <f t="shared" si="100"/>
        <v>1.3209727361808193E-3</v>
      </c>
      <c r="K199" s="165">
        <v>2041.3199460000001</v>
      </c>
      <c r="L199" s="124">
        <f t="shared" si="101"/>
        <v>7.353590217320093E-4</v>
      </c>
      <c r="N199" s="162">
        <v>40896</v>
      </c>
      <c r="O199" s="161">
        <v>30.147836999999999</v>
      </c>
      <c r="P199" s="123">
        <f t="shared" si="102"/>
        <v>3.8449070614401885E-2</v>
      </c>
      <c r="Q199" s="166">
        <v>1265.329956</v>
      </c>
      <c r="R199" s="123">
        <f t="shared" si="103"/>
        <v>3.744479668668068E-2</v>
      </c>
      <c r="T199" s="122"/>
      <c r="U199" s="154"/>
      <c r="V199" s="125"/>
      <c r="W199" s="154"/>
      <c r="X199" s="125"/>
    </row>
    <row r="200" spans="8:25" x14ac:dyDescent="0.3">
      <c r="H200" s="160">
        <v>41957</v>
      </c>
      <c r="I200" s="159">
        <v>96.240442000000002</v>
      </c>
      <c r="J200" s="123">
        <f t="shared" si="100"/>
        <v>5.9286700970168438E-3</v>
      </c>
      <c r="K200" s="165">
        <v>2039.8199460000001</v>
      </c>
      <c r="L200" s="124">
        <f t="shared" si="101"/>
        <v>2.4027009388961985E-4</v>
      </c>
      <c r="N200" s="162">
        <v>40889</v>
      </c>
      <c r="O200" s="161">
        <v>29.031599</v>
      </c>
      <c r="P200" s="123">
        <f t="shared" si="102"/>
        <v>-4.4163093340613448E-2</v>
      </c>
      <c r="Q200" s="166">
        <v>1219.660034</v>
      </c>
      <c r="R200" s="123">
        <f t="shared" si="103"/>
        <v>-2.8306398768375797E-2</v>
      </c>
      <c r="T200" s="122"/>
      <c r="U200" s="154"/>
      <c r="V200" s="125"/>
      <c r="W200" s="154"/>
      <c r="X200" s="125"/>
    </row>
    <row r="201" spans="8:25" x14ac:dyDescent="0.3">
      <c r="H201" s="160">
        <v>41956</v>
      </c>
      <c r="I201" s="159">
        <v>95.673226999999997</v>
      </c>
      <c r="J201" s="123">
        <f t="shared" si="100"/>
        <v>2.0485950049535925E-3</v>
      </c>
      <c r="K201" s="165">
        <v>2039.329956</v>
      </c>
      <c r="L201" s="124">
        <f t="shared" si="101"/>
        <v>5.2984471973508568E-4</v>
      </c>
      <c r="N201" s="162">
        <v>40882</v>
      </c>
      <c r="O201" s="161">
        <v>30.372962999999999</v>
      </c>
      <c r="P201" s="123">
        <f t="shared" si="102"/>
        <v>2.9898212444730992E-2</v>
      </c>
      <c r="Q201" s="166">
        <v>1255.1899410000001</v>
      </c>
      <c r="R201" s="123">
        <f t="shared" si="103"/>
        <v>8.7680520025449002E-3</v>
      </c>
      <c r="T201" s="122"/>
      <c r="U201" s="154"/>
      <c r="V201" s="125"/>
      <c r="W201" s="154"/>
      <c r="X201" s="125"/>
    </row>
    <row r="202" spans="8:25" x14ac:dyDescent="0.3">
      <c r="H202" s="160">
        <v>41955</v>
      </c>
      <c r="I202" s="159">
        <v>95.477632</v>
      </c>
      <c r="J202" s="123">
        <f t="shared" ref="J202:J265" si="104">(I202-I203)/I203</f>
        <v>7.0139289364454958E-3</v>
      </c>
      <c r="K202" s="165">
        <v>2038.25</v>
      </c>
      <c r="L202" s="124">
        <f t="shared" ref="L202:L265" si="105">(K202-K203)/K203</f>
        <v>-7.0111682329562428E-4</v>
      </c>
      <c r="N202" s="162">
        <v>40875</v>
      </c>
      <c r="O202" s="161">
        <v>29.491228</v>
      </c>
      <c r="P202" s="123">
        <f t="shared" ref="P202:P217" si="106">(O202-O203)/O203</f>
        <v>0.25760005062599556</v>
      </c>
      <c r="Q202" s="166">
        <v>1244.280029</v>
      </c>
      <c r="R202" s="123">
        <f t="shared" ref="R202:R217" si="107">(Q202-Q203)/Q203</f>
        <v>7.3886423010000646E-2</v>
      </c>
      <c r="T202" s="122"/>
      <c r="U202" s="154"/>
      <c r="V202" s="125"/>
      <c r="W202" s="154"/>
      <c r="X202" s="125"/>
    </row>
    <row r="203" spans="8:25" x14ac:dyDescent="0.3">
      <c r="H203" s="160">
        <v>41954</v>
      </c>
      <c r="I203" s="159">
        <v>94.812623000000002</v>
      </c>
      <c r="J203" s="123">
        <f t="shared" si="104"/>
        <v>-7.0667952853639623E-3</v>
      </c>
      <c r="K203" s="165">
        <v>2039.6800539999999</v>
      </c>
      <c r="L203" s="124">
        <f t="shared" si="105"/>
        <v>6.9669423578592495E-4</v>
      </c>
      <c r="N203" s="162">
        <v>40868</v>
      </c>
      <c r="O203" s="161">
        <v>23.450403000000001</v>
      </c>
      <c r="P203" s="123">
        <f t="shared" si="106"/>
        <v>-3.9938604617115882E-2</v>
      </c>
      <c r="Q203" s="166">
        <v>1158.670044</v>
      </c>
      <c r="R203" s="123">
        <f t="shared" si="107"/>
        <v>-4.6872026385120252E-2</v>
      </c>
      <c r="S203" s="3"/>
      <c r="T203" s="150"/>
      <c r="U203" s="154"/>
      <c r="V203" s="125"/>
      <c r="W203" s="154"/>
      <c r="X203" s="125"/>
      <c r="Y203" s="3"/>
    </row>
    <row r="204" spans="8:25" x14ac:dyDescent="0.3">
      <c r="H204" s="160">
        <v>41953</v>
      </c>
      <c r="I204" s="159">
        <v>95.487413000000004</v>
      </c>
      <c r="J204" s="123">
        <f t="shared" si="104"/>
        <v>-6.1410154228390618E-4</v>
      </c>
      <c r="K204" s="165">
        <v>2038.26001</v>
      </c>
      <c r="L204" s="124">
        <f t="shared" si="105"/>
        <v>3.1201847822315215E-3</v>
      </c>
      <c r="N204" s="162">
        <v>40861</v>
      </c>
      <c r="O204" s="161">
        <v>24.425941000000002</v>
      </c>
      <c r="P204" s="123">
        <f t="shared" si="106"/>
        <v>-2.178811445258879E-2</v>
      </c>
      <c r="Q204" s="166">
        <v>1215.650024</v>
      </c>
      <c r="R204" s="123">
        <f t="shared" si="107"/>
        <v>-3.8137399940892935E-2</v>
      </c>
      <c r="S204" s="3"/>
      <c r="T204" s="150"/>
      <c r="U204" s="154"/>
      <c r="V204" s="125"/>
      <c r="W204" s="154"/>
      <c r="X204" s="125"/>
      <c r="Y204" s="3"/>
    </row>
    <row r="205" spans="8:25" x14ac:dyDescent="0.3">
      <c r="H205" s="160">
        <v>41950</v>
      </c>
      <c r="I205" s="159">
        <v>95.546087999999997</v>
      </c>
      <c r="J205" s="123">
        <f t="shared" si="104"/>
        <v>-1.7370590832660098E-3</v>
      </c>
      <c r="K205" s="165">
        <v>2031.920044</v>
      </c>
      <c r="L205" s="124">
        <f t="shared" si="105"/>
        <v>3.4958621394823915E-4</v>
      </c>
      <c r="N205" s="162">
        <v>40854</v>
      </c>
      <c r="O205" s="161">
        <v>24.969989999999999</v>
      </c>
      <c r="P205" s="123">
        <f t="shared" si="106"/>
        <v>-4.758491926209734E-2</v>
      </c>
      <c r="Q205" s="166">
        <v>1263.849976</v>
      </c>
      <c r="R205" s="123">
        <f t="shared" si="107"/>
        <v>8.4740998615432904E-3</v>
      </c>
      <c r="S205" s="3"/>
      <c r="T205" s="150"/>
      <c r="U205" s="154"/>
      <c r="V205" s="125"/>
      <c r="W205" s="154"/>
      <c r="X205" s="125"/>
      <c r="Y205" s="3"/>
    </row>
    <row r="206" spans="8:25" x14ac:dyDescent="0.3">
      <c r="H206" s="160">
        <v>41949</v>
      </c>
      <c r="I206" s="159">
        <v>95.712345999999997</v>
      </c>
      <c r="J206" s="123">
        <f t="shared" si="104"/>
        <v>-3.3669000016305461E-2</v>
      </c>
      <c r="K206" s="165">
        <v>2031.209961</v>
      </c>
      <c r="L206" s="124">
        <f t="shared" si="105"/>
        <v>3.775513179122867E-3</v>
      </c>
      <c r="N206" s="162">
        <v>40847</v>
      </c>
      <c r="O206" s="161">
        <v>26.217549999999999</v>
      </c>
      <c r="P206" s="123">
        <f t="shared" si="106"/>
        <v>2.3809505214028196E-2</v>
      </c>
      <c r="Q206" s="166">
        <v>1253.2299800000001</v>
      </c>
      <c r="R206" s="123">
        <f t="shared" si="107"/>
        <v>-2.4792027673492811E-2</v>
      </c>
      <c r="S206" s="3"/>
      <c r="T206" s="150"/>
      <c r="U206" s="154"/>
      <c r="V206" s="125"/>
      <c r="W206" s="154"/>
      <c r="X206" s="125"/>
      <c r="Y206" s="3"/>
    </row>
    <row r="207" spans="8:25" x14ac:dyDescent="0.3">
      <c r="H207" s="160">
        <v>41948</v>
      </c>
      <c r="I207" s="159">
        <v>99.047165000000007</v>
      </c>
      <c r="J207" s="123">
        <f t="shared" si="104"/>
        <v>1.2799990510799776E-2</v>
      </c>
      <c r="K207" s="165">
        <v>2023.5699460000001</v>
      </c>
      <c r="L207" s="124">
        <f t="shared" si="105"/>
        <v>5.7004970611858417E-3</v>
      </c>
      <c r="N207" s="162">
        <v>40840</v>
      </c>
      <c r="O207" s="161">
        <v>25.607839999999999</v>
      </c>
      <c r="P207" s="123">
        <f t="shared" si="106"/>
        <v>5.1213005500717397E-2</v>
      </c>
      <c r="Q207" s="166">
        <v>1285.089966</v>
      </c>
      <c r="R207" s="123">
        <f t="shared" si="107"/>
        <v>3.7827551786795886E-2</v>
      </c>
      <c r="S207" s="3"/>
      <c r="T207" s="150"/>
      <c r="U207" s="154"/>
      <c r="V207" s="125"/>
      <c r="W207" s="154"/>
      <c r="X207" s="125"/>
      <c r="Y207" s="3"/>
    </row>
    <row r="208" spans="8:25" x14ac:dyDescent="0.3">
      <c r="H208" s="160">
        <v>41947</v>
      </c>
      <c r="I208" s="159">
        <v>97.795384999999996</v>
      </c>
      <c r="J208" s="123">
        <f t="shared" si="104"/>
        <v>-7.4441749046683494E-3</v>
      </c>
      <c r="K208" s="165">
        <v>2012.099976</v>
      </c>
      <c r="L208" s="124">
        <f t="shared" si="105"/>
        <v>-2.8298416763913757E-3</v>
      </c>
      <c r="N208" s="162">
        <v>40833</v>
      </c>
      <c r="O208" s="161">
        <v>24.360277</v>
      </c>
      <c r="P208" s="123">
        <f t="shared" si="106"/>
        <v>-8.3627483309307027E-2</v>
      </c>
      <c r="Q208" s="166">
        <v>1238.25</v>
      </c>
      <c r="R208" s="123">
        <f t="shared" si="107"/>
        <v>1.1163047323305985E-2</v>
      </c>
      <c r="S208" s="3"/>
      <c r="T208" s="150"/>
      <c r="U208" s="154"/>
      <c r="V208" s="125"/>
      <c r="W208" s="154"/>
      <c r="X208" s="125"/>
      <c r="Y208" s="3"/>
    </row>
    <row r="209" spans="8:25" x14ac:dyDescent="0.3">
      <c r="H209" s="160">
        <v>41946</v>
      </c>
      <c r="I209" s="159">
        <v>98.528851000000003</v>
      </c>
      <c r="J209" s="123">
        <f t="shared" si="104"/>
        <v>2.4194345019558628E-2</v>
      </c>
      <c r="K209" s="165">
        <v>2017.8100589999999</v>
      </c>
      <c r="L209" s="124">
        <f t="shared" si="105"/>
        <v>-1.1892172848684109E-4</v>
      </c>
      <c r="N209" s="162">
        <v>40826</v>
      </c>
      <c r="O209" s="161">
        <v>26.583378</v>
      </c>
      <c r="P209" s="123">
        <f t="shared" si="106"/>
        <v>5.196735041791397E-2</v>
      </c>
      <c r="Q209" s="166">
        <v>1224.579956</v>
      </c>
      <c r="R209" s="123">
        <f t="shared" si="107"/>
        <v>5.9820328988448621E-2</v>
      </c>
      <c r="S209" s="3"/>
      <c r="T209" s="150"/>
      <c r="U209" s="154"/>
      <c r="V209" s="125"/>
      <c r="W209" s="154"/>
      <c r="X209" s="125"/>
      <c r="Y209" s="3"/>
    </row>
    <row r="210" spans="8:25" x14ac:dyDescent="0.3">
      <c r="H210" s="160">
        <v>41943</v>
      </c>
      <c r="I210" s="159">
        <v>96.201323000000002</v>
      </c>
      <c r="J210" s="123">
        <f t="shared" si="104"/>
        <v>3.3406877877016981E-2</v>
      </c>
      <c r="K210" s="165">
        <v>2018.0500489999999</v>
      </c>
      <c r="L210" s="124">
        <f t="shared" si="105"/>
        <v>1.1731393837739183E-2</v>
      </c>
      <c r="N210" s="162">
        <v>40819</v>
      </c>
      <c r="O210" s="161">
        <v>25.270154999999999</v>
      </c>
      <c r="P210" s="123">
        <f t="shared" si="106"/>
        <v>4.7433960046214446E-2</v>
      </c>
      <c r="Q210" s="166">
        <v>1155.459961</v>
      </c>
      <c r="R210" s="123">
        <f t="shared" si="107"/>
        <v>2.1247561528970102E-2</v>
      </c>
      <c r="S210" s="3"/>
      <c r="T210" s="150"/>
      <c r="U210" s="154"/>
      <c r="V210" s="125"/>
      <c r="W210" s="154"/>
      <c r="X210" s="125"/>
      <c r="Y210" s="3"/>
    </row>
    <row r="211" spans="8:25" x14ac:dyDescent="0.3">
      <c r="H211" s="160">
        <v>41942</v>
      </c>
      <c r="I211" s="159">
        <v>93.091429000000005</v>
      </c>
      <c r="J211" s="123">
        <f t="shared" si="104"/>
        <v>-6.263687816375622E-3</v>
      </c>
      <c r="K211" s="165">
        <v>1994.650024</v>
      </c>
      <c r="L211" s="124">
        <f t="shared" si="105"/>
        <v>6.2301239442687853E-3</v>
      </c>
      <c r="N211" s="162">
        <v>40812</v>
      </c>
      <c r="O211" s="161">
        <v>24.125774</v>
      </c>
      <c r="P211" s="123">
        <f t="shared" si="106"/>
        <v>-2.7231522800135029E-2</v>
      </c>
      <c r="Q211" s="166">
        <v>1131.420044</v>
      </c>
      <c r="R211" s="123">
        <f t="shared" si="107"/>
        <v>-4.4085511311195633E-3</v>
      </c>
      <c r="S211" s="3"/>
      <c r="T211" s="150"/>
      <c r="U211" s="154"/>
      <c r="V211" s="125"/>
      <c r="W211" s="154"/>
      <c r="X211" s="125"/>
      <c r="Y211" s="3"/>
    </row>
    <row r="212" spans="8:25" x14ac:dyDescent="0.3">
      <c r="H212" s="160">
        <v>41941</v>
      </c>
      <c r="I212" s="159">
        <v>93.678200000000004</v>
      </c>
      <c r="J212" s="123">
        <f t="shared" si="104"/>
        <v>2.9114729228318564E-2</v>
      </c>
      <c r="K212" s="165">
        <v>1982.3000489999999</v>
      </c>
      <c r="L212" s="124">
        <f t="shared" si="105"/>
        <v>-1.3853554984094006E-3</v>
      </c>
      <c r="N212" s="162">
        <v>40805</v>
      </c>
      <c r="O212" s="161">
        <v>24.801147</v>
      </c>
      <c r="P212" s="123">
        <f t="shared" si="106"/>
        <v>-0.12071827329535005</v>
      </c>
      <c r="Q212" s="166">
        <v>1136.4300539999999</v>
      </c>
      <c r="R212" s="123">
        <f t="shared" si="107"/>
        <v>-6.5443504038260381E-2</v>
      </c>
      <c r="S212" s="3"/>
      <c r="T212" s="150"/>
      <c r="U212" s="154"/>
      <c r="V212" s="125"/>
      <c r="W212" s="154"/>
      <c r="X212" s="125"/>
      <c r="Y212" s="3"/>
    </row>
    <row r="213" spans="8:25" x14ac:dyDescent="0.3">
      <c r="H213" s="160">
        <v>41940</v>
      </c>
      <c r="I213" s="159">
        <v>91.027946</v>
      </c>
      <c r="J213" s="123">
        <f t="shared" si="104"/>
        <v>1.398656449771669E-3</v>
      </c>
      <c r="K213" s="165">
        <v>1985.0500489999999</v>
      </c>
      <c r="L213" s="124">
        <f t="shared" si="105"/>
        <v>1.1939073087332778E-2</v>
      </c>
      <c r="N213" s="162">
        <v>40798</v>
      </c>
      <c r="O213" s="161">
        <v>28.206143999999998</v>
      </c>
      <c r="P213" s="123">
        <f t="shared" si="106"/>
        <v>5.6570628834993419E-2</v>
      </c>
      <c r="Q213" s="166">
        <v>1216.01001</v>
      </c>
      <c r="R213" s="123">
        <f t="shared" si="107"/>
        <v>5.3524887648473567E-2</v>
      </c>
      <c r="S213" s="3"/>
      <c r="T213" s="150"/>
      <c r="U213" s="154"/>
      <c r="V213" s="125"/>
      <c r="W213" s="154"/>
      <c r="X213" s="125"/>
      <c r="Y213" s="3"/>
    </row>
    <row r="214" spans="8:25" x14ac:dyDescent="0.3">
      <c r="H214" s="160">
        <v>41939</v>
      </c>
      <c r="I214" s="159">
        <v>90.900807</v>
      </c>
      <c r="J214" s="123">
        <f t="shared" si="104"/>
        <v>1.3852492731639958E-2</v>
      </c>
      <c r="K214" s="165">
        <v>1961.630005</v>
      </c>
      <c r="L214" s="124">
        <f t="shared" si="105"/>
        <v>-1.5015683077650496E-3</v>
      </c>
      <c r="N214" s="162">
        <v>40792</v>
      </c>
      <c r="O214" s="161">
        <v>26.695938000000002</v>
      </c>
      <c r="P214" s="123">
        <f t="shared" si="106"/>
        <v>3.7171994954614353E-2</v>
      </c>
      <c r="Q214" s="166">
        <v>1154.2299800000001</v>
      </c>
      <c r="R214" s="123">
        <f t="shared" si="107"/>
        <v>-1.6814732478365853E-2</v>
      </c>
      <c r="S214" s="3"/>
      <c r="T214" s="150"/>
      <c r="U214" s="154"/>
      <c r="V214" s="125"/>
      <c r="W214" s="154"/>
      <c r="X214" s="125"/>
      <c r="Y214" s="3"/>
    </row>
    <row r="215" spans="8:25" x14ac:dyDescent="0.3">
      <c r="H215" s="160">
        <v>41936</v>
      </c>
      <c r="I215" s="159">
        <v>89.658809000000005</v>
      </c>
      <c r="J215" s="123">
        <f t="shared" si="104"/>
        <v>1.2032270871202266E-2</v>
      </c>
      <c r="K215" s="165">
        <v>1964.579956</v>
      </c>
      <c r="L215" s="124">
        <f t="shared" si="105"/>
        <v>7.0534495139921872E-3</v>
      </c>
      <c r="N215" s="162">
        <v>40784</v>
      </c>
      <c r="O215" s="161">
        <v>25.739162</v>
      </c>
      <c r="P215" s="123">
        <f t="shared" si="106"/>
        <v>-3.0045963902667411E-2</v>
      </c>
      <c r="Q215" s="166">
        <v>1173.969971</v>
      </c>
      <c r="R215" s="123">
        <f t="shared" si="107"/>
        <v>-2.4048928298438213E-3</v>
      </c>
      <c r="S215" s="3"/>
      <c r="T215" s="150"/>
      <c r="U215" s="154"/>
      <c r="V215" s="125"/>
      <c r="W215" s="154"/>
      <c r="X215" s="125"/>
      <c r="Y215" s="3"/>
    </row>
    <row r="216" spans="8:25" x14ac:dyDescent="0.3">
      <c r="H216" s="160">
        <v>41935</v>
      </c>
      <c r="I216" s="159">
        <v>88.592836000000005</v>
      </c>
      <c r="J216" s="123">
        <f t="shared" si="104"/>
        <v>1.4786602042976552E-2</v>
      </c>
      <c r="K216" s="165">
        <v>1950.8199460000001</v>
      </c>
      <c r="L216" s="124">
        <f t="shared" si="105"/>
        <v>1.2303377173358386E-2</v>
      </c>
      <c r="N216" s="162">
        <v>40777</v>
      </c>
      <c r="O216" s="161">
        <v>26.536476</v>
      </c>
      <c r="P216" s="123">
        <f t="shared" si="106"/>
        <v>7.1185144023297037E-2</v>
      </c>
      <c r="Q216" s="166">
        <v>1176.8000489999999</v>
      </c>
      <c r="R216" s="123">
        <f t="shared" si="107"/>
        <v>4.7413080758876569E-2</v>
      </c>
      <c r="S216" s="3"/>
      <c r="T216" s="150"/>
      <c r="U216" s="154"/>
      <c r="V216" s="125"/>
      <c r="W216" s="154"/>
      <c r="X216" s="125"/>
      <c r="Y216" s="3"/>
    </row>
    <row r="217" spans="8:25" x14ac:dyDescent="0.3">
      <c r="H217" s="160">
        <v>41934</v>
      </c>
      <c r="I217" s="159">
        <v>87.301936999999995</v>
      </c>
      <c r="J217" s="123">
        <f t="shared" si="104"/>
        <v>-1.5549229700714779E-2</v>
      </c>
      <c r="K217" s="165">
        <v>1927.1099850000001</v>
      </c>
      <c r="L217" s="124">
        <f t="shared" si="105"/>
        <v>-7.2993302297037956E-3</v>
      </c>
      <c r="N217" s="162">
        <v>40770</v>
      </c>
      <c r="O217" s="161">
        <v>24.773005999999999</v>
      </c>
      <c r="P217" s="123">
        <f t="shared" si="106"/>
        <v>-0.13973943761551516</v>
      </c>
      <c r="Q217" s="166">
        <v>1123.530029</v>
      </c>
      <c r="R217" s="123">
        <f t="shared" si="107"/>
        <v>-4.6894772892330655E-2</v>
      </c>
      <c r="S217" s="3"/>
      <c r="T217" s="150"/>
      <c r="U217" s="154"/>
      <c r="V217" s="125"/>
      <c r="W217" s="154"/>
      <c r="X217" s="125"/>
      <c r="Y217" s="3"/>
    </row>
    <row r="218" spans="8:25" x14ac:dyDescent="0.3">
      <c r="H218" s="160">
        <v>41933</v>
      </c>
      <c r="I218" s="159">
        <v>88.680856000000006</v>
      </c>
      <c r="J218" s="123">
        <f t="shared" si="104"/>
        <v>3.2449031267012075E-2</v>
      </c>
      <c r="K218" s="165">
        <v>1941.280029</v>
      </c>
      <c r="L218" s="124">
        <f t="shared" si="105"/>
        <v>1.9574486900938114E-2</v>
      </c>
      <c r="N218" s="162">
        <v>40767</v>
      </c>
      <c r="O218" s="161">
        <v>28.797096</v>
      </c>
      <c r="P218" s="125"/>
      <c r="Q218" s="166">
        <v>1178.8100589999999</v>
      </c>
      <c r="R218" s="125"/>
      <c r="S218" s="3"/>
      <c r="T218" s="150"/>
      <c r="U218" s="154"/>
      <c r="V218" s="125"/>
      <c r="W218" s="154"/>
      <c r="X218" s="125"/>
      <c r="Y218" s="3"/>
    </row>
    <row r="219" spans="8:25" x14ac:dyDescent="0.3">
      <c r="H219" s="160">
        <v>41932</v>
      </c>
      <c r="I219" s="159">
        <v>85.893688999999995</v>
      </c>
      <c r="J219" s="123">
        <f t="shared" si="104"/>
        <v>1.1400343800117695E-2</v>
      </c>
      <c r="K219" s="165">
        <v>1904.01001</v>
      </c>
      <c r="L219" s="124">
        <f t="shared" si="105"/>
        <v>9.1426572052478467E-3</v>
      </c>
      <c r="N219" s="150"/>
      <c r="O219" s="154"/>
      <c r="P219" s="125"/>
      <c r="Q219" s="154"/>
      <c r="R219" s="125"/>
      <c r="S219" s="3"/>
      <c r="T219" s="150"/>
      <c r="U219" s="154"/>
      <c r="V219" s="125"/>
      <c r="W219" s="154"/>
      <c r="X219" s="125"/>
      <c r="Y219" s="3"/>
    </row>
    <row r="220" spans="8:25" x14ac:dyDescent="0.3">
      <c r="H220" s="160">
        <v>41929</v>
      </c>
      <c r="I220" s="159">
        <v>84.925509000000005</v>
      </c>
      <c r="J220" s="123">
        <f t="shared" si="104"/>
        <v>1.4723007908447498E-2</v>
      </c>
      <c r="K220" s="165">
        <v>1886.76001</v>
      </c>
      <c r="L220" s="124">
        <f t="shared" si="105"/>
        <v>1.2884107384289403E-2</v>
      </c>
      <c r="N220" s="150"/>
      <c r="O220" s="154"/>
      <c r="P220" s="125"/>
      <c r="Q220" s="154"/>
      <c r="R220" s="125"/>
      <c r="S220" s="3"/>
      <c r="T220" s="150"/>
      <c r="U220" s="154"/>
      <c r="V220" s="125"/>
      <c r="W220" s="154"/>
      <c r="X220" s="125"/>
      <c r="Y220" s="3"/>
    </row>
    <row r="221" spans="8:25" x14ac:dyDescent="0.3">
      <c r="H221" s="160">
        <v>41928</v>
      </c>
      <c r="I221" s="159">
        <v>83.693292</v>
      </c>
      <c r="J221" s="123">
        <f t="shared" si="104"/>
        <v>5.640461016286985E-3</v>
      </c>
      <c r="K221" s="165">
        <v>1862.76001</v>
      </c>
      <c r="L221" s="124">
        <f t="shared" si="105"/>
        <v>1.4497796039157843E-4</v>
      </c>
      <c r="N221" s="150"/>
      <c r="O221" s="154"/>
      <c r="P221" s="125"/>
      <c r="Q221" s="154"/>
      <c r="R221" s="125"/>
      <c r="S221" s="3"/>
      <c r="T221" s="150"/>
      <c r="U221" s="154"/>
      <c r="V221" s="125"/>
      <c r="W221" s="154"/>
      <c r="X221" s="125"/>
      <c r="Y221" s="3"/>
    </row>
    <row r="222" spans="8:25" x14ac:dyDescent="0.3">
      <c r="H222" s="160">
        <v>41927</v>
      </c>
      <c r="I222" s="159">
        <v>83.223871000000003</v>
      </c>
      <c r="J222" s="123">
        <f t="shared" si="104"/>
        <v>-8.967096904029536E-3</v>
      </c>
      <c r="K222" s="165">
        <v>1862.48999</v>
      </c>
      <c r="L222" s="124">
        <f t="shared" si="105"/>
        <v>-8.1003149581485075E-3</v>
      </c>
      <c r="N222" s="150"/>
      <c r="O222" s="154"/>
      <c r="P222" s="125"/>
      <c r="Q222" s="154"/>
      <c r="R222" s="125"/>
      <c r="S222" s="3"/>
      <c r="T222" s="150"/>
      <c r="U222" s="154"/>
      <c r="V222" s="125"/>
      <c r="W222" s="154"/>
      <c r="X222" s="125"/>
      <c r="Y222" s="3"/>
    </row>
    <row r="223" spans="8:25" x14ac:dyDescent="0.3">
      <c r="H223" s="160">
        <v>41926</v>
      </c>
      <c r="I223" s="159">
        <v>83.976900000000001</v>
      </c>
      <c r="J223" s="123">
        <f t="shared" si="104"/>
        <v>-6.9388070912862667E-3</v>
      </c>
      <c r="K223" s="165">
        <v>1877.6999510000001</v>
      </c>
      <c r="L223" s="124">
        <f t="shared" si="105"/>
        <v>1.57886481100775E-3</v>
      </c>
      <c r="N223" s="150"/>
      <c r="O223" s="154"/>
      <c r="P223" s="125"/>
      <c r="Q223" s="154"/>
      <c r="R223" s="125"/>
      <c r="S223" s="3"/>
      <c r="T223" s="150"/>
      <c r="U223" s="154"/>
      <c r="V223" s="125"/>
      <c r="W223" s="154"/>
      <c r="X223" s="125"/>
      <c r="Y223" s="3"/>
    </row>
    <row r="224" spans="8:25" x14ac:dyDescent="0.3">
      <c r="H224" s="160">
        <v>41925</v>
      </c>
      <c r="I224" s="159">
        <v>84.563670999999999</v>
      </c>
      <c r="J224" s="123">
        <f t="shared" si="104"/>
        <v>-4.4107861279213956E-2</v>
      </c>
      <c r="K224" s="165">
        <v>1874.73999</v>
      </c>
      <c r="L224" s="124">
        <f t="shared" si="105"/>
        <v>-1.6467929741235017E-2</v>
      </c>
      <c r="N224" s="150"/>
      <c r="O224" s="154"/>
      <c r="P224" s="125"/>
      <c r="Q224" s="154"/>
      <c r="R224" s="125"/>
      <c r="S224" s="3"/>
      <c r="T224" s="150"/>
      <c r="U224" s="154"/>
      <c r="V224" s="125"/>
      <c r="W224" s="154"/>
      <c r="X224" s="125"/>
      <c r="Y224" s="3"/>
    </row>
    <row r="225" spans="8:25" x14ac:dyDescent="0.3">
      <c r="H225" s="160">
        <v>41922</v>
      </c>
      <c r="I225" s="159">
        <v>88.465704000000002</v>
      </c>
      <c r="J225" s="123">
        <f t="shared" si="104"/>
        <v>-3.1373822129173654E-2</v>
      </c>
      <c r="K225" s="165">
        <v>1906.130005</v>
      </c>
      <c r="L225" s="124">
        <f t="shared" si="105"/>
        <v>-1.1451012310168249E-2</v>
      </c>
      <c r="N225" s="150"/>
      <c r="O225" s="154"/>
      <c r="P225" s="125"/>
      <c r="Q225" s="154"/>
      <c r="R225" s="125"/>
      <c r="S225" s="3"/>
      <c r="T225" s="150"/>
      <c r="U225" s="154"/>
      <c r="V225" s="125"/>
      <c r="W225" s="154"/>
      <c r="X225" s="125"/>
      <c r="Y225" s="3"/>
    </row>
    <row r="226" spans="8:25" x14ac:dyDescent="0.3">
      <c r="H226" s="160">
        <v>41921</v>
      </c>
      <c r="I226" s="159">
        <v>91.331109999999995</v>
      </c>
      <c r="J226" s="123">
        <f t="shared" si="104"/>
        <v>-2.3729915902938565E-2</v>
      </c>
      <c r="K226" s="165">
        <v>1928.209961</v>
      </c>
      <c r="L226" s="124">
        <f t="shared" si="105"/>
        <v>-2.0661415157819229E-2</v>
      </c>
      <c r="N226" s="150"/>
      <c r="O226" s="154"/>
      <c r="P226" s="125"/>
      <c r="Q226" s="154"/>
      <c r="R226" s="125"/>
      <c r="S226" s="3"/>
      <c r="T226" s="150"/>
      <c r="U226" s="154"/>
      <c r="V226" s="125"/>
      <c r="W226" s="154"/>
      <c r="X226" s="125"/>
      <c r="Y226" s="3"/>
    </row>
    <row r="227" spans="8:25" x14ac:dyDescent="0.3">
      <c r="H227" s="160">
        <v>41920</v>
      </c>
      <c r="I227" s="159">
        <v>93.551068999999998</v>
      </c>
      <c r="J227" s="123">
        <f t="shared" si="104"/>
        <v>2.5184939112765002E-2</v>
      </c>
      <c r="K227" s="165">
        <v>1968.8900149999999</v>
      </c>
      <c r="L227" s="124">
        <f t="shared" si="105"/>
        <v>1.7461650260492782E-2</v>
      </c>
      <c r="N227" s="150"/>
      <c r="O227" s="154"/>
      <c r="P227" s="125"/>
      <c r="Q227" s="154"/>
      <c r="R227" s="125"/>
      <c r="S227" s="3"/>
      <c r="T227" s="150"/>
      <c r="U227" s="154"/>
      <c r="V227" s="125"/>
      <c r="W227" s="154"/>
      <c r="X227" s="125"/>
      <c r="Y227" s="3"/>
    </row>
    <row r="228" spans="8:25" x14ac:dyDescent="0.3">
      <c r="H228" s="160">
        <v>41919</v>
      </c>
      <c r="I228" s="159">
        <v>91.252870999999999</v>
      </c>
      <c r="J228" s="123">
        <f t="shared" si="104"/>
        <v>-1.4677932320966704E-2</v>
      </c>
      <c r="K228" s="165">
        <v>1935.099976</v>
      </c>
      <c r="L228" s="124">
        <f t="shared" si="105"/>
        <v>-1.5126052674955948E-2</v>
      </c>
      <c r="N228" s="150"/>
      <c r="O228" s="154"/>
      <c r="P228" s="125"/>
      <c r="Q228" s="154"/>
      <c r="R228" s="125"/>
      <c r="S228" s="3"/>
      <c r="T228" s="150"/>
      <c r="U228" s="154"/>
      <c r="V228" s="125"/>
      <c r="W228" s="154"/>
      <c r="X228" s="125"/>
      <c r="Y228" s="3"/>
    </row>
    <row r="229" spans="8:25" x14ac:dyDescent="0.3">
      <c r="H229" s="160">
        <v>41918</v>
      </c>
      <c r="I229" s="159">
        <v>92.612227000000004</v>
      </c>
      <c r="J229" s="123">
        <f t="shared" si="104"/>
        <v>-7.337572214026214E-3</v>
      </c>
      <c r="K229" s="165">
        <v>1964.8199460000001</v>
      </c>
      <c r="L229" s="124">
        <f t="shared" si="105"/>
        <v>-1.5651597959429454E-3</v>
      </c>
      <c r="N229" s="150"/>
      <c r="O229" s="154"/>
      <c r="P229" s="125"/>
      <c r="Q229" s="154"/>
      <c r="R229" s="125"/>
      <c r="S229" s="3"/>
      <c r="T229" s="150"/>
      <c r="U229" s="154"/>
      <c r="V229" s="125"/>
      <c r="W229" s="154"/>
      <c r="X229" s="125"/>
      <c r="Y229" s="3"/>
    </row>
    <row r="230" spans="8:25" x14ac:dyDescent="0.3">
      <c r="H230" s="160">
        <v>41915</v>
      </c>
      <c r="I230" s="159">
        <v>93.296798999999993</v>
      </c>
      <c r="J230" s="123">
        <f t="shared" si="104"/>
        <v>3.0491159044310902E-3</v>
      </c>
      <c r="K230" s="165">
        <v>1967.900024</v>
      </c>
      <c r="L230" s="124">
        <f t="shared" si="105"/>
        <v>1.1165509440962328E-2</v>
      </c>
      <c r="N230" s="150"/>
      <c r="O230" s="154"/>
      <c r="P230" s="125"/>
      <c r="Q230" s="154"/>
      <c r="R230" s="125"/>
      <c r="S230" s="3"/>
      <c r="T230" s="150"/>
      <c r="U230" s="154"/>
      <c r="V230" s="125"/>
      <c r="W230" s="154"/>
      <c r="X230" s="125"/>
      <c r="Y230" s="3"/>
    </row>
    <row r="231" spans="8:25" x14ac:dyDescent="0.3">
      <c r="H231" s="160">
        <v>41914</v>
      </c>
      <c r="I231" s="159">
        <v>93.013191000000006</v>
      </c>
      <c r="J231" s="123">
        <f t="shared" si="104"/>
        <v>5.6037049489779172E-3</v>
      </c>
      <c r="K231" s="165">
        <v>1946.170044</v>
      </c>
      <c r="L231" s="124">
        <f t="shared" si="105"/>
        <v>5.1434619070826407E-6</v>
      </c>
      <c r="N231" s="150"/>
      <c r="O231" s="154"/>
      <c r="P231" s="125"/>
      <c r="Q231" s="154"/>
      <c r="R231" s="125"/>
      <c r="S231" s="3"/>
      <c r="T231" s="150"/>
      <c r="U231" s="154"/>
      <c r="V231" s="125"/>
      <c r="W231" s="154"/>
      <c r="X231" s="125"/>
      <c r="Y231" s="3"/>
    </row>
    <row r="232" spans="8:25" x14ac:dyDescent="0.3">
      <c r="H232" s="160">
        <v>41913</v>
      </c>
      <c r="I232" s="159">
        <v>92.494877000000002</v>
      </c>
      <c r="J232" s="123">
        <f t="shared" si="104"/>
        <v>-2.4143581856231337E-2</v>
      </c>
      <c r="K232" s="165">
        <v>1946.160034</v>
      </c>
      <c r="L232" s="124">
        <f t="shared" si="105"/>
        <v>-1.3248561055071061E-2</v>
      </c>
      <c r="N232" s="150"/>
      <c r="O232" s="154"/>
      <c r="P232" s="125"/>
      <c r="Q232" s="154"/>
      <c r="R232" s="125"/>
      <c r="S232" s="3"/>
      <c r="T232" s="150"/>
      <c r="U232" s="154"/>
      <c r="V232" s="125"/>
      <c r="W232" s="154"/>
      <c r="X232" s="125"/>
      <c r="Y232" s="3"/>
    </row>
    <row r="233" spans="8:25" x14ac:dyDescent="0.3">
      <c r="H233" s="160">
        <v>41912</v>
      </c>
      <c r="I233" s="159">
        <v>94.783285000000006</v>
      </c>
      <c r="J233" s="123">
        <f t="shared" si="104"/>
        <v>1.1116875683317764E-2</v>
      </c>
      <c r="K233" s="165">
        <v>1972.290039</v>
      </c>
      <c r="L233" s="124">
        <f t="shared" si="105"/>
        <v>-2.7859287407672453E-3</v>
      </c>
      <c r="N233" s="150"/>
      <c r="O233" s="154"/>
      <c r="P233" s="125"/>
      <c r="Q233" s="154"/>
      <c r="R233" s="125"/>
      <c r="S233" s="3"/>
      <c r="T233" s="150"/>
      <c r="U233" s="154"/>
      <c r="V233" s="125"/>
      <c r="W233" s="154"/>
      <c r="X233" s="125"/>
      <c r="Y233" s="3"/>
    </row>
    <row r="234" spans="8:25" x14ac:dyDescent="0.3">
      <c r="H234" s="160">
        <v>41911</v>
      </c>
      <c r="I234" s="159">
        <v>93.741175999999996</v>
      </c>
      <c r="J234" s="123">
        <f t="shared" si="104"/>
        <v>-1.0689694082580263E-2</v>
      </c>
      <c r="K234" s="165">
        <v>1977.8000489999999</v>
      </c>
      <c r="L234" s="124">
        <f t="shared" si="105"/>
        <v>-2.5468023608055486E-3</v>
      </c>
      <c r="N234" s="150"/>
      <c r="O234" s="154"/>
      <c r="P234" s="125"/>
      <c r="Q234" s="154"/>
      <c r="R234" s="125"/>
      <c r="S234" s="3"/>
      <c r="T234" s="150"/>
      <c r="U234" s="154"/>
      <c r="V234" s="125"/>
      <c r="W234" s="154"/>
      <c r="X234" s="125"/>
      <c r="Y234" s="3"/>
    </row>
    <row r="235" spans="8:25" x14ac:dyDescent="0.3">
      <c r="H235" s="160">
        <v>41908</v>
      </c>
      <c r="I235" s="159">
        <v>94.754068000000004</v>
      </c>
      <c r="J235" s="123">
        <f t="shared" si="104"/>
        <v>1.1435681504710858E-2</v>
      </c>
      <c r="K235" s="165">
        <v>1982.849976</v>
      </c>
      <c r="L235" s="124">
        <f t="shared" si="105"/>
        <v>8.5758249460873067E-3</v>
      </c>
      <c r="N235" s="150"/>
      <c r="O235" s="154"/>
      <c r="P235" s="125"/>
      <c r="Q235" s="154"/>
      <c r="R235" s="125"/>
      <c r="S235" s="3"/>
      <c r="T235" s="150"/>
      <c r="U235" s="154"/>
      <c r="V235" s="125"/>
      <c r="W235" s="154"/>
      <c r="X235" s="125"/>
      <c r="Y235" s="3"/>
    </row>
    <row r="236" spans="8:25" x14ac:dyDescent="0.3">
      <c r="H236" s="160">
        <v>41907</v>
      </c>
      <c r="I236" s="159">
        <v>93.682742000000005</v>
      </c>
      <c r="J236" s="123">
        <f t="shared" si="104"/>
        <v>-2.1962337130906409E-2</v>
      </c>
      <c r="K236" s="165">
        <v>1965.98999</v>
      </c>
      <c r="L236" s="124">
        <f t="shared" si="105"/>
        <v>-1.616877256054149E-2</v>
      </c>
      <c r="N236" s="150"/>
      <c r="O236" s="154"/>
      <c r="P236" s="125"/>
      <c r="Q236" s="154"/>
      <c r="R236" s="125"/>
      <c r="S236" s="3"/>
      <c r="T236" s="150"/>
      <c r="U236" s="154"/>
      <c r="V236" s="125"/>
      <c r="W236" s="154"/>
      <c r="X236" s="125"/>
      <c r="Y236" s="3"/>
    </row>
    <row r="237" spans="8:25" x14ac:dyDescent="0.3">
      <c r="H237" s="160">
        <v>41906</v>
      </c>
      <c r="I237" s="159">
        <v>95.786435999999995</v>
      </c>
      <c r="J237" s="123">
        <f t="shared" si="104"/>
        <v>1.3708528872909079E-2</v>
      </c>
      <c r="K237" s="165">
        <v>1998.3000489999999</v>
      </c>
      <c r="L237" s="124">
        <f t="shared" si="105"/>
        <v>7.8324913345220008E-3</v>
      </c>
      <c r="N237" s="150"/>
      <c r="O237" s="154"/>
      <c r="P237" s="125"/>
      <c r="Q237" s="154"/>
      <c r="R237" s="125"/>
      <c r="S237" s="3"/>
      <c r="T237" s="150"/>
      <c r="U237" s="154"/>
      <c r="V237" s="125"/>
      <c r="W237" s="154"/>
      <c r="X237" s="125"/>
      <c r="Y237" s="3"/>
    </row>
    <row r="238" spans="8:25" x14ac:dyDescent="0.3">
      <c r="H238" s="160">
        <v>41905</v>
      </c>
      <c r="I238" s="159">
        <v>94.491101999999998</v>
      </c>
      <c r="J238" s="123">
        <f t="shared" si="104"/>
        <v>-1.2016299188381206E-2</v>
      </c>
      <c r="K238" s="165">
        <v>1982.7700199999999</v>
      </c>
      <c r="L238" s="124">
        <f t="shared" si="105"/>
        <v>-5.7765012985656538E-3</v>
      </c>
      <c r="N238" s="150"/>
      <c r="O238" s="154"/>
      <c r="P238" s="125"/>
      <c r="Q238" s="154"/>
      <c r="R238" s="125"/>
      <c r="S238" s="3"/>
      <c r="T238" s="150"/>
      <c r="U238" s="154"/>
      <c r="V238" s="125"/>
      <c r="W238" s="154"/>
      <c r="X238" s="125"/>
      <c r="Y238" s="3"/>
    </row>
    <row r="239" spans="8:25" x14ac:dyDescent="0.3">
      <c r="H239" s="160">
        <v>41904</v>
      </c>
      <c r="I239" s="159">
        <v>95.640344999999996</v>
      </c>
      <c r="J239" s="123">
        <f t="shared" si="104"/>
        <v>-3.2480614292127743E-3</v>
      </c>
      <c r="K239" s="165">
        <v>1994.290039</v>
      </c>
      <c r="L239" s="124">
        <f t="shared" si="105"/>
        <v>-8.0133231235974406E-3</v>
      </c>
      <c r="N239" s="150"/>
      <c r="O239" s="154"/>
      <c r="P239" s="125"/>
      <c r="Q239" s="154"/>
      <c r="R239" s="125"/>
      <c r="S239" s="3"/>
      <c r="T239" s="150"/>
      <c r="U239" s="154"/>
      <c r="V239" s="125"/>
      <c r="W239" s="154"/>
      <c r="X239" s="125"/>
      <c r="Y239" s="3"/>
    </row>
    <row r="240" spans="8:25" x14ac:dyDescent="0.3">
      <c r="H240" s="160">
        <v>41901</v>
      </c>
      <c r="I240" s="159">
        <v>95.952003000000005</v>
      </c>
      <c r="J240" s="123">
        <f t="shared" si="104"/>
        <v>-1.0644765792643774E-2</v>
      </c>
      <c r="K240" s="165">
        <v>2010.400024</v>
      </c>
      <c r="L240" s="124">
        <f t="shared" si="105"/>
        <v>-4.77269612182337E-4</v>
      </c>
      <c r="N240" s="150"/>
      <c r="O240" s="154"/>
      <c r="P240" s="125"/>
      <c r="Q240" s="154"/>
      <c r="R240" s="125"/>
      <c r="S240" s="3"/>
      <c r="T240" s="150"/>
      <c r="U240" s="154"/>
      <c r="V240" s="125"/>
      <c r="W240" s="154"/>
      <c r="X240" s="125"/>
      <c r="Y240" s="3"/>
    </row>
    <row r="241" spans="8:25" x14ac:dyDescent="0.3">
      <c r="H241" s="160">
        <v>41900</v>
      </c>
      <c r="I241" s="159">
        <v>96.984379000000004</v>
      </c>
      <c r="J241" s="123">
        <f t="shared" si="104"/>
        <v>1.7992258485891324E-2</v>
      </c>
      <c r="K241" s="165">
        <v>2011.3599850000001</v>
      </c>
      <c r="L241" s="124">
        <f t="shared" si="105"/>
        <v>4.8911800557181117E-3</v>
      </c>
      <c r="N241" s="150"/>
      <c r="O241" s="154"/>
      <c r="P241" s="125"/>
      <c r="Q241" s="154"/>
      <c r="R241" s="125"/>
      <c r="S241" s="3"/>
      <c r="T241" s="150"/>
      <c r="U241" s="154"/>
      <c r="V241" s="125"/>
      <c r="W241" s="154"/>
      <c r="X241" s="125"/>
      <c r="Y241" s="3"/>
    </row>
    <row r="242" spans="8:25" x14ac:dyDescent="0.3">
      <c r="H242" s="160">
        <v>41899</v>
      </c>
      <c r="I242" s="159">
        <v>95.270251999999999</v>
      </c>
      <c r="J242" s="123">
        <f t="shared" si="104"/>
        <v>-2.8542241100711829E-3</v>
      </c>
      <c r="K242" s="165">
        <v>2001.5699460000001</v>
      </c>
      <c r="L242" s="124">
        <f t="shared" si="105"/>
        <v>1.2956437912899977E-3</v>
      </c>
      <c r="N242" s="150"/>
      <c r="O242" s="154"/>
      <c r="P242" s="125"/>
      <c r="Q242" s="154"/>
      <c r="R242" s="125"/>
      <c r="S242" s="3"/>
      <c r="T242" s="150"/>
      <c r="U242" s="154"/>
      <c r="V242" s="125"/>
      <c r="W242" s="154"/>
      <c r="X242" s="125"/>
      <c r="Y242" s="3"/>
    </row>
    <row r="243" spans="8:25" x14ac:dyDescent="0.3">
      <c r="H243" s="160">
        <v>41898</v>
      </c>
      <c r="I243" s="159">
        <v>95.542952999999997</v>
      </c>
      <c r="J243" s="123">
        <f t="shared" si="104"/>
        <v>5.6380934882545586E-3</v>
      </c>
      <c r="K243" s="165">
        <v>1998.9799800000001</v>
      </c>
      <c r="L243" s="124">
        <f t="shared" si="105"/>
        <v>7.4843760048878888E-3</v>
      </c>
      <c r="N243" s="150"/>
      <c r="O243" s="154"/>
      <c r="P243" s="125"/>
      <c r="Q243" s="154"/>
      <c r="R243" s="125"/>
      <c r="S243" s="3"/>
      <c r="T243" s="150"/>
      <c r="U243" s="154"/>
      <c r="V243" s="125"/>
      <c r="W243" s="154"/>
      <c r="X243" s="125"/>
      <c r="Y243" s="3"/>
    </row>
    <row r="244" spans="8:25" x14ac:dyDescent="0.3">
      <c r="H244" s="160">
        <v>41897</v>
      </c>
      <c r="I244" s="159">
        <v>95.007293000000004</v>
      </c>
      <c r="J244" s="123">
        <f t="shared" si="104"/>
        <v>-2.3425735110729151E-2</v>
      </c>
      <c r="K244" s="165">
        <v>1984.130005</v>
      </c>
      <c r="L244" s="124">
        <f t="shared" si="105"/>
        <v>-7.1015138063403017E-4</v>
      </c>
      <c r="N244" s="150"/>
      <c r="O244" s="154"/>
      <c r="P244" s="125"/>
      <c r="Q244" s="154"/>
      <c r="R244" s="125"/>
      <c r="S244" s="3"/>
      <c r="T244" s="150"/>
      <c r="U244" s="154"/>
      <c r="V244" s="125"/>
      <c r="W244" s="154"/>
      <c r="X244" s="125"/>
      <c r="Y244" s="3"/>
    </row>
    <row r="245" spans="8:25" x14ac:dyDescent="0.3">
      <c r="H245" s="160">
        <v>41894</v>
      </c>
      <c r="I245" s="159">
        <v>97.286295999999993</v>
      </c>
      <c r="J245" s="123">
        <f t="shared" si="104"/>
        <v>-1.6989618761830136E-3</v>
      </c>
      <c r="K245" s="165">
        <v>1985.540039</v>
      </c>
      <c r="L245" s="124">
        <f t="shared" si="105"/>
        <v>-5.962558408052987E-3</v>
      </c>
      <c r="N245" s="150"/>
      <c r="O245" s="154"/>
      <c r="P245" s="125"/>
      <c r="Q245" s="154"/>
      <c r="R245" s="125"/>
      <c r="S245" s="3"/>
      <c r="T245" s="150"/>
      <c r="U245" s="154"/>
      <c r="V245" s="125"/>
      <c r="W245" s="154"/>
      <c r="X245" s="125"/>
      <c r="Y245" s="3"/>
    </row>
    <row r="246" spans="8:25" x14ac:dyDescent="0.3">
      <c r="H246" s="160">
        <v>41893</v>
      </c>
      <c r="I246" s="159">
        <v>97.451863000000003</v>
      </c>
      <c r="J246" s="123">
        <f t="shared" si="104"/>
        <v>1.7018532599905954E-3</v>
      </c>
      <c r="K246" s="165">
        <v>1997.4499510000001</v>
      </c>
      <c r="L246" s="124">
        <f t="shared" si="105"/>
        <v>8.8190553243860123E-4</v>
      </c>
      <c r="N246" s="150"/>
      <c r="O246" s="154"/>
      <c r="P246" s="125"/>
      <c r="Q246" s="154"/>
      <c r="R246" s="125"/>
      <c r="S246" s="3"/>
      <c r="T246" s="150"/>
      <c r="U246" s="154"/>
      <c r="V246" s="125"/>
      <c r="W246" s="154"/>
      <c r="X246" s="125"/>
      <c r="Y246" s="3"/>
    </row>
    <row r="247" spans="8:25" x14ac:dyDescent="0.3">
      <c r="H247" s="160">
        <v>41892</v>
      </c>
      <c r="I247" s="159">
        <v>97.286295999999993</v>
      </c>
      <c r="J247" s="123">
        <f t="shared" si="104"/>
        <v>4.0060736675376997E-4</v>
      </c>
      <c r="K247" s="165">
        <v>1995.6899410000001</v>
      </c>
      <c r="L247" s="124">
        <f t="shared" si="105"/>
        <v>3.6460744176934632E-3</v>
      </c>
      <c r="N247" s="150"/>
      <c r="O247" s="154"/>
      <c r="P247" s="125"/>
      <c r="Q247" s="154"/>
      <c r="R247" s="125"/>
      <c r="S247" s="3"/>
      <c r="T247" s="150"/>
      <c r="U247" s="154"/>
      <c r="V247" s="125"/>
      <c r="W247" s="154"/>
      <c r="X247" s="125"/>
      <c r="Y247" s="3"/>
    </row>
    <row r="248" spans="8:25" x14ac:dyDescent="0.3">
      <c r="H248" s="160">
        <v>41891</v>
      </c>
      <c r="I248" s="159">
        <v>97.247337999999999</v>
      </c>
      <c r="J248" s="123">
        <f t="shared" si="104"/>
        <v>-5.8741920768856119E-3</v>
      </c>
      <c r="K248" s="165">
        <v>1988.4399410000001</v>
      </c>
      <c r="L248" s="124">
        <f t="shared" si="105"/>
        <v>-6.5450092152765016E-3</v>
      </c>
      <c r="N248" s="150"/>
      <c r="O248" s="154"/>
      <c r="P248" s="125"/>
      <c r="Q248" s="154"/>
      <c r="R248" s="125"/>
      <c r="S248" s="3"/>
      <c r="T248" s="150"/>
      <c r="U248" s="154"/>
      <c r="V248" s="125"/>
      <c r="W248" s="154"/>
      <c r="X248" s="125"/>
      <c r="Y248" s="3"/>
    </row>
    <row r="249" spans="8:25" x14ac:dyDescent="0.3">
      <c r="H249" s="160">
        <v>41890</v>
      </c>
      <c r="I249" s="159">
        <v>97.821962999999997</v>
      </c>
      <c r="J249" s="123">
        <f t="shared" si="104"/>
        <v>-4.7561972751764383E-3</v>
      </c>
      <c r="K249" s="165">
        <v>2001.540039</v>
      </c>
      <c r="L249" s="124">
        <f t="shared" si="105"/>
        <v>-3.0731142046667576E-3</v>
      </c>
      <c r="N249" s="150"/>
      <c r="O249" s="154"/>
      <c r="P249" s="125"/>
      <c r="Q249" s="154"/>
      <c r="R249" s="125"/>
      <c r="S249" s="3"/>
      <c r="T249" s="150"/>
      <c r="U249" s="154"/>
      <c r="V249" s="125"/>
      <c r="W249" s="154"/>
      <c r="X249" s="125"/>
      <c r="Y249" s="3"/>
    </row>
    <row r="250" spans="8:25" x14ac:dyDescent="0.3">
      <c r="H250" s="160">
        <v>41887</v>
      </c>
      <c r="I250" s="159">
        <v>98.289446999999996</v>
      </c>
      <c r="J250" s="123">
        <f t="shared" si="104"/>
        <v>-2.9716636507594037E-4</v>
      </c>
      <c r="K250" s="165">
        <v>2007.709961</v>
      </c>
      <c r="L250" s="124">
        <f t="shared" si="105"/>
        <v>5.0358856051554253E-3</v>
      </c>
      <c r="N250" s="150"/>
      <c r="O250" s="154"/>
      <c r="P250" s="125"/>
      <c r="Q250" s="154"/>
      <c r="R250" s="125"/>
      <c r="S250" s="3"/>
      <c r="T250" s="150"/>
      <c r="U250" s="154"/>
      <c r="V250" s="125"/>
      <c r="W250" s="154"/>
      <c r="X250" s="125"/>
      <c r="Y250" s="3"/>
    </row>
    <row r="251" spans="8:25" x14ac:dyDescent="0.3">
      <c r="H251" s="160">
        <v>41886</v>
      </c>
      <c r="I251" s="159">
        <v>98.318663999999998</v>
      </c>
      <c r="J251" s="123">
        <f t="shared" si="104"/>
        <v>-7.7649002216441942E-3</v>
      </c>
      <c r="K251" s="165">
        <v>1997.650024</v>
      </c>
      <c r="L251" s="124">
        <f t="shared" si="105"/>
        <v>-1.5344211306420534E-3</v>
      </c>
      <c r="N251" s="150"/>
      <c r="O251" s="154"/>
      <c r="P251" s="125"/>
      <c r="Q251" s="154"/>
      <c r="R251" s="125"/>
      <c r="S251" s="3"/>
      <c r="T251" s="150"/>
      <c r="U251" s="154"/>
      <c r="V251" s="125"/>
      <c r="W251" s="154"/>
      <c r="X251" s="125"/>
      <c r="Y251" s="3"/>
    </row>
    <row r="252" spans="8:25" x14ac:dyDescent="0.3">
      <c r="H252" s="160">
        <v>41885</v>
      </c>
      <c r="I252" s="159">
        <v>99.088072999999994</v>
      </c>
      <c r="J252" s="123">
        <f t="shared" si="104"/>
        <v>-2.5490405812897722E-3</v>
      </c>
      <c r="K252" s="165">
        <v>2000.719971</v>
      </c>
      <c r="L252" s="124">
        <f t="shared" si="105"/>
        <v>-7.7914076822669363E-4</v>
      </c>
      <c r="N252" s="150"/>
      <c r="O252" s="154"/>
      <c r="P252" s="125"/>
      <c r="Q252" s="154"/>
      <c r="R252" s="125"/>
      <c r="S252" s="3"/>
      <c r="T252" s="150"/>
      <c r="U252" s="154"/>
      <c r="V252" s="125"/>
      <c r="W252" s="154"/>
      <c r="X252" s="125"/>
      <c r="Y252" s="3"/>
    </row>
    <row r="253" spans="8:25" x14ac:dyDescent="0.3">
      <c r="H253" s="160">
        <v>41884</v>
      </c>
      <c r="I253" s="159">
        <v>99.341297999999995</v>
      </c>
      <c r="J253" s="123">
        <f t="shared" si="104"/>
        <v>-9.8048966352087229E-3</v>
      </c>
      <c r="K253" s="165">
        <v>2002.280029</v>
      </c>
      <c r="L253" s="124">
        <f t="shared" si="105"/>
        <v>-5.4406624972937363E-4</v>
      </c>
      <c r="N253" s="150"/>
      <c r="O253" s="154"/>
      <c r="P253" s="125"/>
      <c r="Q253" s="154"/>
      <c r="R253" s="125"/>
      <c r="S253" s="3"/>
      <c r="T253" s="150"/>
      <c r="U253" s="154"/>
      <c r="V253" s="125"/>
      <c r="W253" s="154"/>
      <c r="X253" s="125"/>
      <c r="Y253" s="3"/>
    </row>
    <row r="254" spans="8:25" x14ac:dyDescent="0.3">
      <c r="H254" s="160">
        <v>41880</v>
      </c>
      <c r="I254" s="159">
        <v>100.324974</v>
      </c>
      <c r="J254" s="123">
        <f t="shared" si="104"/>
        <v>9.2093939578574355E-3</v>
      </c>
      <c r="K254" s="165">
        <v>2003.369995</v>
      </c>
      <c r="L254" s="124">
        <f t="shared" si="105"/>
        <v>3.3204147927141893E-3</v>
      </c>
      <c r="N254" s="150"/>
      <c r="O254" s="154"/>
      <c r="P254" s="125"/>
      <c r="Q254" s="154"/>
      <c r="R254" s="125"/>
      <c r="S254" s="3"/>
      <c r="T254" s="150"/>
      <c r="U254" s="154"/>
      <c r="V254" s="125"/>
      <c r="W254" s="154"/>
      <c r="X254" s="125"/>
      <c r="Y254" s="3"/>
    </row>
    <row r="255" spans="8:25" x14ac:dyDescent="0.3">
      <c r="H255" s="160">
        <v>41879</v>
      </c>
      <c r="I255" s="159">
        <v>99.409473000000006</v>
      </c>
      <c r="J255" s="123">
        <f t="shared" si="104"/>
        <v>-6.2311268135178486E-3</v>
      </c>
      <c r="K255" s="165">
        <v>1996.73999</v>
      </c>
      <c r="L255" s="124">
        <f t="shared" si="105"/>
        <v>-1.6899011101581347E-3</v>
      </c>
      <c r="N255" s="150"/>
      <c r="O255" s="154"/>
      <c r="P255" s="125"/>
      <c r="Q255" s="154"/>
      <c r="R255" s="125"/>
      <c r="S255" s="3"/>
      <c r="T255" s="150"/>
      <c r="U255" s="154"/>
      <c r="V255" s="125"/>
      <c r="W255" s="154"/>
      <c r="X255" s="125"/>
      <c r="Y255" s="3"/>
    </row>
    <row r="256" spans="8:25" x14ac:dyDescent="0.3">
      <c r="H256" s="160">
        <v>41878</v>
      </c>
      <c r="I256" s="159">
        <v>100.03279000000001</v>
      </c>
      <c r="J256" s="123">
        <f t="shared" si="104"/>
        <v>7.4546543741357994E-3</v>
      </c>
      <c r="K256" s="165">
        <v>2000.119995</v>
      </c>
      <c r="L256" s="124">
        <f t="shared" si="105"/>
        <v>4.9986999630176634E-5</v>
      </c>
      <c r="N256" s="150"/>
      <c r="O256" s="154"/>
      <c r="P256" s="125"/>
      <c r="Q256" s="154"/>
      <c r="R256" s="125"/>
      <c r="S256" s="3"/>
      <c r="T256" s="150"/>
      <c r="U256" s="154"/>
      <c r="V256" s="125"/>
      <c r="W256" s="154"/>
      <c r="X256" s="125"/>
      <c r="Y256" s="3"/>
    </row>
    <row r="257" spans="8:25" x14ac:dyDescent="0.3">
      <c r="H257" s="160">
        <v>41877</v>
      </c>
      <c r="I257" s="159">
        <v>99.292597999999998</v>
      </c>
      <c r="J257" s="123">
        <f t="shared" si="104"/>
        <v>3.924389801011271E-4</v>
      </c>
      <c r="K257" s="165">
        <v>2000.0200199999999</v>
      </c>
      <c r="L257" s="124">
        <f t="shared" si="105"/>
        <v>1.051081101221471E-3</v>
      </c>
      <c r="N257" s="150"/>
      <c r="O257" s="154"/>
      <c r="P257" s="125"/>
      <c r="Q257" s="154"/>
      <c r="R257" s="125"/>
      <c r="S257" s="3"/>
      <c r="T257" s="150"/>
      <c r="U257" s="154"/>
      <c r="V257" s="125"/>
      <c r="W257" s="154"/>
      <c r="X257" s="125"/>
      <c r="Y257" s="3"/>
    </row>
    <row r="258" spans="8:25" x14ac:dyDescent="0.3">
      <c r="H258" s="160">
        <v>41876</v>
      </c>
      <c r="I258" s="159">
        <v>99.253647000000001</v>
      </c>
      <c r="J258" s="123">
        <f t="shared" si="104"/>
        <v>9.0099293501450951E-3</v>
      </c>
      <c r="K258" s="165">
        <v>1997.920044</v>
      </c>
      <c r="L258" s="124">
        <f t="shared" si="105"/>
        <v>4.7877790611010025E-3</v>
      </c>
      <c r="N258" s="150"/>
      <c r="O258" s="154"/>
      <c r="P258" s="125"/>
      <c r="Q258" s="154"/>
      <c r="R258" s="125"/>
      <c r="S258" s="3"/>
      <c r="T258" s="150"/>
      <c r="U258" s="154"/>
      <c r="V258" s="125"/>
      <c r="W258" s="154"/>
      <c r="X258" s="125"/>
      <c r="Y258" s="3"/>
    </row>
    <row r="259" spans="8:25" x14ac:dyDescent="0.3">
      <c r="H259" s="160">
        <v>41873</v>
      </c>
      <c r="I259" s="159">
        <v>98.367363999999995</v>
      </c>
      <c r="J259" s="123">
        <f t="shared" si="104"/>
        <v>2.9791839280844733E-3</v>
      </c>
      <c r="K259" s="165">
        <v>1988.400024</v>
      </c>
      <c r="L259" s="124">
        <f t="shared" si="105"/>
        <v>-1.9925872252457739E-3</v>
      </c>
      <c r="N259" s="150"/>
      <c r="O259" s="154"/>
      <c r="P259" s="125"/>
      <c r="Q259" s="154"/>
      <c r="R259" s="125"/>
      <c r="S259" s="3"/>
      <c r="T259" s="150"/>
      <c r="U259" s="154"/>
      <c r="V259" s="125"/>
      <c r="W259" s="154"/>
      <c r="X259" s="125"/>
      <c r="Y259" s="3"/>
    </row>
    <row r="260" spans="8:25" x14ac:dyDescent="0.3">
      <c r="H260" s="160">
        <v>41872</v>
      </c>
      <c r="I260" s="159">
        <v>98.075180000000003</v>
      </c>
      <c r="J260" s="123">
        <f t="shared" si="104"/>
        <v>4.5889786153897561E-3</v>
      </c>
      <c r="K260" s="165">
        <v>1992.369995</v>
      </c>
      <c r="L260" s="124">
        <f t="shared" si="105"/>
        <v>2.9498894898596817E-3</v>
      </c>
      <c r="N260" s="150"/>
      <c r="O260" s="154"/>
      <c r="P260" s="125"/>
      <c r="Q260" s="154"/>
      <c r="R260" s="125"/>
      <c r="S260" s="3"/>
      <c r="T260" s="150"/>
      <c r="U260" s="154"/>
      <c r="V260" s="125"/>
      <c r="W260" s="154"/>
      <c r="X260" s="125"/>
      <c r="Y260" s="3"/>
    </row>
    <row r="261" spans="8:25" x14ac:dyDescent="0.3">
      <c r="H261" s="160">
        <v>41871</v>
      </c>
      <c r="I261" s="159">
        <v>97.627171000000004</v>
      </c>
      <c r="J261" s="123">
        <f t="shared" si="104"/>
        <v>2.2997197904368405E-3</v>
      </c>
      <c r="K261" s="165">
        <v>1986.51001</v>
      </c>
      <c r="L261" s="124">
        <f t="shared" si="105"/>
        <v>2.4778129084918783E-3</v>
      </c>
      <c r="N261" s="150"/>
      <c r="O261" s="154"/>
      <c r="P261" s="125"/>
      <c r="Q261" s="154"/>
      <c r="R261" s="125"/>
      <c r="S261" s="3"/>
      <c r="T261" s="150"/>
      <c r="U261" s="154"/>
      <c r="V261" s="125"/>
      <c r="W261" s="154"/>
      <c r="X261" s="125"/>
      <c r="Y261" s="3"/>
    </row>
    <row r="262" spans="8:25" x14ac:dyDescent="0.3">
      <c r="H262" s="160">
        <v>41870</v>
      </c>
      <c r="I262" s="159">
        <v>97.403171</v>
      </c>
      <c r="J262" s="123">
        <f t="shared" si="104"/>
        <v>-8.2308054030844242E-3</v>
      </c>
      <c r="K262" s="165">
        <v>1981.599976</v>
      </c>
      <c r="L262" s="124">
        <f t="shared" si="105"/>
        <v>5.0006522411709742E-3</v>
      </c>
      <c r="N262" s="150"/>
      <c r="O262" s="154"/>
      <c r="P262" s="125"/>
      <c r="Q262" s="154"/>
      <c r="R262" s="125"/>
      <c r="S262" s="3"/>
      <c r="T262" s="150"/>
      <c r="U262" s="154"/>
      <c r="V262" s="125"/>
      <c r="W262" s="154"/>
      <c r="X262" s="125"/>
      <c r="Y262" s="3"/>
    </row>
    <row r="263" spans="8:25" x14ac:dyDescent="0.3">
      <c r="H263" s="160">
        <v>41869</v>
      </c>
      <c r="I263" s="159">
        <v>98.211530999999994</v>
      </c>
      <c r="J263" s="123">
        <f t="shared" si="104"/>
        <v>2.1863874148086828E-3</v>
      </c>
      <c r="K263" s="165">
        <v>1971.73999</v>
      </c>
      <c r="L263" s="124">
        <f t="shared" si="105"/>
        <v>8.5316719162744272E-3</v>
      </c>
      <c r="N263" s="150"/>
      <c r="O263" s="154"/>
      <c r="P263" s="125"/>
      <c r="Q263" s="154"/>
      <c r="R263" s="125"/>
      <c r="S263" s="3"/>
      <c r="T263" s="150"/>
      <c r="U263" s="154"/>
      <c r="V263" s="125"/>
      <c r="W263" s="154"/>
      <c r="X263" s="125"/>
      <c r="Y263" s="3"/>
    </row>
    <row r="264" spans="8:25" x14ac:dyDescent="0.3">
      <c r="H264" s="160">
        <v>41866</v>
      </c>
      <c r="I264" s="159">
        <v>97.997270999999998</v>
      </c>
      <c r="J264" s="123">
        <f t="shared" si="104"/>
        <v>2.5906948848833256E-3</v>
      </c>
      <c r="K264" s="165">
        <v>1955.0600589999999</v>
      </c>
      <c r="L264" s="124">
        <f t="shared" si="105"/>
        <v>-6.1372864230343249E-5</v>
      </c>
      <c r="N264" s="150"/>
      <c r="O264" s="154"/>
      <c r="P264" s="125"/>
      <c r="Q264" s="154"/>
      <c r="R264" s="125"/>
      <c r="S264" s="3"/>
      <c r="T264" s="150"/>
      <c r="U264" s="154"/>
      <c r="V264" s="125"/>
      <c r="W264" s="154"/>
      <c r="X264" s="125"/>
      <c r="Y264" s="3"/>
    </row>
    <row r="265" spans="8:25" x14ac:dyDescent="0.3">
      <c r="H265" s="160">
        <v>41865</v>
      </c>
      <c r="I265" s="159">
        <v>97.744045999999997</v>
      </c>
      <c r="J265" s="123">
        <f t="shared" si="104"/>
        <v>-3.9841279574524054E-4</v>
      </c>
      <c r="K265" s="165">
        <v>1955.1800539999999</v>
      </c>
      <c r="L265" s="124">
        <f t="shared" si="105"/>
        <v>4.3458140492872877E-3</v>
      </c>
      <c r="N265" s="150"/>
      <c r="O265" s="154"/>
      <c r="P265" s="125"/>
      <c r="Q265" s="154"/>
      <c r="R265" s="125"/>
      <c r="S265" s="3"/>
      <c r="T265" s="150"/>
      <c r="U265" s="154"/>
      <c r="V265" s="125"/>
      <c r="W265" s="154"/>
      <c r="X265" s="125"/>
      <c r="Y265" s="3"/>
    </row>
    <row r="266" spans="8:25" x14ac:dyDescent="0.3">
      <c r="H266" s="160">
        <v>41864</v>
      </c>
      <c r="I266" s="159">
        <v>97.783004000000005</v>
      </c>
      <c r="J266" s="123">
        <f t="shared" ref="J266:J329" si="108">(I266-I267)/I267</f>
        <v>8.9438088185956194E-3</v>
      </c>
      <c r="K266" s="165">
        <v>1946.719971</v>
      </c>
      <c r="L266" s="124">
        <f t="shared" ref="L266:L329" si="109">(K266-K267)/K267</f>
        <v>6.707160180995468E-3</v>
      </c>
      <c r="N266" s="150"/>
      <c r="O266" s="154"/>
      <c r="P266" s="125"/>
      <c r="Q266" s="154"/>
      <c r="R266" s="125"/>
      <c r="S266" s="3"/>
      <c r="T266" s="150"/>
      <c r="U266" s="154"/>
      <c r="V266" s="125"/>
      <c r="W266" s="154"/>
      <c r="X266" s="125"/>
      <c r="Y266" s="3"/>
    </row>
    <row r="267" spans="8:25" x14ac:dyDescent="0.3">
      <c r="H267" s="160">
        <v>41863</v>
      </c>
      <c r="I267" s="159">
        <v>96.916203999999993</v>
      </c>
      <c r="J267" s="123">
        <f t="shared" si="108"/>
        <v>-1.4166831029490509E-2</v>
      </c>
      <c r="K267" s="165">
        <v>1933.75</v>
      </c>
      <c r="L267" s="124">
        <f t="shared" si="109"/>
        <v>-1.6366416413624359E-3</v>
      </c>
      <c r="N267" s="150"/>
      <c r="O267" s="154"/>
      <c r="P267" s="125"/>
      <c r="Q267" s="154"/>
      <c r="R267" s="125"/>
      <c r="S267" s="3"/>
      <c r="T267" s="150"/>
      <c r="U267" s="154"/>
      <c r="V267" s="125"/>
      <c r="W267" s="154"/>
      <c r="X267" s="125"/>
      <c r="Y267" s="3"/>
    </row>
    <row r="268" spans="8:25" x14ac:dyDescent="0.3">
      <c r="H268" s="160">
        <v>41862</v>
      </c>
      <c r="I268" s="159">
        <v>98.308930000000004</v>
      </c>
      <c r="J268" s="123">
        <f t="shared" si="108"/>
        <v>-3.5538071140748268E-3</v>
      </c>
      <c r="K268" s="165">
        <v>1936.920044</v>
      </c>
      <c r="L268" s="124">
        <f t="shared" si="109"/>
        <v>2.759425185375993E-3</v>
      </c>
      <c r="N268" s="150"/>
      <c r="O268" s="154"/>
      <c r="P268" s="125"/>
      <c r="Q268" s="154"/>
      <c r="R268" s="125"/>
      <c r="S268" s="3"/>
      <c r="T268" s="150"/>
      <c r="U268" s="154"/>
      <c r="V268" s="125"/>
      <c r="W268" s="154"/>
      <c r="X268" s="125"/>
      <c r="Y268" s="3"/>
    </row>
    <row r="269" spans="8:25" x14ac:dyDescent="0.3">
      <c r="H269" s="160">
        <v>41859</v>
      </c>
      <c r="I269" s="159">
        <v>98.659547000000003</v>
      </c>
      <c r="J269" s="123">
        <f t="shared" si="108"/>
        <v>-2.9527126071366922E-3</v>
      </c>
      <c r="K269" s="165">
        <v>1931.589966</v>
      </c>
      <c r="L269" s="124">
        <f t="shared" si="109"/>
        <v>1.1531402683690923E-2</v>
      </c>
      <c r="N269" s="150"/>
      <c r="O269" s="154"/>
      <c r="P269" s="125"/>
      <c r="Q269" s="154"/>
      <c r="R269" s="125"/>
      <c r="S269" s="3"/>
      <c r="T269" s="150"/>
      <c r="U269" s="154"/>
      <c r="V269" s="125"/>
      <c r="W269" s="154"/>
      <c r="X269" s="125"/>
      <c r="Y269" s="3"/>
    </row>
    <row r="270" spans="8:25" x14ac:dyDescent="0.3">
      <c r="H270" s="160">
        <v>41858</v>
      </c>
      <c r="I270" s="159">
        <v>98.951723000000001</v>
      </c>
      <c r="J270" s="123">
        <f t="shared" si="108"/>
        <v>-2.7483153013648704E-3</v>
      </c>
      <c r="K270" s="165">
        <v>1909.5699460000001</v>
      </c>
      <c r="L270" s="124">
        <f t="shared" si="109"/>
        <v>-5.5566200347696966E-3</v>
      </c>
      <c r="N270" s="150"/>
      <c r="O270" s="154"/>
      <c r="P270" s="125"/>
      <c r="Q270" s="154"/>
      <c r="R270" s="125"/>
      <c r="S270" s="3"/>
      <c r="T270" s="150"/>
      <c r="U270" s="154"/>
      <c r="V270" s="125"/>
      <c r="W270" s="154"/>
      <c r="X270" s="125"/>
      <c r="Y270" s="3"/>
    </row>
    <row r="271" spans="8:25" x14ac:dyDescent="0.3">
      <c r="H271" s="160">
        <v>41857</v>
      </c>
      <c r="I271" s="159">
        <v>99.224423000000002</v>
      </c>
      <c r="J271" s="123">
        <f t="shared" si="108"/>
        <v>2.2626267189043013E-3</v>
      </c>
      <c r="K271" s="165">
        <v>1920.23999</v>
      </c>
      <c r="L271" s="124">
        <f t="shared" si="109"/>
        <v>1.5638394034980837E-5</v>
      </c>
      <c r="N271" s="150"/>
      <c r="O271" s="154"/>
      <c r="P271" s="125"/>
      <c r="Q271" s="154"/>
      <c r="R271" s="125"/>
      <c r="S271" s="3"/>
      <c r="T271" s="150"/>
      <c r="U271" s="154"/>
      <c r="V271" s="125"/>
      <c r="W271" s="154"/>
      <c r="X271" s="125"/>
      <c r="Y271" s="3"/>
    </row>
    <row r="272" spans="8:25" x14ac:dyDescent="0.3">
      <c r="H272" s="160">
        <v>41856</v>
      </c>
      <c r="I272" s="159">
        <v>99.000422</v>
      </c>
      <c r="J272" s="123">
        <f t="shared" si="108"/>
        <v>-4.407419285189635E-3</v>
      </c>
      <c r="K272" s="165">
        <v>1920.209961</v>
      </c>
      <c r="L272" s="124">
        <f t="shared" si="109"/>
        <v>-9.6854698048234964E-3</v>
      </c>
      <c r="N272" s="150"/>
      <c r="O272" s="154"/>
      <c r="P272" s="125"/>
      <c r="Q272" s="154"/>
      <c r="R272" s="125"/>
      <c r="S272" s="3"/>
      <c r="T272" s="150"/>
      <c r="U272" s="154"/>
      <c r="V272" s="125"/>
      <c r="W272" s="154"/>
      <c r="X272" s="125"/>
      <c r="Y272" s="3"/>
    </row>
    <row r="273" spans="8:25" x14ac:dyDescent="0.3">
      <c r="H273" s="160">
        <v>41855</v>
      </c>
      <c r="I273" s="159">
        <v>99.438689999999994</v>
      </c>
      <c r="J273" s="123">
        <f t="shared" si="108"/>
        <v>1.7946112494579836E-2</v>
      </c>
      <c r="K273" s="165">
        <v>1938.98999</v>
      </c>
      <c r="L273" s="124">
        <f t="shared" si="109"/>
        <v>7.1890324532962232E-3</v>
      </c>
      <c r="N273" s="150"/>
      <c r="O273" s="154"/>
      <c r="P273" s="125"/>
      <c r="Q273" s="154"/>
      <c r="R273" s="125"/>
      <c r="S273" s="3"/>
      <c r="T273" s="150"/>
      <c r="U273" s="154"/>
      <c r="V273" s="125"/>
      <c r="W273" s="154"/>
      <c r="X273" s="125"/>
      <c r="Y273" s="3"/>
    </row>
    <row r="274" spans="8:25" x14ac:dyDescent="0.3">
      <c r="H274" s="160">
        <v>41852</v>
      </c>
      <c r="I274" s="159">
        <v>97.685613000000004</v>
      </c>
      <c r="J274" s="123">
        <f t="shared" si="108"/>
        <v>4.1045554864172296E-3</v>
      </c>
      <c r="K274" s="165">
        <v>1925.150024</v>
      </c>
      <c r="L274" s="124">
        <f t="shared" si="109"/>
        <v>-2.8591213797275511E-3</v>
      </c>
      <c r="N274" s="150"/>
      <c r="O274" s="154"/>
      <c r="P274" s="125"/>
      <c r="Q274" s="154"/>
      <c r="R274" s="125"/>
      <c r="S274" s="3"/>
      <c r="T274" s="150"/>
      <c r="U274" s="154"/>
      <c r="V274" s="125"/>
      <c r="W274" s="154"/>
      <c r="X274" s="125"/>
      <c r="Y274" s="3"/>
    </row>
    <row r="275" spans="8:25" x14ac:dyDescent="0.3">
      <c r="H275" s="160">
        <v>41851</v>
      </c>
      <c r="I275" s="159">
        <v>97.286295999999993</v>
      </c>
      <c r="J275" s="123">
        <f t="shared" si="108"/>
        <v>-1.2651963027467556E-2</v>
      </c>
      <c r="K275" s="165">
        <v>1930.670044</v>
      </c>
      <c r="L275" s="124">
        <f t="shared" si="109"/>
        <v>-1.9999240169110276E-2</v>
      </c>
      <c r="N275" s="150"/>
      <c r="O275" s="154"/>
      <c r="P275" s="125"/>
      <c r="Q275" s="154"/>
      <c r="R275" s="125"/>
      <c r="S275" s="3"/>
      <c r="T275" s="150"/>
      <c r="U275" s="154"/>
      <c r="V275" s="125"/>
      <c r="W275" s="154"/>
      <c r="X275" s="125"/>
      <c r="Y275" s="3"/>
    </row>
    <row r="276" spans="8:25" x14ac:dyDescent="0.3">
      <c r="H276" s="160">
        <v>41850</v>
      </c>
      <c r="I276" s="159">
        <v>98.532931000000005</v>
      </c>
      <c r="J276" s="123">
        <f t="shared" si="108"/>
        <v>3.7701945821901699E-3</v>
      </c>
      <c r="K276" s="165">
        <v>1970.0699460000001</v>
      </c>
      <c r="L276" s="124">
        <f t="shared" si="109"/>
        <v>6.0912715035782736E-5</v>
      </c>
      <c r="N276" s="150"/>
      <c r="O276" s="154"/>
      <c r="P276" s="125"/>
      <c r="Q276" s="154"/>
      <c r="R276" s="125"/>
      <c r="S276" s="3"/>
      <c r="T276" s="150"/>
      <c r="U276" s="154"/>
      <c r="V276" s="125"/>
      <c r="W276" s="154"/>
      <c r="X276" s="125"/>
      <c r="Y276" s="3"/>
    </row>
    <row r="277" spans="8:25" x14ac:dyDescent="0.3">
      <c r="H277" s="160">
        <v>41849</v>
      </c>
      <c r="I277" s="159">
        <v>98.162837999999994</v>
      </c>
      <c r="J277" s="123">
        <f t="shared" si="108"/>
        <v>-1.983656649201769E-4</v>
      </c>
      <c r="K277" s="165">
        <v>1969.9499510000001</v>
      </c>
      <c r="L277" s="124">
        <f t="shared" si="109"/>
        <v>-4.5277869362705652E-3</v>
      </c>
      <c r="N277" s="150"/>
      <c r="O277" s="154"/>
      <c r="P277" s="125"/>
      <c r="Q277" s="154"/>
      <c r="R277" s="125"/>
      <c r="S277" s="3"/>
      <c r="T277" s="150"/>
      <c r="U277" s="154"/>
      <c r="V277" s="125"/>
      <c r="W277" s="154"/>
      <c r="X277" s="125"/>
      <c r="Y277" s="3"/>
    </row>
    <row r="278" spans="8:25" x14ac:dyDescent="0.3">
      <c r="H278" s="160">
        <v>41848</v>
      </c>
      <c r="I278" s="159">
        <v>98.182314000000005</v>
      </c>
      <c r="J278" s="123">
        <f t="shared" si="108"/>
        <v>1.4593369489951689E-2</v>
      </c>
      <c r="K278" s="165">
        <v>1978.910034</v>
      </c>
      <c r="L278" s="124">
        <f t="shared" si="109"/>
        <v>2.8815472052187821E-4</v>
      </c>
      <c r="N278" s="150"/>
      <c r="O278" s="154"/>
      <c r="P278" s="125"/>
      <c r="Q278" s="154"/>
      <c r="R278" s="125"/>
      <c r="S278" s="3"/>
      <c r="T278" s="150"/>
      <c r="U278" s="154"/>
      <c r="V278" s="125"/>
      <c r="W278" s="154"/>
      <c r="X278" s="125"/>
      <c r="Y278" s="3"/>
    </row>
    <row r="279" spans="8:25" x14ac:dyDescent="0.3">
      <c r="H279" s="160">
        <v>41845</v>
      </c>
      <c r="I279" s="159">
        <v>96.770111999999997</v>
      </c>
      <c r="J279" s="123">
        <f t="shared" si="108"/>
        <v>-2.4096156014585413E-3</v>
      </c>
      <c r="K279" s="165">
        <v>1978.339966</v>
      </c>
      <c r="L279" s="124">
        <f t="shared" si="109"/>
        <v>-4.8491504426518743E-3</v>
      </c>
      <c r="N279" s="150"/>
      <c r="O279" s="154"/>
      <c r="P279" s="125"/>
      <c r="Q279" s="154"/>
      <c r="R279" s="125"/>
      <c r="S279" s="3"/>
      <c r="T279" s="150"/>
      <c r="U279" s="154"/>
      <c r="V279" s="125"/>
      <c r="W279" s="154"/>
      <c r="X279" s="125"/>
      <c r="Y279" s="3"/>
    </row>
    <row r="280" spans="8:25" x14ac:dyDescent="0.3">
      <c r="H280" s="160">
        <v>41844</v>
      </c>
      <c r="I280" s="159">
        <v>97.003854000000004</v>
      </c>
      <c r="J280" s="123">
        <f t="shared" si="108"/>
        <v>0</v>
      </c>
      <c r="K280" s="165">
        <v>1987.9799800000001</v>
      </c>
      <c r="L280" s="124">
        <f t="shared" si="109"/>
        <v>4.8815556797325999E-4</v>
      </c>
      <c r="N280" s="150"/>
      <c r="O280" s="154"/>
      <c r="P280" s="125"/>
      <c r="Q280" s="154"/>
      <c r="R280" s="125"/>
      <c r="S280" s="3"/>
      <c r="T280" s="150"/>
      <c r="U280" s="154"/>
      <c r="V280" s="125"/>
      <c r="W280" s="154"/>
      <c r="X280" s="125"/>
      <c r="Y280" s="3"/>
    </row>
    <row r="281" spans="8:25" x14ac:dyDescent="0.3">
      <c r="H281" s="160">
        <v>41843</v>
      </c>
      <c r="I281" s="159">
        <v>97.003854000000004</v>
      </c>
      <c r="J281" s="123">
        <f t="shared" si="108"/>
        <v>-5.5911032930212714E-3</v>
      </c>
      <c r="K281" s="165">
        <v>1987.01001</v>
      </c>
      <c r="L281" s="124">
        <f t="shared" si="109"/>
        <v>1.7544382737449105E-3</v>
      </c>
      <c r="N281" s="150"/>
      <c r="O281" s="154"/>
      <c r="P281" s="125"/>
      <c r="Q281" s="154"/>
      <c r="R281" s="125"/>
      <c r="S281" s="3"/>
      <c r="T281" s="150"/>
      <c r="U281" s="154"/>
      <c r="V281" s="125"/>
      <c r="W281" s="154"/>
      <c r="X281" s="125"/>
      <c r="Y281" s="3"/>
    </row>
    <row r="282" spans="8:25" x14ac:dyDescent="0.3">
      <c r="H282" s="160">
        <v>41842</v>
      </c>
      <c r="I282" s="159">
        <v>97.549261999999999</v>
      </c>
      <c r="J282" s="123">
        <f t="shared" si="108"/>
        <v>1.1410727807334518E-2</v>
      </c>
      <c r="K282" s="165">
        <v>1983.530029</v>
      </c>
      <c r="L282" s="124">
        <f t="shared" si="109"/>
        <v>5.0161499242103542E-3</v>
      </c>
      <c r="N282" s="150"/>
      <c r="O282" s="154"/>
      <c r="P282" s="125"/>
      <c r="Q282" s="154"/>
      <c r="R282" s="125"/>
      <c r="S282" s="3"/>
      <c r="T282" s="150"/>
      <c r="U282" s="154"/>
      <c r="V282" s="125"/>
      <c r="W282" s="154"/>
      <c r="X282" s="125"/>
      <c r="Y282" s="3"/>
    </row>
    <row r="283" spans="8:25" x14ac:dyDescent="0.3">
      <c r="H283" s="160">
        <v>41841</v>
      </c>
      <c r="I283" s="159">
        <v>96.448712</v>
      </c>
      <c r="J283" s="123">
        <f t="shared" si="108"/>
        <v>-4.3233487259049875E-3</v>
      </c>
      <c r="K283" s="165">
        <v>1973.630005</v>
      </c>
      <c r="L283" s="124">
        <f t="shared" si="109"/>
        <v>-2.3202505622667196E-3</v>
      </c>
      <c r="N283" s="150"/>
      <c r="O283" s="154"/>
      <c r="P283" s="125"/>
      <c r="Q283" s="154"/>
      <c r="R283" s="125"/>
      <c r="S283" s="3"/>
      <c r="T283" s="150"/>
      <c r="U283" s="154"/>
      <c r="V283" s="125"/>
      <c r="W283" s="154"/>
      <c r="X283" s="125"/>
      <c r="Y283" s="3"/>
    </row>
    <row r="284" spans="8:25" x14ac:dyDescent="0.3">
      <c r="H284" s="160">
        <v>41838</v>
      </c>
      <c r="I284" s="159">
        <v>96.867503999999997</v>
      </c>
      <c r="J284" s="123">
        <f t="shared" si="108"/>
        <v>1.3346897697719467E-2</v>
      </c>
      <c r="K284" s="165">
        <v>1978.219971</v>
      </c>
      <c r="L284" s="124">
        <f t="shared" si="109"/>
        <v>1.0264935780914678E-2</v>
      </c>
      <c r="N284" s="150"/>
      <c r="O284" s="154"/>
      <c r="P284" s="125"/>
      <c r="Q284" s="154"/>
      <c r="R284" s="125"/>
      <c r="S284" s="3"/>
      <c r="T284" s="150"/>
      <c r="U284" s="154"/>
      <c r="V284" s="125"/>
      <c r="W284" s="154"/>
      <c r="X284" s="125"/>
      <c r="Y284" s="3"/>
    </row>
    <row r="285" spans="8:25" x14ac:dyDescent="0.3">
      <c r="H285" s="160">
        <v>41837</v>
      </c>
      <c r="I285" s="159">
        <v>95.591651999999996</v>
      </c>
      <c r="J285" s="123">
        <f t="shared" si="108"/>
        <v>-3.04257861428281E-2</v>
      </c>
      <c r="K285" s="165">
        <v>1958.119995</v>
      </c>
      <c r="L285" s="124">
        <f t="shared" si="109"/>
        <v>-1.1834026372541712E-2</v>
      </c>
      <c r="N285" s="150"/>
      <c r="O285" s="154"/>
      <c r="P285" s="125"/>
      <c r="Q285" s="154"/>
      <c r="R285" s="125"/>
      <c r="S285" s="3"/>
      <c r="T285" s="150"/>
      <c r="U285" s="154"/>
      <c r="V285" s="125"/>
      <c r="W285" s="154"/>
      <c r="X285" s="125"/>
      <c r="Y285" s="3"/>
    </row>
    <row r="286" spans="8:25" x14ac:dyDescent="0.3">
      <c r="H286" s="160">
        <v>41836</v>
      </c>
      <c r="I286" s="159">
        <v>98.591372000000007</v>
      </c>
      <c r="J286" s="123">
        <f t="shared" si="108"/>
        <v>2.5529376274931296E-2</v>
      </c>
      <c r="K286" s="165">
        <v>1981.5699460000001</v>
      </c>
      <c r="L286" s="124">
        <f t="shared" si="109"/>
        <v>4.2010849337998646E-3</v>
      </c>
      <c r="N286" s="150"/>
      <c r="O286" s="154"/>
      <c r="P286" s="125"/>
      <c r="Q286" s="154"/>
      <c r="R286" s="125"/>
      <c r="S286" s="3"/>
      <c r="T286" s="150"/>
      <c r="U286" s="154"/>
      <c r="V286" s="125"/>
      <c r="W286" s="154"/>
      <c r="X286" s="125"/>
      <c r="Y286" s="3"/>
    </row>
    <row r="287" spans="8:25" x14ac:dyDescent="0.3">
      <c r="H287" s="160">
        <v>41835</v>
      </c>
      <c r="I287" s="159">
        <v>96.137052999999995</v>
      </c>
      <c r="J287" s="123">
        <f t="shared" si="108"/>
        <v>2.8446444529803524E-3</v>
      </c>
      <c r="K287" s="165">
        <v>1973.280029</v>
      </c>
      <c r="L287" s="124">
        <f t="shared" si="109"/>
        <v>-1.932096022644409E-3</v>
      </c>
      <c r="N287" s="150"/>
      <c r="O287" s="154"/>
      <c r="P287" s="125"/>
      <c r="Q287" s="154"/>
      <c r="R287" s="125"/>
      <c r="S287" s="3"/>
      <c r="T287" s="150"/>
      <c r="U287" s="154"/>
      <c r="V287" s="125"/>
      <c r="W287" s="154"/>
      <c r="X287" s="125"/>
      <c r="Y287" s="3"/>
    </row>
    <row r="288" spans="8:25" x14ac:dyDescent="0.3">
      <c r="H288" s="160">
        <v>41834</v>
      </c>
      <c r="I288" s="159">
        <v>95.864352999999994</v>
      </c>
      <c r="J288" s="123">
        <f t="shared" si="108"/>
        <v>6.7505725305697763E-3</v>
      </c>
      <c r="K288" s="165">
        <v>1977.099976</v>
      </c>
      <c r="L288" s="124">
        <f t="shared" si="109"/>
        <v>4.8435533483188794E-3</v>
      </c>
      <c r="N288" s="150"/>
      <c r="O288" s="154"/>
      <c r="P288" s="125"/>
      <c r="Q288" s="154"/>
      <c r="R288" s="125"/>
      <c r="S288" s="3"/>
      <c r="T288" s="150"/>
      <c r="U288" s="154"/>
      <c r="V288" s="125"/>
      <c r="W288" s="154"/>
      <c r="X288" s="125"/>
      <c r="Y288" s="3"/>
    </row>
    <row r="289" spans="8:25" x14ac:dyDescent="0.3">
      <c r="H289" s="160">
        <v>41831</v>
      </c>
      <c r="I289" s="159">
        <v>95.221553</v>
      </c>
      <c r="J289" s="123">
        <f t="shared" si="108"/>
        <v>2.4735288029752441E-2</v>
      </c>
      <c r="K289" s="165">
        <v>1967.5699460000001</v>
      </c>
      <c r="L289" s="124">
        <f t="shared" si="109"/>
        <v>1.4709224507656886E-3</v>
      </c>
      <c r="N289" s="150"/>
      <c r="O289" s="154"/>
      <c r="P289" s="125"/>
      <c r="Q289" s="154"/>
      <c r="R289" s="125"/>
      <c r="S289" s="3"/>
      <c r="T289" s="150"/>
      <c r="U289" s="154"/>
      <c r="V289" s="125"/>
      <c r="W289" s="154"/>
      <c r="X289" s="125"/>
      <c r="Y289" s="3"/>
    </row>
    <row r="290" spans="8:25" x14ac:dyDescent="0.3">
      <c r="H290" s="160">
        <v>41830</v>
      </c>
      <c r="I290" s="159">
        <v>92.923074</v>
      </c>
      <c r="J290" s="123">
        <f t="shared" si="108"/>
        <v>1.1770942679856773E-2</v>
      </c>
      <c r="K290" s="165">
        <v>1964.6800539999999</v>
      </c>
      <c r="L290" s="124">
        <f t="shared" si="109"/>
        <v>-4.1310716999271432E-3</v>
      </c>
      <c r="N290" s="150"/>
      <c r="O290" s="154"/>
      <c r="P290" s="125"/>
      <c r="Q290" s="154"/>
      <c r="R290" s="125"/>
      <c r="S290" s="3"/>
      <c r="T290" s="150"/>
      <c r="U290" s="154"/>
      <c r="V290" s="125"/>
      <c r="W290" s="154"/>
      <c r="X290" s="125"/>
      <c r="Y290" s="3"/>
    </row>
    <row r="291" spans="8:25" x14ac:dyDescent="0.3">
      <c r="H291" s="160">
        <v>41829</v>
      </c>
      <c r="I291" s="159">
        <v>91.842006999999995</v>
      </c>
      <c r="J291" s="123">
        <f t="shared" si="108"/>
        <v>-6.3582938231860427E-4</v>
      </c>
      <c r="K291" s="165">
        <v>1972.829956</v>
      </c>
      <c r="L291" s="124">
        <f t="shared" si="109"/>
        <v>4.6442678303448386E-3</v>
      </c>
      <c r="N291" s="150"/>
      <c r="O291" s="154"/>
      <c r="P291" s="125"/>
      <c r="Q291" s="154"/>
      <c r="R291" s="125"/>
      <c r="S291" s="3"/>
      <c r="T291" s="150"/>
      <c r="U291" s="154"/>
      <c r="V291" s="125"/>
      <c r="W291" s="154"/>
      <c r="X291" s="125"/>
      <c r="Y291" s="3"/>
    </row>
    <row r="292" spans="8:25" x14ac:dyDescent="0.3">
      <c r="H292" s="160">
        <v>41828</v>
      </c>
      <c r="I292" s="159">
        <v>91.900440000000003</v>
      </c>
      <c r="J292" s="123">
        <f t="shared" si="108"/>
        <v>-1.4311115150616695E-2</v>
      </c>
      <c r="K292" s="165">
        <v>1963.709961</v>
      </c>
      <c r="L292" s="124">
        <f t="shared" si="109"/>
        <v>-7.0488017752528337E-3</v>
      </c>
      <c r="N292" s="150"/>
      <c r="O292" s="154"/>
      <c r="P292" s="125"/>
      <c r="Q292" s="154"/>
      <c r="R292" s="125"/>
      <c r="S292" s="3"/>
      <c r="T292" s="150"/>
      <c r="U292" s="154"/>
      <c r="V292" s="125"/>
      <c r="W292" s="154"/>
      <c r="X292" s="125"/>
      <c r="Y292" s="3"/>
    </row>
    <row r="293" spans="8:25" x14ac:dyDescent="0.3">
      <c r="H293" s="160">
        <v>41827</v>
      </c>
      <c r="I293" s="159">
        <v>93.234733000000006</v>
      </c>
      <c r="J293" s="123">
        <f t="shared" si="108"/>
        <v>-8.3902855131568477E-3</v>
      </c>
      <c r="K293" s="165">
        <v>1977.650024</v>
      </c>
      <c r="L293" s="124">
        <f t="shared" si="109"/>
        <v>-3.9235218548472122E-3</v>
      </c>
      <c r="N293" s="150"/>
      <c r="O293" s="154"/>
      <c r="P293" s="125"/>
      <c r="Q293" s="154"/>
      <c r="R293" s="125"/>
      <c r="S293" s="3"/>
      <c r="T293" s="150"/>
      <c r="U293" s="154"/>
      <c r="V293" s="125"/>
      <c r="W293" s="154"/>
      <c r="X293" s="125"/>
      <c r="Y293" s="3"/>
    </row>
    <row r="294" spans="8:25" x14ac:dyDescent="0.3">
      <c r="H294" s="160">
        <v>41823</v>
      </c>
      <c r="I294" s="159">
        <v>94.023617999999999</v>
      </c>
      <c r="J294" s="123">
        <f t="shared" si="108"/>
        <v>6.4637491744788623E-3</v>
      </c>
      <c r="K294" s="165">
        <v>1985.4399410000001</v>
      </c>
      <c r="L294" s="124">
        <f t="shared" si="109"/>
        <v>5.4795079698360255E-3</v>
      </c>
      <c r="N294" s="150"/>
      <c r="O294" s="154"/>
      <c r="P294" s="125"/>
      <c r="Q294" s="154"/>
      <c r="R294" s="125"/>
      <c r="S294" s="3"/>
      <c r="T294" s="150"/>
      <c r="U294" s="154"/>
      <c r="V294" s="125"/>
      <c r="W294" s="154"/>
      <c r="X294" s="125"/>
      <c r="Y294" s="3"/>
    </row>
    <row r="295" spans="8:25" x14ac:dyDescent="0.3">
      <c r="H295" s="160">
        <v>41822</v>
      </c>
      <c r="I295" s="159">
        <v>93.419775999999999</v>
      </c>
      <c r="J295" s="123">
        <f t="shared" si="108"/>
        <v>1.5456277274012243E-2</v>
      </c>
      <c r="K295" s="165">
        <v>1974.619995</v>
      </c>
      <c r="L295" s="124">
        <f t="shared" si="109"/>
        <v>6.5881308433292677E-4</v>
      </c>
      <c r="N295" s="150"/>
      <c r="O295" s="154"/>
      <c r="P295" s="125"/>
      <c r="Q295" s="154"/>
      <c r="R295" s="125"/>
      <c r="S295" s="3"/>
      <c r="T295" s="150"/>
      <c r="U295" s="154"/>
      <c r="V295" s="125"/>
      <c r="W295" s="154"/>
      <c r="X295" s="125"/>
      <c r="Y295" s="3"/>
    </row>
    <row r="296" spans="8:25" x14ac:dyDescent="0.3">
      <c r="H296" s="160">
        <v>41821</v>
      </c>
      <c r="I296" s="159">
        <v>91.997832000000002</v>
      </c>
      <c r="J296" s="123">
        <f t="shared" si="108"/>
        <v>2.3401904137508995E-2</v>
      </c>
      <c r="K296" s="165">
        <v>1973.3199460000001</v>
      </c>
      <c r="L296" s="124">
        <f t="shared" si="109"/>
        <v>6.6777705338431784E-3</v>
      </c>
      <c r="N296" s="150"/>
      <c r="O296" s="154"/>
      <c r="P296" s="125"/>
      <c r="Q296" s="154"/>
      <c r="R296" s="125"/>
      <c r="S296" s="3"/>
      <c r="T296" s="150"/>
      <c r="U296" s="154"/>
      <c r="V296" s="125"/>
      <c r="W296" s="154"/>
      <c r="X296" s="125"/>
      <c r="Y296" s="3"/>
    </row>
    <row r="297" spans="8:25" x14ac:dyDescent="0.3">
      <c r="H297" s="160">
        <v>41820</v>
      </c>
      <c r="I297" s="159">
        <v>89.894137999999998</v>
      </c>
      <c r="J297" s="123">
        <f t="shared" si="108"/>
        <v>-6.4585400882599345E-3</v>
      </c>
      <c r="K297" s="165">
        <v>1960.2299800000001</v>
      </c>
      <c r="L297" s="124">
        <f t="shared" si="109"/>
        <v>-3.7225696318026581E-4</v>
      </c>
      <c r="N297" s="150"/>
      <c r="O297" s="154"/>
      <c r="P297" s="125"/>
      <c r="Q297" s="154"/>
      <c r="R297" s="125"/>
      <c r="S297" s="3"/>
      <c r="T297" s="150"/>
      <c r="U297" s="154"/>
      <c r="V297" s="125"/>
      <c r="W297" s="154"/>
      <c r="X297" s="125"/>
      <c r="Y297" s="3"/>
    </row>
    <row r="298" spans="8:25" x14ac:dyDescent="0.3">
      <c r="H298" s="160">
        <v>41817</v>
      </c>
      <c r="I298" s="159">
        <v>90.478497000000004</v>
      </c>
      <c r="J298" s="123">
        <f t="shared" si="108"/>
        <v>1.0991418028631926E-2</v>
      </c>
      <c r="K298" s="165">
        <v>1960.959961</v>
      </c>
      <c r="L298" s="124">
        <f t="shared" si="109"/>
        <v>1.9108685050302067E-3</v>
      </c>
      <c r="N298" s="150"/>
      <c r="O298" s="154"/>
      <c r="P298" s="125"/>
      <c r="Q298" s="154"/>
      <c r="R298" s="125"/>
      <c r="S298" s="3"/>
      <c r="T298" s="150"/>
      <c r="U298" s="154"/>
      <c r="V298" s="125"/>
      <c r="W298" s="154"/>
      <c r="X298" s="125"/>
      <c r="Y298" s="3"/>
    </row>
    <row r="299" spans="8:25" x14ac:dyDescent="0.3">
      <c r="H299" s="160">
        <v>41816</v>
      </c>
      <c r="I299" s="159">
        <v>89.494821999999999</v>
      </c>
      <c r="J299" s="123">
        <f t="shared" si="108"/>
        <v>-5.4385844398501101E-4</v>
      </c>
      <c r="K299" s="165">
        <v>1957.219971</v>
      </c>
      <c r="L299" s="124">
        <f t="shared" si="109"/>
        <v>-1.178883694463672E-3</v>
      </c>
      <c r="N299" s="150"/>
      <c r="O299" s="154"/>
      <c r="P299" s="125"/>
      <c r="Q299" s="154"/>
      <c r="R299" s="125"/>
      <c r="S299" s="3"/>
      <c r="T299" s="150"/>
      <c r="U299" s="154"/>
      <c r="V299" s="125"/>
      <c r="W299" s="154"/>
      <c r="X299" s="125"/>
      <c r="Y299" s="3"/>
    </row>
    <row r="300" spans="8:25" x14ac:dyDescent="0.3">
      <c r="H300" s="160">
        <v>41815</v>
      </c>
      <c r="I300" s="159">
        <v>89.543520999999998</v>
      </c>
      <c r="J300" s="123">
        <f t="shared" si="108"/>
        <v>1.9064508708106696E-2</v>
      </c>
      <c r="K300" s="165">
        <v>1959.530029</v>
      </c>
      <c r="L300" s="124">
        <f t="shared" si="109"/>
        <v>4.89751130675708E-3</v>
      </c>
      <c r="N300" s="150"/>
      <c r="O300" s="154"/>
      <c r="P300" s="125"/>
      <c r="Q300" s="154"/>
      <c r="R300" s="125"/>
      <c r="S300" s="3"/>
      <c r="T300" s="150"/>
      <c r="U300" s="154"/>
      <c r="V300" s="125"/>
      <c r="W300" s="154"/>
      <c r="X300" s="125"/>
      <c r="Y300" s="3"/>
    </row>
    <row r="301" spans="8:25" x14ac:dyDescent="0.3">
      <c r="H301" s="160">
        <v>41814</v>
      </c>
      <c r="I301" s="159">
        <v>87.868353999999997</v>
      </c>
      <c r="J301" s="123">
        <f t="shared" si="108"/>
        <v>-1.0590605936382887E-2</v>
      </c>
      <c r="K301" s="165">
        <v>1949.9799800000001</v>
      </c>
      <c r="L301" s="124">
        <f t="shared" si="109"/>
        <v>-6.4353106814546155E-3</v>
      </c>
      <c r="N301" s="150"/>
      <c r="O301" s="154"/>
      <c r="P301" s="125"/>
      <c r="Q301" s="154"/>
      <c r="R301" s="125"/>
      <c r="S301" s="3"/>
      <c r="T301" s="150"/>
      <c r="U301" s="154"/>
      <c r="V301" s="125"/>
      <c r="W301" s="154"/>
      <c r="X301" s="125"/>
      <c r="Y301" s="3"/>
    </row>
    <row r="302" spans="8:25" x14ac:dyDescent="0.3">
      <c r="H302" s="160">
        <v>41813</v>
      </c>
      <c r="I302" s="159">
        <v>88.808893999999995</v>
      </c>
      <c r="J302" s="123">
        <f t="shared" si="108"/>
        <v>1.4213572131267264E-3</v>
      </c>
      <c r="K302" s="165">
        <v>1962.6099850000001</v>
      </c>
      <c r="L302" s="124">
        <f t="shared" si="109"/>
        <v>-1.3246419817017257E-4</v>
      </c>
      <c r="N302" s="150"/>
      <c r="O302" s="154"/>
      <c r="P302" s="125"/>
      <c r="Q302" s="154"/>
      <c r="R302" s="125"/>
      <c r="S302" s="3"/>
      <c r="T302" s="150"/>
      <c r="U302" s="154"/>
      <c r="V302" s="125"/>
      <c r="W302" s="154"/>
      <c r="X302" s="125"/>
      <c r="Y302" s="3"/>
    </row>
    <row r="303" spans="8:25" x14ac:dyDescent="0.3">
      <c r="H303" s="160">
        <v>41810</v>
      </c>
      <c r="I303" s="159">
        <v>88.682844000000003</v>
      </c>
      <c r="J303" s="123">
        <f t="shared" si="108"/>
        <v>1.9719504304173069E-3</v>
      </c>
      <c r="K303" s="165">
        <v>1962.869995</v>
      </c>
      <c r="L303" s="124">
        <f t="shared" si="109"/>
        <v>1.730058502562475E-3</v>
      </c>
      <c r="N303" s="150"/>
      <c r="O303" s="154"/>
      <c r="P303" s="125"/>
      <c r="Q303" s="154"/>
      <c r="R303" s="125"/>
      <c r="S303" s="3"/>
      <c r="T303" s="150"/>
      <c r="U303" s="154"/>
      <c r="V303" s="125"/>
      <c r="W303" s="154"/>
      <c r="X303" s="125"/>
      <c r="Y303" s="3"/>
    </row>
    <row r="304" spans="8:25" x14ac:dyDescent="0.3">
      <c r="H304" s="160">
        <v>41809</v>
      </c>
      <c r="I304" s="159">
        <v>88.508309999999994</v>
      </c>
      <c r="J304" s="123">
        <f t="shared" si="108"/>
        <v>-1.8389059292994954E-2</v>
      </c>
      <c r="K304" s="165">
        <v>1959.4799800000001</v>
      </c>
      <c r="L304" s="124">
        <f t="shared" si="109"/>
        <v>1.2774785769653096E-3</v>
      </c>
      <c r="N304" s="150"/>
      <c r="O304" s="154"/>
      <c r="P304" s="125"/>
      <c r="Q304" s="154"/>
      <c r="R304" s="125"/>
      <c r="S304" s="3"/>
      <c r="T304" s="150"/>
      <c r="U304" s="154"/>
      <c r="V304" s="125"/>
      <c r="W304" s="154"/>
      <c r="X304" s="125"/>
      <c r="Y304" s="3"/>
    </row>
    <row r="305" spans="8:25" x14ac:dyDescent="0.3">
      <c r="H305" s="160">
        <v>41808</v>
      </c>
      <c r="I305" s="159">
        <v>90.166385000000005</v>
      </c>
      <c r="J305" s="123">
        <f t="shared" si="108"/>
        <v>7.2573472326643877E-3</v>
      </c>
      <c r="K305" s="165">
        <v>1956.9799800000001</v>
      </c>
      <c r="L305" s="124">
        <f t="shared" si="109"/>
        <v>7.7188811874360046E-3</v>
      </c>
      <c r="N305" s="150"/>
      <c r="O305" s="154"/>
      <c r="P305" s="125"/>
      <c r="Q305" s="154"/>
      <c r="R305" s="125"/>
      <c r="S305" s="3"/>
      <c r="T305" s="150"/>
      <c r="U305" s="154"/>
      <c r="V305" s="125"/>
      <c r="W305" s="154"/>
      <c r="X305" s="125"/>
      <c r="Y305" s="3"/>
    </row>
    <row r="306" spans="8:25" x14ac:dyDescent="0.3">
      <c r="H306" s="160">
        <v>41807</v>
      </c>
      <c r="I306" s="159">
        <v>89.516730999999993</v>
      </c>
      <c r="J306" s="123">
        <f t="shared" si="108"/>
        <v>9.4030250089858422E-3</v>
      </c>
      <c r="K306" s="165">
        <v>1941.98999</v>
      </c>
      <c r="L306" s="124">
        <f t="shared" si="109"/>
        <v>2.1725690929803782E-3</v>
      </c>
      <c r="N306" s="150"/>
      <c r="O306" s="154"/>
      <c r="P306" s="125"/>
      <c r="Q306" s="154"/>
      <c r="R306" s="125"/>
      <c r="S306" s="3"/>
      <c r="T306" s="150"/>
      <c r="U306" s="154"/>
      <c r="V306" s="125"/>
      <c r="W306" s="154"/>
      <c r="X306" s="125"/>
      <c r="Y306" s="3"/>
    </row>
    <row r="307" spans="8:25" x14ac:dyDescent="0.3">
      <c r="H307" s="160">
        <v>41806</v>
      </c>
      <c r="I307" s="159">
        <v>88.682844000000003</v>
      </c>
      <c r="J307" s="123">
        <f t="shared" si="108"/>
        <v>-7.1646091462395992E-3</v>
      </c>
      <c r="K307" s="165">
        <v>1937.780029</v>
      </c>
      <c r="L307" s="124">
        <f t="shared" si="109"/>
        <v>8.3670511298242049E-4</v>
      </c>
      <c r="N307" s="150"/>
      <c r="O307" s="154"/>
      <c r="P307" s="125"/>
      <c r="Q307" s="154"/>
      <c r="R307" s="125"/>
      <c r="S307" s="3"/>
      <c r="T307" s="150"/>
      <c r="U307" s="154"/>
      <c r="V307" s="125"/>
      <c r="W307" s="154"/>
      <c r="X307" s="125"/>
      <c r="Y307" s="3"/>
    </row>
    <row r="308" spans="8:25" x14ac:dyDescent="0.3">
      <c r="H308" s="160">
        <v>41803</v>
      </c>
      <c r="I308" s="159">
        <v>89.322806999999997</v>
      </c>
      <c r="J308" s="123">
        <f t="shared" si="108"/>
        <v>2.6521118698174962E-2</v>
      </c>
      <c r="K308" s="165">
        <v>1936.160034</v>
      </c>
      <c r="L308" s="124">
        <f t="shared" si="109"/>
        <v>3.1345617850891249E-3</v>
      </c>
      <c r="N308" s="150"/>
      <c r="O308" s="154"/>
      <c r="P308" s="125"/>
      <c r="Q308" s="154"/>
      <c r="R308" s="125"/>
      <c r="S308" s="3"/>
      <c r="T308" s="150"/>
      <c r="U308" s="154"/>
      <c r="V308" s="125"/>
      <c r="W308" s="154"/>
      <c r="X308" s="125"/>
      <c r="Y308" s="3"/>
    </row>
    <row r="309" spans="8:25" x14ac:dyDescent="0.3">
      <c r="H309" s="160">
        <v>41802</v>
      </c>
      <c r="I309" s="159">
        <v>87.015069999999994</v>
      </c>
      <c r="J309" s="123">
        <f t="shared" si="108"/>
        <v>-1.0584334220215598E-2</v>
      </c>
      <c r="K309" s="165">
        <v>1930.1099850000001</v>
      </c>
      <c r="L309" s="124">
        <f t="shared" si="109"/>
        <v>-7.0888938641931847E-3</v>
      </c>
      <c r="N309" s="150"/>
      <c r="O309" s="154"/>
      <c r="P309" s="125"/>
      <c r="Q309" s="154"/>
      <c r="R309" s="125"/>
      <c r="S309" s="3"/>
      <c r="T309" s="150"/>
      <c r="U309" s="154"/>
      <c r="V309" s="125"/>
      <c r="W309" s="154"/>
      <c r="X309" s="125"/>
      <c r="Y309" s="3"/>
    </row>
    <row r="310" spans="8:25" x14ac:dyDescent="0.3">
      <c r="H310" s="160">
        <v>41801</v>
      </c>
      <c r="I310" s="159">
        <v>87.945919000000004</v>
      </c>
      <c r="J310" s="123">
        <f t="shared" si="108"/>
        <v>-8.8127610297488541E-4</v>
      </c>
      <c r="K310" s="165">
        <v>1943.8900149999999</v>
      </c>
      <c r="L310" s="124">
        <f t="shared" si="109"/>
        <v>-3.5370408204140058E-3</v>
      </c>
      <c r="N310" s="150"/>
      <c r="O310" s="154"/>
      <c r="P310" s="125"/>
      <c r="Q310" s="154"/>
      <c r="R310" s="125"/>
      <c r="S310" s="3"/>
      <c r="T310" s="150"/>
      <c r="U310" s="154"/>
      <c r="V310" s="125"/>
      <c r="W310" s="154"/>
      <c r="X310" s="125"/>
      <c r="Y310" s="3"/>
    </row>
    <row r="311" spans="8:25" x14ac:dyDescent="0.3">
      <c r="H311" s="160">
        <v>41800</v>
      </c>
      <c r="I311" s="159">
        <v>88.023492000000005</v>
      </c>
      <c r="J311" s="123">
        <f t="shared" si="108"/>
        <v>-9.3845554458678107E-3</v>
      </c>
      <c r="K311" s="165">
        <v>1950.790039</v>
      </c>
      <c r="L311" s="124">
        <f t="shared" si="109"/>
        <v>-2.4598389514535386E-4</v>
      </c>
      <c r="N311" s="150"/>
      <c r="O311" s="154"/>
      <c r="P311" s="125"/>
      <c r="Q311" s="154"/>
      <c r="R311" s="125"/>
      <c r="S311" s="3"/>
      <c r="T311" s="150"/>
      <c r="U311" s="154"/>
      <c r="V311" s="125"/>
      <c r="W311" s="154"/>
      <c r="X311" s="125"/>
      <c r="Y311" s="3"/>
    </row>
    <row r="312" spans="8:25" x14ac:dyDescent="0.3">
      <c r="H312" s="160">
        <v>41799</v>
      </c>
      <c r="I312" s="159">
        <v>88.857378999999995</v>
      </c>
      <c r="J312" s="123">
        <f t="shared" si="108"/>
        <v>-5.6424127797004391E-3</v>
      </c>
      <c r="K312" s="165">
        <v>1951.2700199999999</v>
      </c>
      <c r="L312" s="124">
        <f t="shared" si="109"/>
        <v>9.387716756542239E-4</v>
      </c>
      <c r="N312" s="150"/>
      <c r="O312" s="154"/>
      <c r="P312" s="125"/>
      <c r="Q312" s="154"/>
      <c r="R312" s="125"/>
      <c r="S312" s="3"/>
      <c r="T312" s="150"/>
      <c r="U312" s="154"/>
      <c r="V312" s="125"/>
      <c r="W312" s="154"/>
      <c r="X312" s="125"/>
      <c r="Y312" s="3"/>
    </row>
    <row r="313" spans="8:25" x14ac:dyDescent="0.3">
      <c r="H313" s="160">
        <v>41796</v>
      </c>
      <c r="I313" s="159">
        <v>89.361593999999997</v>
      </c>
      <c r="J313" s="123">
        <f t="shared" si="108"/>
        <v>2.2839238455466498E-3</v>
      </c>
      <c r="K313" s="165">
        <v>1949.4399410000001</v>
      </c>
      <c r="L313" s="124">
        <f t="shared" si="109"/>
        <v>4.6277584595831138E-3</v>
      </c>
      <c r="N313" s="150"/>
      <c r="O313" s="154"/>
      <c r="P313" s="125"/>
      <c r="Q313" s="154"/>
      <c r="R313" s="125"/>
      <c r="S313" s="3"/>
      <c r="T313" s="150"/>
      <c r="U313" s="154"/>
      <c r="V313" s="125"/>
      <c r="W313" s="154"/>
      <c r="X313" s="125"/>
      <c r="Y313" s="3"/>
    </row>
    <row r="314" spans="8:25" x14ac:dyDescent="0.3">
      <c r="H314" s="160">
        <v>41795</v>
      </c>
      <c r="I314" s="159">
        <v>89.157964000000007</v>
      </c>
      <c r="J314" s="123">
        <f t="shared" si="108"/>
        <v>3.140769461361418E-2</v>
      </c>
      <c r="K314" s="165">
        <v>1940.459961</v>
      </c>
      <c r="L314" s="124">
        <f t="shared" si="109"/>
        <v>6.5252795647932653E-3</v>
      </c>
      <c r="N314" s="150"/>
      <c r="O314" s="154"/>
      <c r="P314" s="125"/>
      <c r="Q314" s="154"/>
      <c r="R314" s="125"/>
      <c r="S314" s="3"/>
      <c r="T314" s="150"/>
      <c r="U314" s="154"/>
      <c r="V314" s="125"/>
      <c r="W314" s="154"/>
      <c r="X314" s="125"/>
      <c r="Y314" s="3"/>
    </row>
    <row r="315" spans="8:25" x14ac:dyDescent="0.3">
      <c r="H315" s="160">
        <v>41794</v>
      </c>
      <c r="I315" s="159">
        <v>86.442988999999997</v>
      </c>
      <c r="J315" s="123">
        <f t="shared" si="108"/>
        <v>1.4336119723758464E-2</v>
      </c>
      <c r="K315" s="165">
        <v>1927.880005</v>
      </c>
      <c r="L315" s="124">
        <f t="shared" si="109"/>
        <v>1.8916637316117458E-3</v>
      </c>
      <c r="N315" s="150"/>
      <c r="O315" s="154"/>
      <c r="P315" s="125"/>
      <c r="Q315" s="154"/>
      <c r="R315" s="125"/>
      <c r="S315" s="3"/>
      <c r="T315" s="150"/>
      <c r="U315" s="154"/>
      <c r="V315" s="125"/>
      <c r="W315" s="154"/>
      <c r="X315" s="125"/>
      <c r="Y315" s="3"/>
    </row>
    <row r="316" spans="8:25" x14ac:dyDescent="0.3">
      <c r="H316" s="160">
        <v>41793</v>
      </c>
      <c r="I316" s="159">
        <v>85.221247000000005</v>
      </c>
      <c r="J316" s="123">
        <f t="shared" si="108"/>
        <v>2.6237250691148037E-3</v>
      </c>
      <c r="K316" s="165">
        <v>1924.23999</v>
      </c>
      <c r="L316" s="124">
        <f t="shared" si="109"/>
        <v>-3.7921682467635361E-4</v>
      </c>
      <c r="N316" s="150"/>
      <c r="O316" s="154"/>
      <c r="P316" s="125"/>
      <c r="Q316" s="154"/>
      <c r="R316" s="125"/>
      <c r="S316" s="3"/>
      <c r="T316" s="150"/>
      <c r="U316" s="154"/>
      <c r="V316" s="125"/>
      <c r="W316" s="154"/>
      <c r="X316" s="125"/>
      <c r="Y316" s="3"/>
    </row>
    <row r="317" spans="8:25" x14ac:dyDescent="0.3">
      <c r="H317" s="160">
        <v>41792</v>
      </c>
      <c r="I317" s="159">
        <v>84.998234999999994</v>
      </c>
      <c r="J317" s="123">
        <f t="shared" si="108"/>
        <v>-2.1627104922775425E-3</v>
      </c>
      <c r="K317" s="165">
        <v>1924.969971</v>
      </c>
      <c r="L317" s="124">
        <f t="shared" si="109"/>
        <v>7.2782640574688725E-4</v>
      </c>
      <c r="N317" s="150"/>
      <c r="O317" s="154"/>
      <c r="P317" s="125"/>
      <c r="Q317" s="154"/>
      <c r="R317" s="125"/>
      <c r="S317" s="3"/>
      <c r="T317" s="150"/>
      <c r="U317" s="154"/>
      <c r="V317" s="125"/>
      <c r="W317" s="154"/>
      <c r="X317" s="125"/>
      <c r="Y317" s="3"/>
    </row>
    <row r="318" spans="8:25" x14ac:dyDescent="0.3">
      <c r="H318" s="160">
        <v>41789</v>
      </c>
      <c r="I318" s="159">
        <v>85.182460000000006</v>
      </c>
      <c r="J318" s="123">
        <f t="shared" si="108"/>
        <v>8.2635213667217461E-3</v>
      </c>
      <c r="K318" s="165">
        <v>1923.5699460000001</v>
      </c>
      <c r="L318" s="124">
        <f t="shared" si="109"/>
        <v>1.8436779355184029E-3</v>
      </c>
      <c r="N318" s="150"/>
      <c r="O318" s="154"/>
      <c r="P318" s="125"/>
      <c r="Q318" s="154"/>
      <c r="R318" s="125"/>
      <c r="S318" s="3"/>
      <c r="T318" s="150"/>
      <c r="U318" s="154"/>
      <c r="V318" s="125"/>
      <c r="W318" s="154"/>
      <c r="X318" s="125"/>
      <c r="Y318" s="3"/>
    </row>
    <row r="319" spans="8:25" x14ac:dyDescent="0.3">
      <c r="H319" s="160">
        <v>41788</v>
      </c>
      <c r="I319" s="159">
        <v>84.484322000000006</v>
      </c>
      <c r="J319" s="123">
        <f t="shared" si="108"/>
        <v>-8.0274674356168251E-4</v>
      </c>
      <c r="K319" s="165">
        <v>1920.030029</v>
      </c>
      <c r="L319" s="124">
        <f t="shared" si="109"/>
        <v>5.3671102662892073E-3</v>
      </c>
      <c r="N319" s="150"/>
      <c r="O319" s="154"/>
      <c r="P319" s="125"/>
      <c r="Q319" s="154"/>
      <c r="R319" s="125"/>
      <c r="S319" s="3"/>
      <c r="T319" s="150"/>
      <c r="U319" s="154"/>
      <c r="V319" s="125"/>
      <c r="W319" s="154"/>
      <c r="X319" s="125"/>
      <c r="Y319" s="3"/>
    </row>
    <row r="320" spans="8:25" x14ac:dyDescent="0.3">
      <c r="H320" s="160">
        <v>41787</v>
      </c>
      <c r="I320" s="159">
        <v>84.552195999999995</v>
      </c>
      <c r="J320" s="123">
        <f t="shared" si="108"/>
        <v>-2.5166011787553615E-3</v>
      </c>
      <c r="K320" s="165">
        <v>1909.780029</v>
      </c>
      <c r="L320" s="124">
        <f t="shared" si="109"/>
        <v>-1.114071772270422E-3</v>
      </c>
      <c r="N320" s="150"/>
      <c r="O320" s="154"/>
      <c r="P320" s="125"/>
      <c r="Q320" s="154"/>
      <c r="R320" s="125"/>
      <c r="S320" s="3"/>
      <c r="T320" s="150"/>
      <c r="U320" s="154"/>
      <c r="V320" s="125"/>
      <c r="W320" s="154"/>
      <c r="X320" s="125"/>
      <c r="Y320" s="3"/>
    </row>
    <row r="321" spans="8:25" x14ac:dyDescent="0.3">
      <c r="H321" s="160">
        <v>41786</v>
      </c>
      <c r="I321" s="159">
        <v>84.765517000000003</v>
      </c>
      <c r="J321" s="123">
        <f t="shared" si="108"/>
        <v>3.0531608946489243E-2</v>
      </c>
      <c r="K321" s="165">
        <v>1911.910034</v>
      </c>
      <c r="L321" s="124">
        <f t="shared" si="109"/>
        <v>5.9878059416865878E-3</v>
      </c>
      <c r="N321" s="150"/>
      <c r="O321" s="154"/>
      <c r="P321" s="125"/>
      <c r="Q321" s="154"/>
      <c r="R321" s="125"/>
      <c r="S321" s="3"/>
      <c r="T321" s="150"/>
      <c r="U321" s="154"/>
      <c r="V321" s="125"/>
      <c r="W321" s="154"/>
      <c r="X321" s="125"/>
      <c r="Y321" s="3"/>
    </row>
    <row r="322" spans="8:25" x14ac:dyDescent="0.3">
      <c r="H322" s="160">
        <v>41782</v>
      </c>
      <c r="I322" s="159">
        <v>82.254165</v>
      </c>
      <c r="J322" s="123">
        <f t="shared" si="108"/>
        <v>1.4227666761812263E-2</v>
      </c>
      <c r="K322" s="165">
        <v>1900.530029</v>
      </c>
      <c r="L322" s="124">
        <f t="shared" si="109"/>
        <v>4.2483918237263586E-3</v>
      </c>
      <c r="N322" s="150"/>
      <c r="O322" s="154"/>
      <c r="P322" s="125"/>
      <c r="Q322" s="154"/>
      <c r="R322" s="125"/>
      <c r="S322" s="3"/>
      <c r="T322" s="150"/>
      <c r="U322" s="154"/>
      <c r="V322" s="125"/>
      <c r="W322" s="154"/>
      <c r="X322" s="125"/>
      <c r="Y322" s="3"/>
    </row>
    <row r="323" spans="8:25" x14ac:dyDescent="0.3">
      <c r="H323" s="160">
        <v>41781</v>
      </c>
      <c r="I323" s="159">
        <v>81.100296999999998</v>
      </c>
      <c r="J323" s="123">
        <f t="shared" si="108"/>
        <v>-2.3910346899365625E-4</v>
      </c>
      <c r="K323" s="165">
        <v>1892.48999</v>
      </c>
      <c r="L323" s="124">
        <f t="shared" si="109"/>
        <v>2.362229907096473E-3</v>
      </c>
      <c r="N323" s="150"/>
      <c r="O323" s="154"/>
      <c r="P323" s="125"/>
      <c r="Q323" s="154"/>
      <c r="R323" s="125"/>
      <c r="S323" s="3"/>
      <c r="T323" s="150"/>
      <c r="U323" s="154"/>
      <c r="V323" s="125"/>
      <c r="W323" s="154"/>
      <c r="X323" s="125"/>
      <c r="Y323" s="3"/>
    </row>
    <row r="324" spans="8:25" x14ac:dyDescent="0.3">
      <c r="H324" s="160">
        <v>41780</v>
      </c>
      <c r="I324" s="159">
        <v>81.119692999999998</v>
      </c>
      <c r="J324" s="123">
        <f t="shared" si="108"/>
        <v>-2.1468684717453057E-3</v>
      </c>
      <c r="K324" s="165">
        <v>1888.030029</v>
      </c>
      <c r="L324" s="124">
        <f t="shared" si="109"/>
        <v>8.1160988221612874E-3</v>
      </c>
      <c r="N324" s="150"/>
      <c r="O324" s="154"/>
      <c r="P324" s="125"/>
      <c r="Q324" s="154"/>
      <c r="R324" s="125"/>
      <c r="S324" s="3"/>
      <c r="T324" s="150"/>
      <c r="U324" s="154"/>
      <c r="V324" s="125"/>
      <c r="W324" s="154"/>
      <c r="X324" s="125"/>
      <c r="Y324" s="3"/>
    </row>
    <row r="325" spans="8:25" x14ac:dyDescent="0.3">
      <c r="H325" s="160">
        <v>41779</v>
      </c>
      <c r="I325" s="159">
        <v>81.294220999999993</v>
      </c>
      <c r="J325" s="123">
        <f t="shared" si="108"/>
        <v>-1.7231287883863605E-2</v>
      </c>
      <c r="K325" s="165">
        <v>1872.829956</v>
      </c>
      <c r="L325" s="124">
        <f t="shared" si="109"/>
        <v>-6.4983980976560758E-3</v>
      </c>
      <c r="N325" s="150"/>
      <c r="O325" s="154"/>
      <c r="P325" s="125"/>
      <c r="Q325" s="154"/>
      <c r="R325" s="125"/>
      <c r="S325" s="3"/>
      <c r="T325" s="150"/>
      <c r="U325" s="154"/>
      <c r="V325" s="125"/>
      <c r="W325" s="154"/>
      <c r="X325" s="125"/>
      <c r="Y325" s="3"/>
    </row>
    <row r="326" spans="8:25" x14ac:dyDescent="0.3">
      <c r="H326" s="160">
        <v>41778</v>
      </c>
      <c r="I326" s="159">
        <v>82.719586000000007</v>
      </c>
      <c r="J326" s="123">
        <f t="shared" si="108"/>
        <v>-6.9841225786277427E-3</v>
      </c>
      <c r="K326" s="165">
        <v>1885.079956</v>
      </c>
      <c r="L326" s="124">
        <f t="shared" si="109"/>
        <v>3.8447866495222149E-3</v>
      </c>
      <c r="N326" s="150"/>
      <c r="O326" s="154"/>
      <c r="P326" s="125"/>
      <c r="Q326" s="154"/>
      <c r="R326" s="125"/>
      <c r="S326" s="3"/>
      <c r="T326" s="150"/>
      <c r="U326" s="154"/>
      <c r="V326" s="125"/>
      <c r="W326" s="154"/>
      <c r="X326" s="125"/>
      <c r="Y326" s="3"/>
    </row>
    <row r="327" spans="8:25" x14ac:dyDescent="0.3">
      <c r="H327" s="160">
        <v>41775</v>
      </c>
      <c r="I327" s="159">
        <v>83.301372999999998</v>
      </c>
      <c r="J327" s="123">
        <f t="shared" si="108"/>
        <v>7.1512362577657125E-3</v>
      </c>
      <c r="K327" s="165">
        <v>1877.8599850000001</v>
      </c>
      <c r="L327" s="124">
        <f t="shared" si="109"/>
        <v>3.7469647967112475E-3</v>
      </c>
      <c r="N327" s="150"/>
      <c r="O327" s="154"/>
      <c r="P327" s="125"/>
      <c r="Q327" s="154"/>
      <c r="R327" s="125"/>
      <c r="S327" s="3"/>
      <c r="T327" s="150"/>
      <c r="U327" s="154"/>
      <c r="V327" s="125"/>
      <c r="W327" s="154"/>
      <c r="X327" s="125"/>
      <c r="Y327" s="3"/>
    </row>
    <row r="328" spans="8:25" x14ac:dyDescent="0.3">
      <c r="H328" s="160">
        <v>41774</v>
      </c>
      <c r="I328" s="159">
        <v>82.709895000000003</v>
      </c>
      <c r="J328" s="123">
        <f t="shared" si="108"/>
        <v>-3.5156342204498159E-4</v>
      </c>
      <c r="K328" s="165">
        <v>1870.849976</v>
      </c>
      <c r="L328" s="124">
        <f t="shared" si="109"/>
        <v>-9.3618066583573741E-3</v>
      </c>
      <c r="N328" s="150"/>
      <c r="O328" s="154"/>
      <c r="P328" s="125"/>
      <c r="Q328" s="154"/>
      <c r="R328" s="125"/>
      <c r="S328" s="3"/>
      <c r="T328" s="150"/>
      <c r="U328" s="154"/>
      <c r="V328" s="125"/>
      <c r="W328" s="154"/>
      <c r="X328" s="125"/>
      <c r="Y328" s="3"/>
    </row>
    <row r="329" spans="8:25" x14ac:dyDescent="0.3">
      <c r="H329" s="160">
        <v>41773</v>
      </c>
      <c r="I329" s="159">
        <v>82.738983000000005</v>
      </c>
      <c r="J329" s="123">
        <f t="shared" si="108"/>
        <v>3.3050893114938348E-2</v>
      </c>
      <c r="K329" s="165">
        <v>1888.530029</v>
      </c>
      <c r="L329" s="124">
        <f t="shared" si="109"/>
        <v>-4.7010051544701019E-3</v>
      </c>
      <c r="N329" s="150"/>
      <c r="O329" s="154"/>
      <c r="P329" s="125"/>
      <c r="Q329" s="154"/>
      <c r="R329" s="125"/>
      <c r="S329" s="3"/>
      <c r="T329" s="150"/>
      <c r="U329" s="154"/>
      <c r="V329" s="125"/>
      <c r="W329" s="154"/>
      <c r="X329" s="125"/>
      <c r="Y329" s="3"/>
    </row>
    <row r="330" spans="8:25" x14ac:dyDescent="0.3">
      <c r="H330" s="160">
        <v>41772</v>
      </c>
      <c r="I330" s="159">
        <v>80.091875000000002</v>
      </c>
      <c r="J330" s="123">
        <f t="shared" ref="J330:J393" si="110">(I330-I331)/I331</f>
        <v>1.6977810843690146E-3</v>
      </c>
      <c r="K330" s="165">
        <v>1897.4499510000001</v>
      </c>
      <c r="L330" s="124">
        <f t="shared" ref="L330:L393" si="111">(K330-K331)/K331</f>
        <v>4.2175783084798837E-4</v>
      </c>
      <c r="N330" s="150"/>
      <c r="O330" s="154"/>
      <c r="P330" s="125"/>
      <c r="Q330" s="154"/>
      <c r="R330" s="125"/>
      <c r="S330" s="3"/>
      <c r="T330" s="150"/>
      <c r="U330" s="154"/>
      <c r="V330" s="125"/>
      <c r="W330" s="154"/>
      <c r="X330" s="125"/>
      <c r="Y330" s="3"/>
    </row>
    <row r="331" spans="8:25" x14ac:dyDescent="0.3">
      <c r="H331" s="160">
        <v>41771</v>
      </c>
      <c r="I331" s="159">
        <v>79.956126999999995</v>
      </c>
      <c r="J331" s="123">
        <f t="shared" si="110"/>
        <v>6.2233321697944197E-3</v>
      </c>
      <c r="K331" s="165">
        <v>1896.650024</v>
      </c>
      <c r="L331" s="124">
        <f t="shared" si="111"/>
        <v>9.6727376354577704E-3</v>
      </c>
      <c r="N331" s="150"/>
      <c r="O331" s="154"/>
      <c r="P331" s="125"/>
      <c r="Q331" s="154"/>
      <c r="R331" s="125"/>
      <c r="S331" s="3"/>
      <c r="T331" s="150"/>
      <c r="U331" s="154"/>
      <c r="V331" s="125"/>
      <c r="W331" s="154"/>
      <c r="X331" s="125"/>
      <c r="Y331" s="3"/>
    </row>
    <row r="332" spans="8:25" x14ac:dyDescent="0.3">
      <c r="H332" s="160">
        <v>41768</v>
      </c>
      <c r="I332" s="159">
        <v>79.461611000000005</v>
      </c>
      <c r="J332" s="123">
        <f t="shared" si="110"/>
        <v>-1.961956137390233E-2</v>
      </c>
      <c r="K332" s="165">
        <v>1878.4799800000001</v>
      </c>
      <c r="L332" s="124">
        <f t="shared" si="111"/>
        <v>1.5194761186389134E-3</v>
      </c>
      <c r="N332" s="150"/>
      <c r="O332" s="154"/>
      <c r="P332" s="125"/>
      <c r="Q332" s="154"/>
      <c r="R332" s="125"/>
      <c r="S332" s="3"/>
      <c r="T332" s="150"/>
      <c r="U332" s="154"/>
      <c r="V332" s="125"/>
      <c r="W332" s="154"/>
      <c r="X332" s="125"/>
      <c r="Y332" s="3"/>
    </row>
    <row r="333" spans="8:25" x14ac:dyDescent="0.3">
      <c r="H333" s="160">
        <v>41767</v>
      </c>
      <c r="I333" s="159">
        <v>81.051811999999998</v>
      </c>
      <c r="J333" s="123">
        <f t="shared" si="110"/>
        <v>2.8794059463739244E-3</v>
      </c>
      <c r="K333" s="165">
        <v>1875.630005</v>
      </c>
      <c r="L333" s="124">
        <f t="shared" si="111"/>
        <v>-1.373624916048477E-3</v>
      </c>
      <c r="N333" s="150"/>
      <c r="O333" s="154"/>
      <c r="P333" s="125"/>
      <c r="Q333" s="154"/>
      <c r="R333" s="125"/>
      <c r="S333" s="3"/>
      <c r="T333" s="150"/>
      <c r="U333" s="154"/>
      <c r="V333" s="125"/>
      <c r="W333" s="154"/>
      <c r="X333" s="125"/>
      <c r="Y333" s="3"/>
    </row>
    <row r="334" spans="8:25" x14ac:dyDescent="0.3">
      <c r="H334" s="160">
        <v>41766</v>
      </c>
      <c r="I334" s="159">
        <v>80.819101000000003</v>
      </c>
      <c r="J334" s="123">
        <f t="shared" si="110"/>
        <v>-1.2557821357236092E-2</v>
      </c>
      <c r="K334" s="165">
        <v>1878.209961</v>
      </c>
      <c r="L334" s="124">
        <f t="shared" si="111"/>
        <v>5.6164682944325785E-3</v>
      </c>
      <c r="N334" s="150"/>
      <c r="O334" s="154"/>
      <c r="P334" s="125"/>
      <c r="Q334" s="154"/>
      <c r="R334" s="125"/>
      <c r="S334" s="3"/>
      <c r="T334" s="150"/>
      <c r="U334" s="154"/>
      <c r="V334" s="125"/>
      <c r="W334" s="154"/>
      <c r="X334" s="125"/>
      <c r="Y334" s="3"/>
    </row>
    <row r="335" spans="8:25" x14ac:dyDescent="0.3">
      <c r="H335" s="160">
        <v>41765</v>
      </c>
      <c r="I335" s="159">
        <v>81.846919999999997</v>
      </c>
      <c r="J335" s="123">
        <f t="shared" si="110"/>
        <v>6.0786894508979743E-3</v>
      </c>
      <c r="K335" s="165">
        <v>1867.719971</v>
      </c>
      <c r="L335" s="124">
        <f t="shared" si="111"/>
        <v>-8.9883919085642413E-3</v>
      </c>
      <c r="N335" s="150"/>
      <c r="O335" s="154"/>
      <c r="P335" s="125"/>
      <c r="Q335" s="154"/>
      <c r="R335" s="125"/>
      <c r="S335" s="3"/>
      <c r="T335" s="150"/>
      <c r="U335" s="154"/>
      <c r="V335" s="125"/>
      <c r="W335" s="154"/>
      <c r="X335" s="125"/>
      <c r="Y335" s="3"/>
    </row>
    <row r="336" spans="8:25" x14ac:dyDescent="0.3">
      <c r="H336" s="160">
        <v>41764</v>
      </c>
      <c r="I336" s="159">
        <v>81.352404000000007</v>
      </c>
      <c r="J336" s="123">
        <f t="shared" si="110"/>
        <v>2.6290782704557758E-3</v>
      </c>
      <c r="K336" s="165">
        <v>1884.660034</v>
      </c>
      <c r="L336" s="124">
        <f t="shared" si="111"/>
        <v>1.8712158435479603E-3</v>
      </c>
      <c r="N336" s="150"/>
      <c r="O336" s="154"/>
      <c r="P336" s="125"/>
      <c r="Q336" s="154"/>
      <c r="R336" s="125"/>
      <c r="S336" s="3"/>
      <c r="T336" s="150"/>
      <c r="U336" s="154"/>
      <c r="V336" s="125"/>
      <c r="W336" s="154"/>
      <c r="X336" s="125"/>
      <c r="Y336" s="3"/>
    </row>
    <row r="337" spans="8:25" x14ac:dyDescent="0.3">
      <c r="H337" s="160">
        <v>41761</v>
      </c>
      <c r="I337" s="159">
        <v>81.139082999999999</v>
      </c>
      <c r="J337" s="123">
        <f t="shared" si="110"/>
        <v>1.7015090398296337E-2</v>
      </c>
      <c r="K337" s="165">
        <v>1881.1400149999999</v>
      </c>
      <c r="L337" s="124">
        <f t="shared" si="111"/>
        <v>-1.3484450263229145E-3</v>
      </c>
      <c r="N337" s="150"/>
      <c r="O337" s="154"/>
      <c r="P337" s="125"/>
      <c r="Q337" s="154"/>
      <c r="R337" s="125"/>
      <c r="S337" s="3"/>
      <c r="T337" s="150"/>
      <c r="U337" s="154"/>
      <c r="V337" s="125"/>
      <c r="W337" s="154"/>
      <c r="X337" s="125"/>
      <c r="Y337" s="3"/>
    </row>
    <row r="338" spans="8:25" x14ac:dyDescent="0.3">
      <c r="H338" s="160">
        <v>41760</v>
      </c>
      <c r="I338" s="159">
        <v>79.781592000000003</v>
      </c>
      <c r="J338" s="123">
        <f t="shared" si="110"/>
        <v>-6.5849264005073141E-2</v>
      </c>
      <c r="K338" s="165">
        <v>1883.6800539999999</v>
      </c>
      <c r="L338" s="124">
        <f t="shared" si="111"/>
        <v>-1.4326123677376192E-4</v>
      </c>
      <c r="N338" s="150"/>
      <c r="O338" s="154"/>
      <c r="P338" s="125"/>
      <c r="Q338" s="154"/>
      <c r="R338" s="125"/>
      <c r="S338" s="3"/>
      <c r="T338" s="150"/>
      <c r="U338" s="154"/>
      <c r="V338" s="125"/>
      <c r="W338" s="154"/>
      <c r="X338" s="125"/>
      <c r="Y338" s="3"/>
    </row>
    <row r="339" spans="8:25" x14ac:dyDescent="0.3">
      <c r="H339" s="160">
        <v>41759</v>
      </c>
      <c r="I339" s="159">
        <v>85.405479999999997</v>
      </c>
      <c r="J339" s="123">
        <f t="shared" si="110"/>
        <v>7.2041729541636864E-3</v>
      </c>
      <c r="K339" s="165">
        <v>1883.9499510000001</v>
      </c>
      <c r="L339" s="124">
        <f t="shared" si="111"/>
        <v>2.9920169148385861E-3</v>
      </c>
      <c r="N339" s="150"/>
      <c r="O339" s="154"/>
      <c r="P339" s="125"/>
      <c r="Q339" s="154"/>
      <c r="R339" s="125"/>
      <c r="S339" s="3"/>
      <c r="T339" s="150"/>
      <c r="U339" s="154"/>
      <c r="V339" s="125"/>
      <c r="W339" s="154"/>
      <c r="X339" s="125"/>
      <c r="Y339" s="3"/>
    </row>
    <row r="340" spans="8:25" x14ac:dyDescent="0.3">
      <c r="H340" s="160">
        <v>41758</v>
      </c>
      <c r="I340" s="159">
        <v>84.794605000000004</v>
      </c>
      <c r="J340" s="123">
        <f t="shared" si="110"/>
        <v>-9.1398621717915074E-4</v>
      </c>
      <c r="K340" s="165">
        <v>1878.329956</v>
      </c>
      <c r="L340" s="124">
        <f t="shared" si="111"/>
        <v>4.7607568846756709E-3</v>
      </c>
      <c r="N340" s="150"/>
      <c r="O340" s="154"/>
      <c r="P340" s="125"/>
      <c r="Q340" s="154"/>
      <c r="R340" s="125"/>
      <c r="S340" s="3"/>
      <c r="T340" s="150"/>
      <c r="U340" s="154"/>
      <c r="V340" s="125"/>
      <c r="W340" s="154"/>
      <c r="X340" s="125"/>
      <c r="Y340" s="3"/>
    </row>
    <row r="341" spans="8:25" x14ac:dyDescent="0.3">
      <c r="H341" s="160">
        <v>41757</v>
      </c>
      <c r="I341" s="159">
        <v>84.872176999999994</v>
      </c>
      <c r="J341" s="123">
        <f t="shared" si="110"/>
        <v>-2.7344022825106003E-3</v>
      </c>
      <c r="K341" s="165">
        <v>1869.4300539999999</v>
      </c>
      <c r="L341" s="124">
        <f t="shared" si="111"/>
        <v>3.236036236092641E-3</v>
      </c>
      <c r="N341" s="150"/>
      <c r="O341" s="154"/>
      <c r="P341" s="125"/>
      <c r="Q341" s="154"/>
      <c r="R341" s="125"/>
      <c r="S341" s="3"/>
      <c r="T341" s="150"/>
      <c r="U341" s="154"/>
      <c r="V341" s="125"/>
      <c r="W341" s="154"/>
      <c r="X341" s="125"/>
      <c r="Y341" s="3"/>
    </row>
    <row r="342" spans="8:25" x14ac:dyDescent="0.3">
      <c r="H342" s="160">
        <v>41754</v>
      </c>
      <c r="I342" s="159">
        <v>85.104888000000003</v>
      </c>
      <c r="J342" s="123">
        <f t="shared" si="110"/>
        <v>-2.2605862415570263E-2</v>
      </c>
      <c r="K342" s="165">
        <v>1863.400024</v>
      </c>
      <c r="L342" s="124">
        <f t="shared" si="111"/>
        <v>-8.0963910132735833E-3</v>
      </c>
      <c r="N342" s="150"/>
      <c r="O342" s="154"/>
      <c r="P342" s="125"/>
      <c r="Q342" s="154"/>
      <c r="R342" s="125"/>
      <c r="S342" s="3"/>
      <c r="T342" s="150"/>
      <c r="U342" s="154"/>
      <c r="V342" s="125"/>
      <c r="W342" s="154"/>
      <c r="X342" s="125"/>
      <c r="Y342" s="3"/>
    </row>
    <row r="343" spans="8:25" x14ac:dyDescent="0.3">
      <c r="H343" s="160">
        <v>41753</v>
      </c>
      <c r="I343" s="159">
        <v>87.073254000000006</v>
      </c>
      <c r="J343" s="123">
        <f t="shared" si="110"/>
        <v>-7.0765077858393737E-3</v>
      </c>
      <c r="K343" s="165">
        <v>1878.6099850000001</v>
      </c>
      <c r="L343" s="124">
        <f t="shared" si="111"/>
        <v>1.7169601918777962E-3</v>
      </c>
      <c r="N343" s="150"/>
      <c r="O343" s="154"/>
      <c r="P343" s="125"/>
      <c r="Q343" s="154"/>
      <c r="R343" s="125"/>
      <c r="S343" s="3"/>
      <c r="T343" s="150"/>
      <c r="U343" s="154"/>
      <c r="V343" s="125"/>
      <c r="W343" s="154"/>
      <c r="X343" s="125"/>
      <c r="Y343" s="3"/>
    </row>
    <row r="344" spans="8:25" x14ac:dyDescent="0.3">
      <c r="H344" s="160">
        <v>41752</v>
      </c>
      <c r="I344" s="159">
        <v>87.693820000000002</v>
      </c>
      <c r="J344" s="123">
        <f t="shared" si="110"/>
        <v>-1.7917185478861009E-2</v>
      </c>
      <c r="K344" s="165">
        <v>1875.3900149999999</v>
      </c>
      <c r="L344" s="124">
        <f t="shared" si="111"/>
        <v>-2.2133137674164674E-3</v>
      </c>
      <c r="N344" s="150"/>
      <c r="O344" s="154"/>
      <c r="P344" s="125"/>
      <c r="Q344" s="154"/>
      <c r="R344" s="125"/>
      <c r="S344" s="3"/>
      <c r="T344" s="150"/>
      <c r="U344" s="154"/>
      <c r="V344" s="125"/>
      <c r="W344" s="154"/>
      <c r="X344" s="125"/>
      <c r="Y344" s="3"/>
    </row>
    <row r="345" spans="8:25" x14ac:dyDescent="0.3">
      <c r="H345" s="160">
        <v>41751</v>
      </c>
      <c r="I345" s="159">
        <v>89.293711999999999</v>
      </c>
      <c r="J345" s="123">
        <f t="shared" si="110"/>
        <v>-1.8426856789416789E-3</v>
      </c>
      <c r="K345" s="165">
        <v>1879.5500489999999</v>
      </c>
      <c r="L345" s="124">
        <f t="shared" si="111"/>
        <v>4.0921389283654023E-3</v>
      </c>
      <c r="N345" s="150"/>
      <c r="O345" s="154"/>
      <c r="P345" s="125"/>
      <c r="Q345" s="154"/>
      <c r="R345" s="125"/>
      <c r="S345" s="3"/>
      <c r="T345" s="150"/>
      <c r="U345" s="154"/>
      <c r="V345" s="125"/>
      <c r="W345" s="154"/>
      <c r="X345" s="125"/>
      <c r="Y345" s="3"/>
    </row>
    <row r="346" spans="8:25" x14ac:dyDescent="0.3">
      <c r="H346" s="160">
        <v>41750</v>
      </c>
      <c r="I346" s="159">
        <v>89.458556000000002</v>
      </c>
      <c r="J346" s="123">
        <f t="shared" si="110"/>
        <v>1.328939275936979E-2</v>
      </c>
      <c r="K346" s="165">
        <v>1871.8900149999999</v>
      </c>
      <c r="L346" s="124">
        <f t="shared" si="111"/>
        <v>3.7751235169600468E-3</v>
      </c>
      <c r="N346" s="150"/>
      <c r="O346" s="154"/>
      <c r="P346" s="125"/>
      <c r="Q346" s="154"/>
      <c r="R346" s="125"/>
      <c r="S346" s="3"/>
      <c r="T346" s="150"/>
      <c r="U346" s="154"/>
      <c r="V346" s="125"/>
      <c r="W346" s="154"/>
      <c r="X346" s="125"/>
      <c r="Y346" s="3"/>
    </row>
    <row r="347" spans="8:25" x14ac:dyDescent="0.3">
      <c r="H347" s="160">
        <v>41746</v>
      </c>
      <c r="I347" s="159">
        <v>88.285297999999997</v>
      </c>
      <c r="J347" s="123">
        <f t="shared" si="110"/>
        <v>8.5290759601864326E-3</v>
      </c>
      <c r="K347" s="165">
        <v>1864.849976</v>
      </c>
      <c r="L347" s="124">
        <f t="shared" si="111"/>
        <v>1.3638529136033946E-3</v>
      </c>
      <c r="N347" s="150"/>
      <c r="O347" s="154"/>
      <c r="P347" s="125"/>
      <c r="Q347" s="154"/>
      <c r="R347" s="125"/>
      <c r="S347" s="3"/>
      <c r="T347" s="150"/>
      <c r="U347" s="154"/>
      <c r="V347" s="125"/>
      <c r="W347" s="154"/>
      <c r="X347" s="125"/>
      <c r="Y347" s="3"/>
    </row>
    <row r="348" spans="8:25" x14ac:dyDescent="0.3">
      <c r="H348" s="160">
        <v>41745</v>
      </c>
      <c r="I348" s="159">
        <v>87.538674</v>
      </c>
      <c r="J348" s="123">
        <f t="shared" si="110"/>
        <v>1.0182339866537075E-2</v>
      </c>
      <c r="K348" s="165">
        <v>1862.3100589999999</v>
      </c>
      <c r="L348" s="124">
        <f t="shared" si="111"/>
        <v>1.0488491036131515E-2</v>
      </c>
      <c r="N348" s="150"/>
      <c r="O348" s="154"/>
      <c r="P348" s="125"/>
      <c r="Q348" s="154"/>
      <c r="R348" s="125"/>
      <c r="S348" s="3"/>
      <c r="T348" s="150"/>
      <c r="U348" s="154"/>
      <c r="V348" s="125"/>
      <c r="W348" s="154"/>
      <c r="X348" s="125"/>
      <c r="Y348" s="3"/>
    </row>
    <row r="349" spans="8:25" x14ac:dyDescent="0.3">
      <c r="H349" s="160">
        <v>41744</v>
      </c>
      <c r="I349" s="159">
        <v>86.656310000000005</v>
      </c>
      <c r="J349" s="123">
        <f t="shared" si="110"/>
        <v>-1.0846666269207753E-2</v>
      </c>
      <c r="K349" s="165">
        <v>1842.9799800000001</v>
      </c>
      <c r="L349" s="124">
        <f t="shared" si="111"/>
        <v>6.7573077287678054E-3</v>
      </c>
      <c r="N349" s="150"/>
      <c r="O349" s="154"/>
      <c r="P349" s="125"/>
      <c r="Q349" s="154"/>
      <c r="R349" s="125"/>
      <c r="S349" s="3"/>
      <c r="T349" s="150"/>
      <c r="U349" s="154"/>
      <c r="V349" s="125"/>
      <c r="W349" s="154"/>
      <c r="X349" s="125"/>
      <c r="Y349" s="3"/>
    </row>
    <row r="350" spans="8:25" x14ac:dyDescent="0.3">
      <c r="H350" s="160">
        <v>41743</v>
      </c>
      <c r="I350" s="159">
        <v>87.606549000000001</v>
      </c>
      <c r="J350" s="123">
        <f t="shared" si="110"/>
        <v>2.4260281559326687E-2</v>
      </c>
      <c r="K350" s="165">
        <v>1830.6099850000001</v>
      </c>
      <c r="L350" s="124">
        <f t="shared" si="111"/>
        <v>8.2172862574667761E-3</v>
      </c>
      <c r="N350" s="150"/>
      <c r="O350" s="154"/>
      <c r="P350" s="125"/>
      <c r="Q350" s="154"/>
      <c r="R350" s="125"/>
      <c r="S350" s="3"/>
      <c r="T350" s="150"/>
      <c r="U350" s="154"/>
      <c r="V350" s="125"/>
      <c r="W350" s="154"/>
      <c r="X350" s="125"/>
      <c r="Y350" s="3"/>
    </row>
    <row r="351" spans="8:25" x14ac:dyDescent="0.3">
      <c r="H351" s="160">
        <v>41740</v>
      </c>
      <c r="I351" s="159">
        <v>85.531530000000004</v>
      </c>
      <c r="J351" s="123">
        <f t="shared" si="110"/>
        <v>4.5368763053957968E-4</v>
      </c>
      <c r="K351" s="165">
        <v>1815.6899410000001</v>
      </c>
      <c r="L351" s="124">
        <f t="shared" si="111"/>
        <v>-9.4867738546151811E-3</v>
      </c>
      <c r="N351" s="150"/>
      <c r="O351" s="154"/>
      <c r="P351" s="125"/>
      <c r="Q351" s="154"/>
      <c r="R351" s="125"/>
      <c r="S351" s="3"/>
      <c r="T351" s="150"/>
      <c r="U351" s="154"/>
      <c r="V351" s="125"/>
      <c r="W351" s="154"/>
      <c r="X351" s="125"/>
      <c r="Y351" s="3"/>
    </row>
    <row r="352" spans="8:25" x14ac:dyDescent="0.3">
      <c r="H352" s="160">
        <v>41739</v>
      </c>
      <c r="I352" s="159">
        <v>85.492743000000004</v>
      </c>
      <c r="J352" s="123">
        <f t="shared" si="110"/>
        <v>-3.3753450047288941E-2</v>
      </c>
      <c r="K352" s="165">
        <v>1833.079956</v>
      </c>
      <c r="L352" s="124">
        <f t="shared" si="111"/>
        <v>-2.0884795731297697E-2</v>
      </c>
      <c r="N352" s="150"/>
      <c r="O352" s="154"/>
      <c r="P352" s="125"/>
      <c r="Q352" s="154"/>
      <c r="R352" s="125"/>
      <c r="S352" s="3"/>
      <c r="T352" s="150"/>
      <c r="U352" s="154"/>
      <c r="V352" s="125"/>
      <c r="W352" s="154"/>
      <c r="X352" s="125"/>
      <c r="Y352" s="3"/>
    </row>
    <row r="353" spans="8:25" x14ac:dyDescent="0.3">
      <c r="H353" s="160">
        <v>41738</v>
      </c>
      <c r="I353" s="159">
        <v>88.479221999999993</v>
      </c>
      <c r="J353" s="123">
        <f t="shared" si="110"/>
        <v>2.9676450312128688E-3</v>
      </c>
      <c r="K353" s="165">
        <v>1872.1800539999999</v>
      </c>
      <c r="L353" s="124">
        <f t="shared" si="111"/>
        <v>1.0918212826308456E-2</v>
      </c>
      <c r="N353" s="150"/>
      <c r="O353" s="154"/>
      <c r="P353" s="125"/>
      <c r="Q353" s="154"/>
      <c r="R353" s="125"/>
      <c r="S353" s="3"/>
      <c r="T353" s="150"/>
      <c r="U353" s="154"/>
      <c r="V353" s="125"/>
      <c r="W353" s="154"/>
      <c r="X353" s="125"/>
      <c r="Y353" s="3"/>
    </row>
    <row r="354" spans="8:25" x14ac:dyDescent="0.3">
      <c r="H354" s="160">
        <v>41737</v>
      </c>
      <c r="I354" s="159">
        <v>88.217423999999994</v>
      </c>
      <c r="J354" s="123">
        <f t="shared" si="110"/>
        <v>1.5401846713306442E-2</v>
      </c>
      <c r="K354" s="165">
        <v>1851.959961</v>
      </c>
      <c r="L354" s="124">
        <f t="shared" si="111"/>
        <v>3.750553838251985E-3</v>
      </c>
      <c r="N354" s="150"/>
      <c r="O354" s="154"/>
      <c r="P354" s="125"/>
      <c r="Q354" s="154"/>
      <c r="R354" s="125"/>
      <c r="S354" s="3"/>
      <c r="T354" s="150"/>
      <c r="U354" s="154"/>
      <c r="V354" s="125"/>
      <c r="W354" s="154"/>
      <c r="X354" s="125"/>
      <c r="Y354" s="3"/>
    </row>
    <row r="355" spans="8:25" x14ac:dyDescent="0.3">
      <c r="H355" s="160">
        <v>41736</v>
      </c>
      <c r="I355" s="159">
        <v>86.879322000000002</v>
      </c>
      <c r="J355" s="123">
        <f t="shared" si="110"/>
        <v>-9.9447653583259483E-3</v>
      </c>
      <c r="K355" s="165">
        <v>1845.040039</v>
      </c>
      <c r="L355" s="124">
        <f t="shared" si="111"/>
        <v>-1.0750112522990232E-2</v>
      </c>
      <c r="N355" s="150"/>
      <c r="O355" s="154"/>
      <c r="P355" s="125"/>
      <c r="Q355" s="154"/>
      <c r="R355" s="125"/>
      <c r="S355" s="3"/>
      <c r="T355" s="150"/>
      <c r="U355" s="154"/>
      <c r="V355" s="125"/>
      <c r="W355" s="154"/>
      <c r="X355" s="125"/>
      <c r="Y355" s="3"/>
    </row>
    <row r="356" spans="8:25" x14ac:dyDescent="0.3">
      <c r="H356" s="160">
        <v>41733</v>
      </c>
      <c r="I356" s="159">
        <v>87.751994999999994</v>
      </c>
      <c r="J356" s="123">
        <f t="shared" si="110"/>
        <v>-3.1671297894559185E-2</v>
      </c>
      <c r="K356" s="165">
        <v>1865.089966</v>
      </c>
      <c r="L356" s="124">
        <f t="shared" si="111"/>
        <v>-1.2537288155389044E-2</v>
      </c>
      <c r="N356" s="150"/>
      <c r="O356" s="154"/>
      <c r="P356" s="125"/>
      <c r="Q356" s="154"/>
      <c r="R356" s="125"/>
      <c r="S356" s="3"/>
      <c r="T356" s="150"/>
      <c r="U356" s="154"/>
      <c r="V356" s="125"/>
      <c r="W356" s="154"/>
      <c r="X356" s="125"/>
      <c r="Y356" s="3"/>
    </row>
    <row r="357" spans="8:25" x14ac:dyDescent="0.3">
      <c r="H357" s="160">
        <v>41732</v>
      </c>
      <c r="I357" s="159">
        <v>90.622114999999994</v>
      </c>
      <c r="J357" s="123">
        <f t="shared" si="110"/>
        <v>-7.2232844373547652E-3</v>
      </c>
      <c r="K357" s="165">
        <v>1888.7700199999999</v>
      </c>
      <c r="L357" s="124">
        <f t="shared" si="111"/>
        <v>-1.1264498244038836E-3</v>
      </c>
      <c r="N357" s="150"/>
      <c r="O357" s="154"/>
      <c r="P357" s="125"/>
      <c r="Q357" s="154"/>
      <c r="R357" s="125"/>
      <c r="S357" s="3"/>
      <c r="T357" s="150"/>
      <c r="U357" s="154"/>
      <c r="V357" s="125"/>
      <c r="W357" s="154"/>
      <c r="X357" s="125"/>
      <c r="Y357" s="3"/>
    </row>
    <row r="358" spans="8:25" x14ac:dyDescent="0.3">
      <c r="H358" s="160">
        <v>41731</v>
      </c>
      <c r="I358" s="159">
        <v>91.281467000000006</v>
      </c>
      <c r="J358" s="123">
        <f t="shared" si="110"/>
        <v>6.4143440052408076E-3</v>
      </c>
      <c r="K358" s="165">
        <v>1890.900024</v>
      </c>
      <c r="L358" s="124">
        <f t="shared" si="111"/>
        <v>2.8533263730607852E-3</v>
      </c>
      <c r="N358" s="150"/>
      <c r="O358" s="154"/>
      <c r="P358" s="125"/>
      <c r="Q358" s="154"/>
      <c r="R358" s="125"/>
      <c r="S358" s="3"/>
      <c r="T358" s="150"/>
      <c r="U358" s="154"/>
      <c r="V358" s="125"/>
      <c r="W358" s="154"/>
      <c r="X358" s="125"/>
      <c r="Y358" s="3"/>
    </row>
    <row r="359" spans="8:25" x14ac:dyDescent="0.3">
      <c r="H359" s="160">
        <v>41730</v>
      </c>
      <c r="I359" s="159">
        <v>90.699687999999995</v>
      </c>
      <c r="J359" s="123">
        <f t="shared" si="110"/>
        <v>1.8732316593800223E-2</v>
      </c>
      <c r="K359" s="165">
        <v>1885.5200199999999</v>
      </c>
      <c r="L359" s="124">
        <f t="shared" si="111"/>
        <v>7.0393487504073968E-3</v>
      </c>
      <c r="N359" s="150"/>
      <c r="O359" s="154"/>
      <c r="P359" s="125"/>
      <c r="Q359" s="154"/>
      <c r="R359" s="125"/>
      <c r="S359" s="3"/>
      <c r="T359" s="150"/>
      <c r="U359" s="154"/>
      <c r="V359" s="125"/>
      <c r="W359" s="154"/>
      <c r="X359" s="125"/>
      <c r="Y359" s="3"/>
    </row>
    <row r="360" spans="8:25" x14ac:dyDescent="0.3">
      <c r="H360" s="160">
        <v>41729</v>
      </c>
      <c r="I360" s="159">
        <v>89.031914</v>
      </c>
      <c r="J360" s="123">
        <f t="shared" si="110"/>
        <v>2.6954442728802028E-2</v>
      </c>
      <c r="K360" s="165">
        <v>1872.339966</v>
      </c>
      <c r="L360" s="124">
        <f t="shared" si="111"/>
        <v>7.9241023673412743E-3</v>
      </c>
      <c r="N360" s="150"/>
      <c r="O360" s="154"/>
      <c r="P360" s="125"/>
      <c r="Q360" s="154"/>
      <c r="R360" s="125"/>
      <c r="S360" s="3"/>
      <c r="T360" s="150"/>
      <c r="U360" s="154"/>
      <c r="V360" s="125"/>
      <c r="W360" s="154"/>
      <c r="X360" s="125"/>
      <c r="Y360" s="3"/>
    </row>
    <row r="361" spans="8:25" x14ac:dyDescent="0.3">
      <c r="H361" s="160">
        <v>41726</v>
      </c>
      <c r="I361" s="159">
        <v>86.695096000000007</v>
      </c>
      <c r="J361" s="123">
        <f t="shared" si="110"/>
        <v>-3.2329272655520691E-3</v>
      </c>
      <c r="K361" s="165">
        <v>1857.619995</v>
      </c>
      <c r="L361" s="124">
        <f t="shared" si="111"/>
        <v>4.6402218551417958E-3</v>
      </c>
      <c r="N361" s="150"/>
      <c r="O361" s="154"/>
      <c r="P361" s="125"/>
      <c r="Q361" s="154"/>
      <c r="R361" s="125"/>
      <c r="S361" s="3"/>
      <c r="T361" s="150"/>
      <c r="U361" s="154"/>
      <c r="V361" s="125"/>
      <c r="W361" s="154"/>
      <c r="X361" s="125"/>
      <c r="Y361" s="3"/>
    </row>
    <row r="362" spans="8:25" x14ac:dyDescent="0.3">
      <c r="H362" s="160">
        <v>41725</v>
      </c>
      <c r="I362" s="159">
        <v>86.976284000000007</v>
      </c>
      <c r="J362" s="123">
        <f t="shared" si="110"/>
        <v>4.1418870389322571E-3</v>
      </c>
      <c r="K362" s="165">
        <v>1849.040039</v>
      </c>
      <c r="L362" s="124">
        <f t="shared" si="111"/>
        <v>-1.9000841472853601E-3</v>
      </c>
      <c r="N362" s="150"/>
      <c r="O362" s="154"/>
      <c r="P362" s="125"/>
      <c r="Q362" s="154"/>
      <c r="R362" s="125"/>
      <c r="S362" s="3"/>
      <c r="T362" s="150"/>
      <c r="U362" s="154"/>
      <c r="V362" s="125"/>
      <c r="W362" s="154"/>
      <c r="X362" s="125"/>
      <c r="Y362" s="3"/>
    </row>
    <row r="363" spans="8:25" x14ac:dyDescent="0.3">
      <c r="H363" s="160">
        <v>41724</v>
      </c>
      <c r="I363" s="159">
        <v>86.617524000000003</v>
      </c>
      <c r="J363" s="123">
        <f t="shared" si="110"/>
        <v>-2.4567192097858415E-3</v>
      </c>
      <c r="K363" s="165">
        <v>1852.5600589999999</v>
      </c>
      <c r="L363" s="124">
        <f t="shared" si="111"/>
        <v>-7.0003194836042197E-3</v>
      </c>
      <c r="N363" s="150"/>
      <c r="O363" s="154"/>
      <c r="P363" s="125"/>
      <c r="Q363" s="154"/>
      <c r="R363" s="125"/>
      <c r="S363" s="3"/>
      <c r="T363" s="150"/>
      <c r="U363" s="154"/>
      <c r="V363" s="125"/>
      <c r="W363" s="154"/>
      <c r="X363" s="125"/>
      <c r="Y363" s="3"/>
    </row>
    <row r="364" spans="8:25" x14ac:dyDescent="0.3">
      <c r="H364" s="160">
        <v>41723</v>
      </c>
      <c r="I364" s="159">
        <v>86.830843000000002</v>
      </c>
      <c r="J364" s="123">
        <f t="shared" si="110"/>
        <v>2.1254771788058471E-2</v>
      </c>
      <c r="K364" s="165">
        <v>1865.619995</v>
      </c>
      <c r="L364" s="124">
        <f t="shared" si="111"/>
        <v>4.4039399710528388E-3</v>
      </c>
      <c r="N364" s="150"/>
      <c r="O364" s="154"/>
      <c r="P364" s="125"/>
      <c r="Q364" s="154"/>
      <c r="R364" s="125"/>
      <c r="S364" s="3"/>
      <c r="T364" s="150"/>
      <c r="U364" s="154"/>
      <c r="V364" s="125"/>
      <c r="W364" s="154"/>
      <c r="X364" s="125"/>
      <c r="Y364" s="3"/>
    </row>
    <row r="365" spans="8:25" x14ac:dyDescent="0.3">
      <c r="H365" s="160">
        <v>41722</v>
      </c>
      <c r="I365" s="159">
        <v>85.023684000000003</v>
      </c>
      <c r="J365" s="123">
        <f t="shared" si="110"/>
        <v>-7.2218387533301443E-3</v>
      </c>
      <c r="K365" s="165">
        <v>1857.4399410000001</v>
      </c>
      <c r="L365" s="124">
        <f t="shared" si="111"/>
        <v>-4.8647102108231562E-3</v>
      </c>
      <c r="N365" s="150"/>
      <c r="O365" s="154"/>
      <c r="P365" s="125"/>
      <c r="Q365" s="154"/>
      <c r="R365" s="125"/>
      <c r="S365" s="3"/>
      <c r="T365" s="150"/>
      <c r="U365" s="154"/>
      <c r="V365" s="125"/>
      <c r="W365" s="154"/>
      <c r="X365" s="125"/>
      <c r="Y365" s="3"/>
    </row>
    <row r="366" spans="8:25" x14ac:dyDescent="0.3">
      <c r="H366" s="160">
        <v>41719</v>
      </c>
      <c r="I366" s="159">
        <v>85.642178000000001</v>
      </c>
      <c r="J366" s="123">
        <f t="shared" si="110"/>
        <v>7.15996790999931E-3</v>
      </c>
      <c r="K366" s="165">
        <v>1866.5200199999999</v>
      </c>
      <c r="L366" s="124">
        <f t="shared" si="111"/>
        <v>-2.932671284166923E-3</v>
      </c>
      <c r="N366" s="150"/>
      <c r="O366" s="154"/>
      <c r="P366" s="125"/>
      <c r="Q366" s="154"/>
      <c r="R366" s="125"/>
      <c r="S366" s="3"/>
      <c r="T366" s="150"/>
      <c r="U366" s="154"/>
      <c r="V366" s="125"/>
      <c r="W366" s="154"/>
      <c r="X366" s="125"/>
      <c r="Y366" s="3"/>
    </row>
    <row r="367" spans="8:25" x14ac:dyDescent="0.3">
      <c r="H367" s="160">
        <v>41718</v>
      </c>
      <c r="I367" s="159">
        <v>85.033342000000005</v>
      </c>
      <c r="J367" s="123">
        <f t="shared" si="110"/>
        <v>2.4688416826913376E-2</v>
      </c>
      <c r="K367" s="165">
        <v>1872.01001</v>
      </c>
      <c r="L367" s="124">
        <f t="shared" si="111"/>
        <v>6.04050467236141E-3</v>
      </c>
      <c r="N367" s="150"/>
      <c r="O367" s="154"/>
      <c r="P367" s="125"/>
      <c r="Q367" s="154"/>
      <c r="R367" s="125"/>
      <c r="S367" s="3"/>
      <c r="T367" s="150"/>
      <c r="U367" s="154"/>
      <c r="V367" s="125"/>
      <c r="W367" s="154"/>
      <c r="X367" s="125"/>
      <c r="Y367" s="3"/>
    </row>
    <row r="368" spans="8:25" x14ac:dyDescent="0.3">
      <c r="H368" s="160">
        <v>41717</v>
      </c>
      <c r="I368" s="159">
        <v>82.984583999999998</v>
      </c>
      <c r="J368" s="123">
        <f t="shared" si="110"/>
        <v>-5.2131241319471828E-3</v>
      </c>
      <c r="K368" s="165">
        <v>1860.7700199999999</v>
      </c>
      <c r="L368" s="124">
        <f t="shared" si="111"/>
        <v>-6.1316490853251804E-3</v>
      </c>
      <c r="N368" s="150"/>
      <c r="O368" s="154"/>
      <c r="P368" s="125"/>
      <c r="Q368" s="154"/>
      <c r="R368" s="125"/>
      <c r="S368" s="3"/>
      <c r="T368" s="150"/>
      <c r="U368" s="154"/>
      <c r="V368" s="125"/>
      <c r="W368" s="154"/>
      <c r="X368" s="125"/>
      <c r="Y368" s="3"/>
    </row>
    <row r="369" spans="8:25" x14ac:dyDescent="0.3">
      <c r="H369" s="160">
        <v>41716</v>
      </c>
      <c r="I369" s="159">
        <v>83.419460000000001</v>
      </c>
      <c r="J369" s="123">
        <f t="shared" si="110"/>
        <v>1.3859532510742982E-2</v>
      </c>
      <c r="K369" s="165">
        <v>1872.25</v>
      </c>
      <c r="L369" s="124">
        <f t="shared" si="111"/>
        <v>7.2196189633603912E-3</v>
      </c>
      <c r="N369" s="150"/>
      <c r="O369" s="154"/>
      <c r="P369" s="125"/>
      <c r="Q369" s="154"/>
      <c r="R369" s="125"/>
      <c r="S369" s="3"/>
      <c r="T369" s="150"/>
      <c r="U369" s="154"/>
      <c r="V369" s="125"/>
      <c r="W369" s="154"/>
      <c r="X369" s="125"/>
      <c r="Y369" s="3"/>
    </row>
    <row r="370" spans="8:25" x14ac:dyDescent="0.3">
      <c r="H370" s="160">
        <v>41715</v>
      </c>
      <c r="I370" s="159">
        <v>82.279110000000003</v>
      </c>
      <c r="J370" s="123">
        <f t="shared" si="110"/>
        <v>1.4114601754509912E-3</v>
      </c>
      <c r="K370" s="165">
        <v>1858.829956</v>
      </c>
      <c r="L370" s="124">
        <f t="shared" si="111"/>
        <v>9.6136345352755559E-3</v>
      </c>
      <c r="N370" s="150"/>
      <c r="O370" s="154"/>
      <c r="P370" s="125"/>
      <c r="Q370" s="154"/>
      <c r="R370" s="125"/>
      <c r="S370" s="3"/>
      <c r="T370" s="150"/>
      <c r="U370" s="154"/>
      <c r="V370" s="125"/>
      <c r="W370" s="154"/>
      <c r="X370" s="125"/>
      <c r="Y370" s="3"/>
    </row>
    <row r="371" spans="8:25" x14ac:dyDescent="0.3">
      <c r="H371" s="160">
        <v>41712</v>
      </c>
      <c r="I371" s="159">
        <v>82.163139999999999</v>
      </c>
      <c r="J371" s="123">
        <f t="shared" si="110"/>
        <v>9.6187827136670623E-3</v>
      </c>
      <c r="K371" s="165">
        <v>1841.130005</v>
      </c>
      <c r="L371" s="124">
        <f t="shared" si="111"/>
        <v>-2.8217777310465377E-3</v>
      </c>
      <c r="N371" s="150"/>
      <c r="O371" s="154"/>
      <c r="P371" s="125"/>
      <c r="Q371" s="154"/>
      <c r="R371" s="125"/>
      <c r="S371" s="3"/>
      <c r="T371" s="150"/>
      <c r="U371" s="154"/>
      <c r="V371" s="125"/>
      <c r="W371" s="154"/>
      <c r="X371" s="125"/>
      <c r="Y371" s="3"/>
    </row>
    <row r="372" spans="8:25" x14ac:dyDescent="0.3">
      <c r="H372" s="160">
        <v>41711</v>
      </c>
      <c r="I372" s="159">
        <v>81.380359999999996</v>
      </c>
      <c r="J372" s="123">
        <f t="shared" si="110"/>
        <v>5.9405859761743856E-4</v>
      </c>
      <c r="K372" s="165">
        <v>1846.339966</v>
      </c>
      <c r="L372" s="124">
        <f t="shared" si="111"/>
        <v>-1.1701094943450221E-2</v>
      </c>
      <c r="N372" s="150"/>
      <c r="O372" s="154"/>
      <c r="P372" s="125"/>
      <c r="Q372" s="154"/>
      <c r="R372" s="125"/>
      <c r="S372" s="3"/>
      <c r="T372" s="150"/>
      <c r="U372" s="154"/>
      <c r="V372" s="125"/>
      <c r="W372" s="154"/>
      <c r="X372" s="125"/>
      <c r="Y372" s="3"/>
    </row>
    <row r="373" spans="8:25" x14ac:dyDescent="0.3">
      <c r="H373" s="160">
        <v>41710</v>
      </c>
      <c r="I373" s="159">
        <v>81.332043999999996</v>
      </c>
      <c r="J373" s="123">
        <f t="shared" si="110"/>
        <v>1.1416947718606357E-2</v>
      </c>
      <c r="K373" s="165">
        <v>1868.1999510000001</v>
      </c>
      <c r="L373" s="124">
        <f t="shared" si="111"/>
        <v>3.0517072357705706E-4</v>
      </c>
      <c r="N373" s="150"/>
      <c r="O373" s="154"/>
      <c r="P373" s="125"/>
      <c r="Q373" s="154"/>
      <c r="R373" s="125"/>
      <c r="S373" s="3"/>
      <c r="T373" s="150"/>
      <c r="U373" s="154"/>
      <c r="V373" s="125"/>
      <c r="W373" s="154"/>
      <c r="X373" s="125"/>
      <c r="Y373" s="3"/>
    </row>
    <row r="374" spans="8:25" x14ac:dyDescent="0.3">
      <c r="H374" s="160">
        <v>41709</v>
      </c>
      <c r="I374" s="159">
        <v>80.413961999999998</v>
      </c>
      <c r="J374" s="123">
        <f t="shared" si="110"/>
        <v>-2.2324064965790508E-2</v>
      </c>
      <c r="K374" s="165">
        <v>1867.630005</v>
      </c>
      <c r="L374" s="124">
        <f t="shared" si="111"/>
        <v>-5.0821389519254334E-3</v>
      </c>
      <c r="N374" s="150"/>
      <c r="O374" s="154"/>
      <c r="P374" s="125"/>
      <c r="Q374" s="154"/>
      <c r="R374" s="125"/>
      <c r="S374" s="3"/>
      <c r="T374" s="150"/>
      <c r="U374" s="154"/>
      <c r="V374" s="125"/>
      <c r="W374" s="154"/>
      <c r="X374" s="125"/>
      <c r="Y374" s="3"/>
    </row>
    <row r="375" spans="8:25" x14ac:dyDescent="0.3">
      <c r="H375" s="160">
        <v>41708</v>
      </c>
      <c r="I375" s="159">
        <v>82.250118999999998</v>
      </c>
      <c r="J375" s="123">
        <f t="shared" si="110"/>
        <v>1.0207725919949694E-2</v>
      </c>
      <c r="K375" s="165">
        <v>1877.170044</v>
      </c>
      <c r="L375" s="124">
        <f t="shared" si="111"/>
        <v>-4.6324624711583008E-4</v>
      </c>
      <c r="N375" s="150"/>
      <c r="O375" s="154"/>
      <c r="P375" s="125"/>
      <c r="Q375" s="154"/>
      <c r="R375" s="125"/>
      <c r="S375" s="3"/>
      <c r="T375" s="150"/>
      <c r="U375" s="154"/>
      <c r="V375" s="125"/>
      <c r="W375" s="154"/>
      <c r="X375" s="125"/>
      <c r="Y375" s="3"/>
    </row>
    <row r="376" spans="8:25" x14ac:dyDescent="0.3">
      <c r="H376" s="160">
        <v>41705</v>
      </c>
      <c r="I376" s="159">
        <v>81.419015999999999</v>
      </c>
      <c r="J376" s="123">
        <f t="shared" si="110"/>
        <v>-2.8482488489490428E-2</v>
      </c>
      <c r="K376" s="165">
        <v>1878.040039</v>
      </c>
      <c r="L376" s="124">
        <f t="shared" si="111"/>
        <v>5.38089420198597E-4</v>
      </c>
      <c r="N376" s="150"/>
      <c r="O376" s="154"/>
      <c r="P376" s="125"/>
      <c r="Q376" s="154"/>
      <c r="R376" s="125"/>
      <c r="S376" s="3"/>
      <c r="T376" s="150"/>
      <c r="U376" s="154"/>
      <c r="V376" s="125"/>
      <c r="W376" s="154"/>
      <c r="X376" s="125"/>
      <c r="Y376" s="3"/>
    </row>
    <row r="377" spans="8:25" x14ac:dyDescent="0.3">
      <c r="H377" s="160">
        <v>41704</v>
      </c>
      <c r="I377" s="159">
        <v>83.806020000000004</v>
      </c>
      <c r="J377" s="123">
        <f t="shared" si="110"/>
        <v>-1.8227108548787129E-2</v>
      </c>
      <c r="K377" s="165">
        <v>1877.030029</v>
      </c>
      <c r="L377" s="124">
        <f t="shared" si="111"/>
        <v>1.7184078954718127E-3</v>
      </c>
      <c r="N377" s="150"/>
      <c r="O377" s="154"/>
      <c r="P377" s="125"/>
      <c r="Q377" s="154"/>
      <c r="R377" s="125"/>
      <c r="S377" s="3"/>
      <c r="T377" s="150"/>
      <c r="U377" s="154"/>
      <c r="V377" s="125"/>
      <c r="W377" s="154"/>
      <c r="X377" s="125"/>
      <c r="Y377" s="3"/>
    </row>
    <row r="378" spans="8:25" x14ac:dyDescent="0.3">
      <c r="H378" s="160">
        <v>41703</v>
      </c>
      <c r="I378" s="159">
        <v>85.361920999999995</v>
      </c>
      <c r="J378" s="123">
        <f t="shared" si="110"/>
        <v>-4.8445353478763038E-3</v>
      </c>
      <c r="K378" s="165">
        <v>1873.8100589999999</v>
      </c>
      <c r="L378" s="124">
        <f t="shared" si="111"/>
        <v>-5.3351013755277141E-5</v>
      </c>
      <c r="N378" s="150"/>
      <c r="O378" s="154"/>
      <c r="P378" s="125"/>
      <c r="Q378" s="154"/>
      <c r="R378" s="125"/>
      <c r="S378" s="3"/>
      <c r="T378" s="150"/>
      <c r="U378" s="154"/>
      <c r="V378" s="125"/>
      <c r="W378" s="154"/>
      <c r="X378" s="125"/>
      <c r="Y378" s="3"/>
    </row>
    <row r="379" spans="8:25" x14ac:dyDescent="0.3">
      <c r="H379" s="160">
        <v>41702</v>
      </c>
      <c r="I379" s="159">
        <v>85.777473000000001</v>
      </c>
      <c r="J379" s="123">
        <f t="shared" si="110"/>
        <v>9.7838553901714552E-3</v>
      </c>
      <c r="K379" s="165">
        <v>1873.910034</v>
      </c>
      <c r="L379" s="124">
        <f t="shared" si="111"/>
        <v>1.5267701291821638E-2</v>
      </c>
      <c r="N379" s="150"/>
      <c r="O379" s="154"/>
      <c r="P379" s="125"/>
      <c r="Q379" s="154"/>
      <c r="R379" s="125"/>
      <c r="S379" s="3"/>
      <c r="T379" s="150"/>
      <c r="U379" s="154"/>
      <c r="V379" s="125"/>
      <c r="W379" s="154"/>
      <c r="X379" s="125"/>
      <c r="Y379" s="3"/>
    </row>
    <row r="380" spans="8:25" x14ac:dyDescent="0.3">
      <c r="H380" s="160">
        <v>41701</v>
      </c>
      <c r="I380" s="159">
        <v>84.946370000000002</v>
      </c>
      <c r="J380" s="123">
        <f t="shared" si="110"/>
        <v>1.0461020207895211E-2</v>
      </c>
      <c r="K380" s="165">
        <v>1845.7299800000001</v>
      </c>
      <c r="L380" s="124">
        <f t="shared" si="111"/>
        <v>-7.3785105066266916E-3</v>
      </c>
      <c r="N380" s="150"/>
      <c r="O380" s="154"/>
      <c r="P380" s="125"/>
      <c r="Q380" s="154"/>
      <c r="R380" s="125"/>
      <c r="S380" s="3"/>
      <c r="T380" s="150"/>
      <c r="U380" s="154"/>
      <c r="V380" s="125"/>
      <c r="W380" s="154"/>
      <c r="X380" s="125"/>
      <c r="Y380" s="3"/>
    </row>
    <row r="381" spans="8:25" x14ac:dyDescent="0.3">
      <c r="H381" s="160">
        <v>41698</v>
      </c>
      <c r="I381" s="159">
        <v>84.066944000000007</v>
      </c>
      <c r="J381" s="123">
        <f t="shared" si="110"/>
        <v>-1.6172824893438516E-2</v>
      </c>
      <c r="K381" s="165">
        <v>1859.4499510000001</v>
      </c>
      <c r="L381" s="124">
        <f t="shared" si="111"/>
        <v>2.7826887334102086E-3</v>
      </c>
      <c r="N381" s="150"/>
      <c r="O381" s="154"/>
      <c r="P381" s="125"/>
      <c r="Q381" s="154"/>
      <c r="R381" s="125"/>
      <c r="S381" s="3"/>
      <c r="T381" s="150"/>
      <c r="U381" s="154"/>
      <c r="V381" s="125"/>
      <c r="W381" s="154"/>
      <c r="X381" s="125"/>
      <c r="Y381" s="3"/>
    </row>
    <row r="382" spans="8:25" x14ac:dyDescent="0.3">
      <c r="H382" s="160">
        <v>41697</v>
      </c>
      <c r="I382" s="159">
        <v>85.448893999999996</v>
      </c>
      <c r="J382" s="123">
        <f t="shared" si="110"/>
        <v>-9.6326151892728567E-3</v>
      </c>
      <c r="K382" s="165">
        <v>1854.290039</v>
      </c>
      <c r="L382" s="124">
        <f t="shared" si="111"/>
        <v>4.9480830018888118E-3</v>
      </c>
      <c r="N382" s="150"/>
      <c r="O382" s="154"/>
      <c r="P382" s="125"/>
      <c r="Q382" s="154"/>
      <c r="R382" s="125"/>
      <c r="S382" s="3"/>
      <c r="T382" s="150"/>
      <c r="U382" s="154"/>
      <c r="V382" s="125"/>
      <c r="W382" s="154"/>
      <c r="X382" s="125"/>
      <c r="Y382" s="3"/>
    </row>
    <row r="383" spans="8:25" x14ac:dyDescent="0.3">
      <c r="H383" s="160">
        <v>41696</v>
      </c>
      <c r="I383" s="159">
        <v>86.279995999999997</v>
      </c>
      <c r="J383" s="123">
        <f t="shared" si="110"/>
        <v>1.6972287598173298E-2</v>
      </c>
      <c r="K383" s="165">
        <v>1845.160034</v>
      </c>
      <c r="L383" s="124">
        <f t="shared" si="111"/>
        <v>2.1699943693894469E-5</v>
      </c>
      <c r="N383" s="150"/>
      <c r="O383" s="154"/>
      <c r="P383" s="125"/>
      <c r="Q383" s="154"/>
      <c r="R383" s="125"/>
      <c r="S383" s="3"/>
      <c r="T383" s="150"/>
      <c r="U383" s="154"/>
      <c r="V383" s="125"/>
      <c r="W383" s="154"/>
      <c r="X383" s="125"/>
      <c r="Y383" s="3"/>
    </row>
    <row r="384" spans="8:25" x14ac:dyDescent="0.3">
      <c r="H384" s="160">
        <v>41695</v>
      </c>
      <c r="I384" s="159">
        <v>84.840065999999993</v>
      </c>
      <c r="J384" s="123">
        <f t="shared" si="110"/>
        <v>-9.1421861870837895E-3</v>
      </c>
      <c r="K384" s="165">
        <v>1845.119995</v>
      </c>
      <c r="L384" s="124">
        <f t="shared" si="111"/>
        <v>-1.3476816104130516E-3</v>
      </c>
      <c r="N384" s="150"/>
      <c r="O384" s="154"/>
      <c r="P384" s="125"/>
      <c r="Q384" s="154"/>
      <c r="R384" s="125"/>
      <c r="S384" s="3"/>
      <c r="T384" s="150"/>
      <c r="U384" s="154"/>
      <c r="V384" s="125"/>
      <c r="W384" s="154"/>
      <c r="X384" s="125"/>
      <c r="Y384" s="3"/>
    </row>
    <row r="385" spans="8:25" x14ac:dyDescent="0.3">
      <c r="H385" s="160">
        <v>41694</v>
      </c>
      <c r="I385" s="159">
        <v>85.622845999999996</v>
      </c>
      <c r="J385" s="123">
        <f t="shared" si="110"/>
        <v>6.7037516069159619E-3</v>
      </c>
      <c r="K385" s="165">
        <v>1847.6099850000001</v>
      </c>
      <c r="L385" s="124">
        <f t="shared" si="111"/>
        <v>6.1865132743363109E-3</v>
      </c>
      <c r="N385" s="150"/>
      <c r="O385" s="154"/>
      <c r="P385" s="125"/>
      <c r="Q385" s="154"/>
      <c r="R385" s="125"/>
      <c r="S385" s="3"/>
      <c r="T385" s="150"/>
      <c r="U385" s="154"/>
      <c r="V385" s="125"/>
      <c r="W385" s="154"/>
      <c r="X385" s="125"/>
      <c r="Y385" s="3"/>
    </row>
    <row r="386" spans="8:25" x14ac:dyDescent="0.3">
      <c r="H386" s="160">
        <v>41691</v>
      </c>
      <c r="I386" s="159">
        <v>85.052673999999996</v>
      </c>
      <c r="J386" s="123">
        <f t="shared" si="110"/>
        <v>2.0524165528446995E-2</v>
      </c>
      <c r="K386" s="165">
        <v>1836.25</v>
      </c>
      <c r="L386" s="124">
        <f t="shared" si="111"/>
        <v>-1.9187234040793108E-3</v>
      </c>
      <c r="N386" s="150"/>
      <c r="O386" s="154"/>
      <c r="P386" s="125"/>
      <c r="Q386" s="154"/>
      <c r="R386" s="125"/>
      <c r="S386" s="3"/>
      <c r="T386" s="150"/>
      <c r="U386" s="154"/>
      <c r="V386" s="125"/>
      <c r="W386" s="154"/>
      <c r="X386" s="125"/>
      <c r="Y386" s="3"/>
    </row>
    <row r="387" spans="8:25" x14ac:dyDescent="0.3">
      <c r="H387" s="160">
        <v>41690</v>
      </c>
      <c r="I387" s="159">
        <v>83.342146</v>
      </c>
      <c r="J387" s="123">
        <f t="shared" si="110"/>
        <v>9.2451816655702776E-3</v>
      </c>
      <c r="K387" s="165">
        <v>1839.780029</v>
      </c>
      <c r="L387" s="124">
        <f t="shared" si="111"/>
        <v>6.0314580997949492E-3</v>
      </c>
      <c r="N387" s="150"/>
      <c r="O387" s="154"/>
      <c r="P387" s="125"/>
      <c r="Q387" s="154"/>
      <c r="R387" s="125"/>
      <c r="S387" s="3"/>
      <c r="T387" s="150"/>
      <c r="U387" s="154"/>
      <c r="V387" s="125"/>
      <c r="W387" s="154"/>
      <c r="X387" s="125"/>
      <c r="Y387" s="3"/>
    </row>
    <row r="388" spans="8:25" x14ac:dyDescent="0.3">
      <c r="H388" s="160">
        <v>41689</v>
      </c>
      <c r="I388" s="159">
        <v>82.578691000000006</v>
      </c>
      <c r="J388" s="123">
        <f t="shared" si="110"/>
        <v>-1.0308072083121346E-2</v>
      </c>
      <c r="K388" s="165">
        <v>1828.75</v>
      </c>
      <c r="L388" s="124">
        <f t="shared" si="111"/>
        <v>-6.5244844166296107E-3</v>
      </c>
      <c r="N388" s="150"/>
      <c r="O388" s="154"/>
      <c r="P388" s="125"/>
      <c r="Q388" s="154"/>
      <c r="R388" s="125"/>
      <c r="S388" s="3"/>
      <c r="T388" s="150"/>
      <c r="U388" s="154"/>
      <c r="V388" s="125"/>
      <c r="W388" s="154"/>
      <c r="X388" s="125"/>
      <c r="Y388" s="3"/>
    </row>
    <row r="389" spans="8:25" x14ac:dyDescent="0.3">
      <c r="H389" s="160">
        <v>41688</v>
      </c>
      <c r="I389" s="159">
        <v>83.438783999999998</v>
      </c>
      <c r="J389" s="123">
        <f t="shared" si="110"/>
        <v>-4.2671307632310054E-3</v>
      </c>
      <c r="K389" s="165">
        <v>1840.76001</v>
      </c>
      <c r="L389" s="124">
        <f t="shared" si="111"/>
        <v>1.1584739693182495E-3</v>
      </c>
      <c r="N389" s="150"/>
      <c r="O389" s="154"/>
      <c r="P389" s="125"/>
      <c r="Q389" s="154"/>
      <c r="R389" s="125"/>
      <c r="S389" s="3"/>
      <c r="T389" s="150"/>
      <c r="U389" s="154"/>
      <c r="V389" s="125"/>
      <c r="W389" s="154"/>
      <c r="X389" s="125"/>
      <c r="Y389" s="3"/>
    </row>
    <row r="390" spans="8:25" x14ac:dyDescent="0.3">
      <c r="H390" s="160">
        <v>41684</v>
      </c>
      <c r="I390" s="159">
        <v>83.796353999999994</v>
      </c>
      <c r="J390" s="123">
        <f t="shared" si="110"/>
        <v>4.6153370238917398E-4</v>
      </c>
      <c r="K390" s="165">
        <v>1838.630005</v>
      </c>
      <c r="L390" s="124">
        <f t="shared" si="111"/>
        <v>4.8092168188331617E-3</v>
      </c>
      <c r="N390" s="150"/>
      <c r="O390" s="154"/>
      <c r="P390" s="125"/>
      <c r="Q390" s="154"/>
      <c r="R390" s="125"/>
      <c r="S390" s="3"/>
      <c r="T390" s="150"/>
      <c r="U390" s="154"/>
      <c r="V390" s="125"/>
      <c r="W390" s="154"/>
      <c r="X390" s="125"/>
      <c r="Y390" s="3"/>
    </row>
    <row r="391" spans="8:25" x14ac:dyDescent="0.3">
      <c r="H391" s="160">
        <v>41683</v>
      </c>
      <c r="I391" s="159">
        <v>83.757696999999993</v>
      </c>
      <c r="J391" s="123">
        <f t="shared" si="110"/>
        <v>6.9710497480939973E-3</v>
      </c>
      <c r="K391" s="165">
        <v>1829.829956</v>
      </c>
      <c r="L391" s="124">
        <f t="shared" si="111"/>
        <v>5.8100249232654064E-3</v>
      </c>
      <c r="N391" s="150"/>
      <c r="O391" s="154"/>
      <c r="P391" s="125"/>
      <c r="Q391" s="154"/>
      <c r="R391" s="125"/>
      <c r="S391" s="3"/>
      <c r="T391" s="150"/>
      <c r="U391" s="154"/>
      <c r="V391" s="125"/>
      <c r="W391" s="154"/>
      <c r="X391" s="125"/>
      <c r="Y391" s="3"/>
    </row>
    <row r="392" spans="8:25" x14ac:dyDescent="0.3">
      <c r="H392" s="160">
        <v>41682</v>
      </c>
      <c r="I392" s="159">
        <v>83.177859999999995</v>
      </c>
      <c r="J392" s="123">
        <f t="shared" si="110"/>
        <v>1.413923004832118E-2</v>
      </c>
      <c r="K392" s="165">
        <v>1819.26001</v>
      </c>
      <c r="L392" s="124">
        <f t="shared" si="111"/>
        <v>-2.6926226129964792E-4</v>
      </c>
      <c r="N392" s="150"/>
      <c r="O392" s="154"/>
      <c r="P392" s="125"/>
      <c r="Q392" s="154"/>
      <c r="R392" s="125"/>
      <c r="S392" s="3"/>
      <c r="T392" s="150"/>
      <c r="U392" s="154"/>
      <c r="V392" s="125"/>
      <c r="W392" s="154"/>
      <c r="X392" s="125"/>
      <c r="Y392" s="3"/>
    </row>
    <row r="393" spans="8:25" x14ac:dyDescent="0.3">
      <c r="H393" s="160">
        <v>41681</v>
      </c>
      <c r="I393" s="159">
        <v>82.018186</v>
      </c>
      <c r="J393" s="123">
        <f t="shared" si="110"/>
        <v>2.1254032385470169E-3</v>
      </c>
      <c r="K393" s="165">
        <v>1819.75</v>
      </c>
      <c r="L393" s="124">
        <f t="shared" si="111"/>
        <v>1.1062113507929513E-2</v>
      </c>
      <c r="N393" s="150"/>
      <c r="O393" s="154"/>
      <c r="P393" s="125"/>
      <c r="Q393" s="154"/>
      <c r="R393" s="125"/>
      <c r="S393" s="3"/>
      <c r="T393" s="150"/>
      <c r="U393" s="154"/>
      <c r="V393" s="125"/>
      <c r="W393" s="154"/>
      <c r="X393" s="125"/>
      <c r="Y393" s="3"/>
    </row>
    <row r="394" spans="8:25" x14ac:dyDescent="0.3">
      <c r="H394" s="160">
        <v>41680</v>
      </c>
      <c r="I394" s="159">
        <v>81.844234</v>
      </c>
      <c r="J394" s="123">
        <f t="shared" ref="J394:J457" si="112">(I394-I395)/I395</f>
        <v>1.1811634418349631E-4</v>
      </c>
      <c r="K394" s="165">
        <v>1799.839966</v>
      </c>
      <c r="L394" s="124">
        <f t="shared" ref="L394:L457" si="113">(K394-K395)/K395</f>
        <v>1.5692346042978824E-3</v>
      </c>
      <c r="N394" s="150"/>
      <c r="O394" s="154"/>
      <c r="P394" s="125"/>
      <c r="Q394" s="154"/>
      <c r="R394" s="125"/>
      <c r="S394" s="3"/>
      <c r="T394" s="150"/>
      <c r="U394" s="154"/>
      <c r="V394" s="125"/>
      <c r="W394" s="154"/>
      <c r="X394" s="125"/>
      <c r="Y394" s="3"/>
    </row>
    <row r="395" spans="8:25" x14ac:dyDescent="0.3">
      <c r="H395" s="160">
        <v>41677</v>
      </c>
      <c r="I395" s="159">
        <v>81.834568000000004</v>
      </c>
      <c r="J395" s="123">
        <f t="shared" si="112"/>
        <v>1.5956832475810513E-2</v>
      </c>
      <c r="K395" s="165">
        <v>1797.0200199999999</v>
      </c>
      <c r="L395" s="124">
        <f t="shared" si="113"/>
        <v>1.3301886898100355E-2</v>
      </c>
      <c r="N395" s="150"/>
      <c r="O395" s="154"/>
      <c r="P395" s="125"/>
      <c r="Q395" s="154"/>
      <c r="R395" s="125"/>
      <c r="S395" s="3"/>
      <c r="T395" s="150"/>
      <c r="U395" s="154"/>
      <c r="V395" s="125"/>
      <c r="W395" s="154"/>
      <c r="X395" s="125"/>
      <c r="Y395" s="3"/>
    </row>
    <row r="396" spans="8:25" x14ac:dyDescent="0.3">
      <c r="H396" s="160">
        <v>41676</v>
      </c>
      <c r="I396" s="159">
        <v>80.549256999999997</v>
      </c>
      <c r="J396" s="123">
        <f t="shared" si="112"/>
        <v>7.3724964186357225E-3</v>
      </c>
      <c r="K396" s="165">
        <v>1773.4300539999999</v>
      </c>
      <c r="L396" s="124">
        <f t="shared" si="113"/>
        <v>1.2439792887467223E-2</v>
      </c>
      <c r="N396" s="150"/>
      <c r="O396" s="154"/>
      <c r="P396" s="125"/>
      <c r="Q396" s="154"/>
      <c r="R396" s="125"/>
      <c r="S396" s="3"/>
      <c r="T396" s="150"/>
      <c r="U396" s="154"/>
      <c r="V396" s="125"/>
      <c r="W396" s="154"/>
      <c r="X396" s="125"/>
      <c r="Y396" s="3"/>
    </row>
    <row r="397" spans="8:25" x14ac:dyDescent="0.3">
      <c r="H397" s="160">
        <v>41675</v>
      </c>
      <c r="I397" s="159">
        <v>79.959754000000004</v>
      </c>
      <c r="J397" s="123">
        <f t="shared" si="112"/>
        <v>-9.1018169356322735E-3</v>
      </c>
      <c r="K397" s="165">
        <v>1751.6400149999999</v>
      </c>
      <c r="L397" s="124">
        <f t="shared" si="113"/>
        <v>-2.0282224814169372E-3</v>
      </c>
      <c r="N397" s="150"/>
      <c r="O397" s="154"/>
      <c r="P397" s="125"/>
      <c r="Q397" s="154"/>
      <c r="R397" s="125"/>
      <c r="S397" s="3"/>
      <c r="T397" s="150"/>
      <c r="U397" s="154"/>
      <c r="V397" s="125"/>
      <c r="W397" s="154"/>
      <c r="X397" s="125"/>
      <c r="Y397" s="3"/>
    </row>
    <row r="398" spans="8:25" x14ac:dyDescent="0.3">
      <c r="H398" s="160">
        <v>41674</v>
      </c>
      <c r="I398" s="159">
        <v>80.694218000000006</v>
      </c>
      <c r="J398" s="123">
        <f t="shared" si="112"/>
        <v>0</v>
      </c>
      <c r="K398" s="165">
        <v>1755.1999510000001</v>
      </c>
      <c r="L398" s="124">
        <f t="shared" si="113"/>
        <v>7.6410886367013859E-3</v>
      </c>
      <c r="N398" s="150"/>
      <c r="O398" s="154"/>
      <c r="P398" s="125"/>
      <c r="Q398" s="154"/>
      <c r="R398" s="125"/>
      <c r="S398" s="3"/>
      <c r="T398" s="150"/>
      <c r="U398" s="154"/>
      <c r="V398" s="125"/>
      <c r="W398" s="154"/>
      <c r="X398" s="125"/>
      <c r="Y398" s="3"/>
    </row>
    <row r="399" spans="8:25" x14ac:dyDescent="0.3">
      <c r="H399" s="160">
        <v>41673</v>
      </c>
      <c r="I399" s="159">
        <v>80.694218000000006</v>
      </c>
      <c r="J399" s="123">
        <f t="shared" si="112"/>
        <v>-3.0985247956880523E-2</v>
      </c>
      <c r="K399" s="165">
        <v>1741.8900149999999</v>
      </c>
      <c r="L399" s="124">
        <f t="shared" si="113"/>
        <v>-2.2831919721464457E-2</v>
      </c>
      <c r="N399" s="150"/>
      <c r="O399" s="154"/>
      <c r="P399" s="125"/>
      <c r="Q399" s="154"/>
      <c r="R399" s="125"/>
      <c r="S399" s="3"/>
      <c r="T399" s="150"/>
      <c r="U399" s="154"/>
      <c r="V399" s="125"/>
      <c r="W399" s="154"/>
      <c r="X399" s="125"/>
      <c r="Y399" s="3"/>
    </row>
    <row r="400" spans="8:25" x14ac:dyDescent="0.3">
      <c r="H400" s="160">
        <v>41670</v>
      </c>
      <c r="I400" s="159">
        <v>83.274499000000006</v>
      </c>
      <c r="J400" s="123">
        <f t="shared" si="112"/>
        <v>-8.8567262862620424E-3</v>
      </c>
      <c r="K400" s="165">
        <v>1782.589966</v>
      </c>
      <c r="L400" s="124">
        <f t="shared" si="113"/>
        <v>-6.4652993169356339E-3</v>
      </c>
      <c r="N400" s="150"/>
      <c r="O400" s="154"/>
      <c r="P400" s="125"/>
      <c r="Q400" s="154"/>
      <c r="R400" s="125"/>
      <c r="S400" s="3"/>
      <c r="T400" s="150"/>
      <c r="U400" s="154"/>
      <c r="V400" s="125"/>
      <c r="W400" s="154"/>
      <c r="X400" s="125"/>
      <c r="Y400" s="3"/>
    </row>
    <row r="401" spans="8:25" x14ac:dyDescent="0.3">
      <c r="H401" s="160">
        <v>41669</v>
      </c>
      <c r="I401" s="159">
        <v>84.018629000000004</v>
      </c>
      <c r="J401" s="123">
        <f t="shared" si="112"/>
        <v>3.2541629791187521E-2</v>
      </c>
      <c r="K401" s="165">
        <v>1794.1899410000001</v>
      </c>
      <c r="L401" s="124">
        <f t="shared" si="113"/>
        <v>1.1267044612831258E-2</v>
      </c>
      <c r="N401" s="150"/>
      <c r="O401" s="154"/>
      <c r="P401" s="125"/>
      <c r="Q401" s="154"/>
      <c r="R401" s="125"/>
      <c r="S401" s="3"/>
      <c r="T401" s="150"/>
      <c r="U401" s="154"/>
      <c r="V401" s="125"/>
      <c r="W401" s="154"/>
      <c r="X401" s="125"/>
      <c r="Y401" s="3"/>
    </row>
    <row r="402" spans="8:25" x14ac:dyDescent="0.3">
      <c r="H402" s="160">
        <v>41668</v>
      </c>
      <c r="I402" s="159">
        <v>81.370694</v>
      </c>
      <c r="J402" s="123">
        <f t="shared" si="112"/>
        <v>9.9555547634078267E-3</v>
      </c>
      <c r="K402" s="165">
        <v>1774.1999510000001</v>
      </c>
      <c r="L402" s="124">
        <f t="shared" si="113"/>
        <v>-1.0209232357043204E-2</v>
      </c>
      <c r="N402" s="150"/>
      <c r="O402" s="154"/>
      <c r="P402" s="125"/>
      <c r="Q402" s="154"/>
      <c r="R402" s="125"/>
      <c r="S402" s="3"/>
      <c r="T402" s="150"/>
      <c r="U402" s="154"/>
      <c r="V402" s="125"/>
      <c r="W402" s="154"/>
      <c r="X402" s="125"/>
      <c r="Y402" s="3"/>
    </row>
    <row r="403" spans="8:25" x14ac:dyDescent="0.3">
      <c r="H403" s="160">
        <v>41667</v>
      </c>
      <c r="I403" s="159">
        <v>80.568589000000003</v>
      </c>
      <c r="J403" s="123">
        <f t="shared" si="112"/>
        <v>-1.4422431644099279E-2</v>
      </c>
      <c r="K403" s="165">
        <v>1792.5</v>
      </c>
      <c r="L403" s="124">
        <f t="shared" si="113"/>
        <v>6.1406523707882984E-3</v>
      </c>
      <c r="N403" s="150"/>
      <c r="O403" s="154"/>
      <c r="P403" s="125"/>
      <c r="Q403" s="154"/>
      <c r="R403" s="125"/>
      <c r="S403" s="3"/>
      <c r="T403" s="150"/>
      <c r="U403" s="154"/>
      <c r="V403" s="125"/>
      <c r="W403" s="154"/>
      <c r="X403" s="125"/>
      <c r="Y403" s="3"/>
    </row>
    <row r="404" spans="8:25" x14ac:dyDescent="0.3">
      <c r="H404" s="160">
        <v>41666</v>
      </c>
      <c r="I404" s="159">
        <v>81.747587999999993</v>
      </c>
      <c r="J404" s="123">
        <f t="shared" si="112"/>
        <v>-4.8235767963785261E-3</v>
      </c>
      <c r="K404" s="165">
        <v>1781.5600589999999</v>
      </c>
      <c r="L404" s="124">
        <f t="shared" si="113"/>
        <v>-4.8762936785797916E-3</v>
      </c>
      <c r="N404" s="150"/>
      <c r="O404" s="154"/>
      <c r="P404" s="125"/>
      <c r="Q404" s="154"/>
      <c r="R404" s="125"/>
      <c r="S404" s="3"/>
      <c r="T404" s="150"/>
      <c r="U404" s="154"/>
      <c r="V404" s="125"/>
      <c r="W404" s="154"/>
      <c r="X404" s="125"/>
      <c r="Y404" s="3"/>
    </row>
    <row r="405" spans="8:25" x14ac:dyDescent="0.3">
      <c r="H405" s="160">
        <v>41663</v>
      </c>
      <c r="I405" s="159">
        <v>82.143815000000004</v>
      </c>
      <c r="J405" s="123">
        <f t="shared" si="112"/>
        <v>-2.3549712663664114E-2</v>
      </c>
      <c r="K405" s="165">
        <v>1790.290039</v>
      </c>
      <c r="L405" s="124">
        <f t="shared" si="113"/>
        <v>-2.0875448636635496E-2</v>
      </c>
      <c r="N405" s="150"/>
      <c r="O405" s="154"/>
      <c r="P405" s="125"/>
      <c r="Q405" s="154"/>
      <c r="R405" s="125"/>
      <c r="S405" s="3"/>
      <c r="T405" s="150"/>
      <c r="U405" s="154"/>
      <c r="V405" s="125"/>
      <c r="W405" s="154"/>
      <c r="X405" s="125"/>
      <c r="Y405" s="3"/>
    </row>
    <row r="406" spans="8:25" x14ac:dyDescent="0.3">
      <c r="H406" s="160">
        <v>41662</v>
      </c>
      <c r="I406" s="159">
        <v>84.124932999999999</v>
      </c>
      <c r="J406" s="123">
        <f t="shared" si="112"/>
        <v>-1.1693905481231649E-2</v>
      </c>
      <c r="K406" s="165">
        <v>1828.459961</v>
      </c>
      <c r="L406" s="124">
        <f t="shared" si="113"/>
        <v>-8.8895765171035628E-3</v>
      </c>
      <c r="N406" s="150"/>
      <c r="O406" s="154"/>
      <c r="P406" s="125"/>
      <c r="Q406" s="154"/>
      <c r="R406" s="125"/>
      <c r="S406" s="3"/>
      <c r="T406" s="150"/>
      <c r="U406" s="154"/>
      <c r="V406" s="125"/>
      <c r="W406" s="154"/>
      <c r="X406" s="125"/>
      <c r="Y406" s="3"/>
    </row>
    <row r="407" spans="8:25" x14ac:dyDescent="0.3">
      <c r="H407" s="160">
        <v>41661</v>
      </c>
      <c r="I407" s="159">
        <v>85.120322000000002</v>
      </c>
      <c r="J407" s="123">
        <f t="shared" si="112"/>
        <v>-8.77783759531435E-3</v>
      </c>
      <c r="K407" s="165">
        <v>1844.8599850000001</v>
      </c>
      <c r="L407" s="124">
        <f t="shared" si="113"/>
        <v>5.7486493753754479E-4</v>
      </c>
      <c r="N407" s="150"/>
      <c r="O407" s="154"/>
      <c r="P407" s="125"/>
      <c r="Q407" s="154"/>
      <c r="R407" s="125"/>
      <c r="S407" s="3"/>
      <c r="T407" s="150"/>
      <c r="U407" s="154"/>
      <c r="V407" s="125"/>
      <c r="W407" s="154"/>
      <c r="X407" s="125"/>
      <c r="Y407" s="3"/>
    </row>
    <row r="408" spans="8:25" x14ac:dyDescent="0.3">
      <c r="H408" s="160">
        <v>41660</v>
      </c>
      <c r="I408" s="159">
        <v>85.874110999999999</v>
      </c>
      <c r="J408" s="123">
        <f t="shared" si="112"/>
        <v>4.5036168853957023E-4</v>
      </c>
      <c r="K408" s="165">
        <v>1843.8000489999999</v>
      </c>
      <c r="L408" s="124">
        <f t="shared" si="113"/>
        <v>2.7737521813856235E-3</v>
      </c>
      <c r="N408" s="150"/>
      <c r="O408" s="154"/>
      <c r="P408" s="125"/>
      <c r="Q408" s="154"/>
      <c r="R408" s="125"/>
      <c r="S408" s="3"/>
      <c r="T408" s="150"/>
      <c r="U408" s="154"/>
      <c r="V408" s="125"/>
      <c r="W408" s="154"/>
      <c r="X408" s="125"/>
      <c r="Y408" s="3"/>
    </row>
    <row r="409" spans="8:25" x14ac:dyDescent="0.3">
      <c r="H409" s="160">
        <v>41656</v>
      </c>
      <c r="I409" s="159">
        <v>85.835453999999999</v>
      </c>
      <c r="J409" s="123">
        <f t="shared" si="112"/>
        <v>-1.4614636718804897E-3</v>
      </c>
      <c r="K409" s="165">
        <v>1838.6999510000001</v>
      </c>
      <c r="L409" s="124">
        <f t="shared" si="113"/>
        <v>-3.8951746537292434E-3</v>
      </c>
      <c r="N409" s="150"/>
      <c r="O409" s="154"/>
      <c r="P409" s="125"/>
      <c r="Q409" s="154"/>
      <c r="R409" s="125"/>
      <c r="S409" s="3"/>
      <c r="T409" s="150"/>
      <c r="U409" s="154"/>
      <c r="V409" s="125"/>
      <c r="W409" s="154"/>
      <c r="X409" s="125"/>
      <c r="Y409" s="3"/>
    </row>
    <row r="410" spans="8:25" x14ac:dyDescent="0.3">
      <c r="H410" s="160">
        <v>41655</v>
      </c>
      <c r="I410" s="159">
        <v>85.961083000000002</v>
      </c>
      <c r="J410" s="123">
        <f t="shared" si="112"/>
        <v>-3.372249410952574E-4</v>
      </c>
      <c r="K410" s="165">
        <v>1845.8900149999999</v>
      </c>
      <c r="L410" s="124">
        <f t="shared" si="113"/>
        <v>-1.347120177271142E-3</v>
      </c>
      <c r="N410" s="150"/>
      <c r="O410" s="154"/>
      <c r="P410" s="125"/>
      <c r="Q410" s="154"/>
      <c r="R410" s="125"/>
      <c r="S410" s="3"/>
      <c r="T410" s="150"/>
      <c r="U410" s="154"/>
      <c r="V410" s="125"/>
      <c r="W410" s="154"/>
      <c r="X410" s="125"/>
      <c r="Y410" s="3"/>
    </row>
    <row r="411" spans="8:25" x14ac:dyDescent="0.3">
      <c r="H411" s="160">
        <v>41654</v>
      </c>
      <c r="I411" s="159">
        <v>85.990081000000004</v>
      </c>
      <c r="J411" s="123">
        <f t="shared" si="112"/>
        <v>1.240190577680054E-2</v>
      </c>
      <c r="K411" s="165">
        <v>1848.380005</v>
      </c>
      <c r="L411" s="124">
        <f t="shared" si="113"/>
        <v>5.1661881004573763E-3</v>
      </c>
      <c r="N411" s="150"/>
      <c r="O411" s="154"/>
      <c r="P411" s="125"/>
      <c r="Q411" s="154"/>
      <c r="R411" s="125"/>
      <c r="S411" s="3"/>
      <c r="T411" s="150"/>
      <c r="U411" s="154"/>
      <c r="V411" s="125"/>
      <c r="W411" s="154"/>
      <c r="X411" s="125"/>
      <c r="Y411" s="3"/>
    </row>
    <row r="412" spans="8:25" x14ac:dyDescent="0.3">
      <c r="H412" s="160">
        <v>41653</v>
      </c>
      <c r="I412" s="159">
        <v>84.936704000000006</v>
      </c>
      <c r="J412" s="123">
        <f t="shared" si="112"/>
        <v>3.8766092693720236E-2</v>
      </c>
      <c r="K412" s="165">
        <v>1838.880005</v>
      </c>
      <c r="L412" s="124">
        <f t="shared" si="113"/>
        <v>1.0817971927265035E-2</v>
      </c>
      <c r="N412" s="150"/>
      <c r="O412" s="154"/>
      <c r="P412" s="125"/>
      <c r="Q412" s="154"/>
      <c r="R412" s="125"/>
      <c r="S412" s="3"/>
      <c r="T412" s="150"/>
      <c r="U412" s="154"/>
      <c r="V412" s="125"/>
      <c r="W412" s="154"/>
      <c r="X412" s="125"/>
      <c r="Y412" s="3"/>
    </row>
    <row r="413" spans="8:25" x14ac:dyDescent="0.3">
      <c r="H413" s="160">
        <v>41652</v>
      </c>
      <c r="I413" s="159">
        <v>81.766919999999999</v>
      </c>
      <c r="J413" s="123">
        <f t="shared" si="112"/>
        <v>-9.9461598442986705E-3</v>
      </c>
      <c r="K413" s="165">
        <v>1819.1999510000001</v>
      </c>
      <c r="L413" s="124">
        <f t="shared" si="113"/>
        <v>-1.2576216537872982E-2</v>
      </c>
      <c r="N413" s="150"/>
      <c r="O413" s="154"/>
      <c r="P413" s="125"/>
      <c r="Q413" s="154"/>
      <c r="R413" s="125"/>
      <c r="S413" s="3"/>
      <c r="T413" s="150"/>
      <c r="U413" s="154"/>
      <c r="V413" s="125"/>
      <c r="W413" s="154"/>
      <c r="X413" s="125"/>
      <c r="Y413" s="3"/>
    </row>
    <row r="414" spans="8:25" x14ac:dyDescent="0.3">
      <c r="H414" s="160">
        <v>41649</v>
      </c>
      <c r="I414" s="159">
        <v>82.588357000000002</v>
      </c>
      <c r="J414" s="123">
        <f t="shared" si="112"/>
        <v>6.3589405377475474E-3</v>
      </c>
      <c r="K414" s="165">
        <v>1842.369995</v>
      </c>
      <c r="L414" s="124">
        <f t="shared" si="113"/>
        <v>2.3066866807389037E-3</v>
      </c>
      <c r="N414" s="150"/>
      <c r="O414" s="154"/>
      <c r="P414" s="125"/>
      <c r="Q414" s="154"/>
      <c r="R414" s="125"/>
      <c r="S414" s="3"/>
      <c r="T414" s="150"/>
      <c r="U414" s="154"/>
      <c r="V414" s="125"/>
      <c r="W414" s="154"/>
      <c r="X414" s="125"/>
      <c r="Y414" s="3"/>
    </row>
    <row r="415" spans="8:25" x14ac:dyDescent="0.3">
      <c r="H415" s="160">
        <v>41648</v>
      </c>
      <c r="I415" s="159">
        <v>82.066501000000002</v>
      </c>
      <c r="J415" s="123">
        <f t="shared" si="112"/>
        <v>-1.7243436760607141E-2</v>
      </c>
      <c r="K415" s="165">
        <v>1838.130005</v>
      </c>
      <c r="L415" s="124">
        <f t="shared" si="113"/>
        <v>3.4830938044998466E-4</v>
      </c>
      <c r="N415" s="150"/>
      <c r="O415" s="154"/>
      <c r="P415" s="125"/>
      <c r="Q415" s="154"/>
      <c r="R415" s="125"/>
      <c r="S415" s="3"/>
      <c r="T415" s="150"/>
      <c r="U415" s="154"/>
      <c r="V415" s="125"/>
      <c r="W415" s="154"/>
      <c r="X415" s="125"/>
      <c r="Y415" s="3"/>
    </row>
    <row r="416" spans="8:25" x14ac:dyDescent="0.3">
      <c r="H416" s="160">
        <v>41647</v>
      </c>
      <c r="I416" s="159">
        <v>83.506439</v>
      </c>
      <c r="J416" s="123">
        <f t="shared" si="112"/>
        <v>8.8733414902810118E-3</v>
      </c>
      <c r="K416" s="165">
        <v>1837.48999</v>
      </c>
      <c r="L416" s="124">
        <f t="shared" si="113"/>
        <v>-2.1220917521214803E-4</v>
      </c>
      <c r="N416" s="150"/>
      <c r="O416" s="154"/>
      <c r="P416" s="125"/>
      <c r="Q416" s="154"/>
      <c r="R416" s="125"/>
      <c r="S416" s="3"/>
      <c r="T416" s="150"/>
      <c r="U416" s="154"/>
      <c r="V416" s="125"/>
      <c r="W416" s="154"/>
      <c r="X416" s="125"/>
      <c r="Y416" s="3"/>
    </row>
    <row r="417" spans="8:25" x14ac:dyDescent="0.3">
      <c r="H417" s="160">
        <v>41646</v>
      </c>
      <c r="I417" s="159">
        <v>82.771974999999998</v>
      </c>
      <c r="J417" s="123">
        <f t="shared" si="112"/>
        <v>3.3297166090660191E-2</v>
      </c>
      <c r="K417" s="165">
        <v>1837.880005</v>
      </c>
      <c r="L417" s="124">
        <f t="shared" si="113"/>
        <v>6.0817644686330316E-3</v>
      </c>
      <c r="N417" s="150"/>
      <c r="O417" s="154"/>
      <c r="P417" s="125"/>
      <c r="Q417" s="154"/>
      <c r="R417" s="125"/>
      <c r="S417" s="3"/>
      <c r="T417" s="150"/>
      <c r="U417" s="154"/>
      <c r="V417" s="125"/>
      <c r="W417" s="154"/>
      <c r="X417" s="125"/>
      <c r="Y417" s="3"/>
    </row>
    <row r="418" spans="8:25" x14ac:dyDescent="0.3">
      <c r="H418" s="160">
        <v>41645</v>
      </c>
      <c r="I418" s="159">
        <v>80.104714999999999</v>
      </c>
      <c r="J418" s="123">
        <f t="shared" si="112"/>
        <v>-4.6829829160101302E-3</v>
      </c>
      <c r="K418" s="165">
        <v>1826.7700199999999</v>
      </c>
      <c r="L418" s="124">
        <f t="shared" si="113"/>
        <v>-2.5117671538569058E-3</v>
      </c>
      <c r="N418" s="150"/>
      <c r="O418" s="154"/>
      <c r="P418" s="125"/>
      <c r="Q418" s="154"/>
      <c r="R418" s="125"/>
      <c r="S418" s="3"/>
      <c r="T418" s="150"/>
      <c r="U418" s="154"/>
      <c r="V418" s="125"/>
      <c r="W418" s="154"/>
      <c r="X418" s="125"/>
      <c r="Y418" s="3"/>
    </row>
    <row r="419" spans="8:25" x14ac:dyDescent="0.3">
      <c r="H419" s="160">
        <v>41642</v>
      </c>
      <c r="I419" s="159">
        <v>80.481609000000006</v>
      </c>
      <c r="J419" s="123">
        <f t="shared" si="112"/>
        <v>7.2568728513306563E-3</v>
      </c>
      <c r="K419" s="165">
        <v>1831.369995</v>
      </c>
      <c r="L419" s="124">
        <f t="shared" si="113"/>
        <v>-3.3296488316430812E-4</v>
      </c>
      <c r="N419" s="150"/>
      <c r="O419" s="154"/>
      <c r="P419" s="125"/>
      <c r="Q419" s="154"/>
      <c r="R419" s="125"/>
      <c r="S419" s="3"/>
      <c r="T419" s="150"/>
      <c r="U419" s="154"/>
      <c r="V419" s="125"/>
      <c r="W419" s="154"/>
      <c r="X419" s="125"/>
      <c r="Y419" s="3"/>
    </row>
    <row r="420" spans="8:25" x14ac:dyDescent="0.3">
      <c r="H420" s="160">
        <v>41641</v>
      </c>
      <c r="I420" s="159">
        <v>79.901771999999994</v>
      </c>
      <c r="J420" s="123">
        <f t="shared" si="112"/>
        <v>-1.4541140508775979E-2</v>
      </c>
      <c r="K420" s="165">
        <v>1831.9799800000001</v>
      </c>
      <c r="L420" s="124">
        <f t="shared" si="113"/>
        <v>-8.861912794546881E-3</v>
      </c>
      <c r="N420" s="150"/>
      <c r="O420" s="154"/>
      <c r="P420" s="125"/>
      <c r="Q420" s="154"/>
      <c r="R420" s="125"/>
      <c r="S420" s="3"/>
      <c r="T420" s="150"/>
      <c r="U420" s="154"/>
      <c r="V420" s="125"/>
      <c r="W420" s="154"/>
      <c r="X420" s="125"/>
      <c r="Y420" s="3"/>
    </row>
    <row r="421" spans="8:25" x14ac:dyDescent="0.3">
      <c r="H421" s="160">
        <v>41639</v>
      </c>
      <c r="I421" s="159">
        <v>81.080779000000007</v>
      </c>
      <c r="J421" s="123">
        <f t="shared" si="112"/>
        <v>3.7086480157077616E-3</v>
      </c>
      <c r="K421" s="165">
        <v>1848.3599850000001</v>
      </c>
      <c r="L421" s="124">
        <f t="shared" si="113"/>
        <v>3.9596751963925543E-3</v>
      </c>
      <c r="N421" s="150"/>
      <c r="O421" s="154"/>
      <c r="P421" s="125"/>
      <c r="Q421" s="154"/>
      <c r="R421" s="125"/>
      <c r="S421" s="3"/>
      <c r="T421" s="150"/>
      <c r="U421" s="154"/>
      <c r="V421" s="125"/>
      <c r="W421" s="154"/>
      <c r="X421" s="125"/>
      <c r="Y421" s="3"/>
    </row>
    <row r="422" spans="8:25" x14ac:dyDescent="0.3">
      <c r="H422" s="160">
        <v>41638</v>
      </c>
      <c r="I422" s="159">
        <v>80.781189999999995</v>
      </c>
      <c r="J422" s="123">
        <f t="shared" si="112"/>
        <v>9.2972297448131371E-3</v>
      </c>
      <c r="K422" s="165">
        <v>1841.0699460000001</v>
      </c>
      <c r="L422" s="124">
        <f t="shared" si="113"/>
        <v>-1.7925382627232859E-4</v>
      </c>
      <c r="N422" s="150"/>
      <c r="O422" s="154"/>
      <c r="P422" s="125"/>
      <c r="Q422" s="154"/>
      <c r="R422" s="125"/>
      <c r="S422" s="3"/>
      <c r="T422" s="150"/>
      <c r="U422" s="154"/>
      <c r="V422" s="125"/>
      <c r="W422" s="154"/>
      <c r="X422" s="125"/>
      <c r="Y422" s="3"/>
    </row>
    <row r="423" spans="8:25" x14ac:dyDescent="0.3">
      <c r="H423" s="160">
        <v>41635</v>
      </c>
      <c r="I423" s="159">
        <v>80.037066999999993</v>
      </c>
      <c r="J423" s="123">
        <f t="shared" si="112"/>
        <v>-3.1295456090737507E-3</v>
      </c>
      <c r="K423" s="165">
        <v>1841.400024</v>
      </c>
      <c r="L423" s="124">
        <f t="shared" si="113"/>
        <v>-3.3658483255784646E-4</v>
      </c>
      <c r="N423" s="150"/>
      <c r="O423" s="154"/>
      <c r="P423" s="125"/>
      <c r="Q423" s="154"/>
      <c r="R423" s="125"/>
      <c r="S423" s="3"/>
      <c r="T423" s="150"/>
      <c r="U423" s="154"/>
      <c r="V423" s="125"/>
      <c r="W423" s="154"/>
      <c r="X423" s="125"/>
      <c r="Y423" s="3"/>
    </row>
    <row r="424" spans="8:25" x14ac:dyDescent="0.3">
      <c r="H424" s="160">
        <v>41634</v>
      </c>
      <c r="I424" s="159">
        <v>80.288332999999994</v>
      </c>
      <c r="J424" s="123">
        <f t="shared" si="112"/>
        <v>6.298501580519182E-3</v>
      </c>
      <c r="K424" s="165">
        <v>1842.0200199999999</v>
      </c>
      <c r="L424" s="124">
        <f t="shared" si="113"/>
        <v>4.7455295618105157E-3</v>
      </c>
      <c r="N424" s="150"/>
      <c r="O424" s="154"/>
      <c r="P424" s="125"/>
      <c r="Q424" s="154"/>
      <c r="R424" s="125"/>
      <c r="S424" s="3"/>
      <c r="T424" s="150"/>
      <c r="U424" s="154"/>
      <c r="V424" s="125"/>
      <c r="W424" s="154"/>
      <c r="X424" s="125"/>
      <c r="Y424" s="3"/>
    </row>
    <row r="425" spans="8:25" x14ac:dyDescent="0.3">
      <c r="H425" s="160">
        <v>41632</v>
      </c>
      <c r="I425" s="159">
        <v>79.785802000000004</v>
      </c>
      <c r="J425" s="123">
        <f t="shared" si="112"/>
        <v>2.793679571294149E-3</v>
      </c>
      <c r="K425" s="165">
        <v>1833.3199460000001</v>
      </c>
      <c r="L425" s="124">
        <f t="shared" si="113"/>
        <v>2.9157468198171251E-3</v>
      </c>
      <c r="N425" s="150"/>
      <c r="O425" s="154"/>
      <c r="P425" s="125"/>
      <c r="Q425" s="154"/>
      <c r="R425" s="125"/>
      <c r="S425" s="3"/>
      <c r="T425" s="150"/>
      <c r="U425" s="154"/>
      <c r="V425" s="125"/>
      <c r="W425" s="154"/>
      <c r="X425" s="125"/>
      <c r="Y425" s="3"/>
    </row>
    <row r="426" spans="8:25" x14ac:dyDescent="0.3">
      <c r="H426" s="160">
        <v>41631</v>
      </c>
      <c r="I426" s="159">
        <v>79.563526999999993</v>
      </c>
      <c r="J426" s="123">
        <f t="shared" si="112"/>
        <v>-6.0477311405360181E-4</v>
      </c>
      <c r="K426" s="165">
        <v>1827.98999</v>
      </c>
      <c r="L426" s="124">
        <f t="shared" si="113"/>
        <v>5.3181201808144059E-3</v>
      </c>
      <c r="N426" s="150"/>
      <c r="O426" s="154"/>
      <c r="P426" s="125"/>
      <c r="Q426" s="154"/>
      <c r="R426" s="125"/>
      <c r="S426" s="3"/>
      <c r="T426" s="150"/>
      <c r="U426" s="154"/>
      <c r="V426" s="125"/>
      <c r="W426" s="154"/>
      <c r="X426" s="125"/>
      <c r="Y426" s="3"/>
    </row>
    <row r="427" spans="8:25" x14ac:dyDescent="0.3">
      <c r="H427" s="160">
        <v>41628</v>
      </c>
      <c r="I427" s="159">
        <v>79.611673999999994</v>
      </c>
      <c r="J427" s="123">
        <f t="shared" si="112"/>
        <v>7.0645719742364922E-3</v>
      </c>
      <c r="K427" s="165">
        <v>1818.3199460000001</v>
      </c>
      <c r="L427" s="124">
        <f t="shared" si="113"/>
        <v>4.818727959576467E-3</v>
      </c>
      <c r="N427" s="150"/>
      <c r="O427" s="154"/>
      <c r="P427" s="125"/>
      <c r="Q427" s="154"/>
      <c r="R427" s="125"/>
      <c r="S427" s="3"/>
      <c r="T427" s="150"/>
      <c r="U427" s="154"/>
      <c r="V427" s="125"/>
      <c r="W427" s="154"/>
      <c r="X427" s="125"/>
      <c r="Y427" s="3"/>
    </row>
    <row r="428" spans="8:25" x14ac:dyDescent="0.3">
      <c r="H428" s="160">
        <v>41627</v>
      </c>
      <c r="I428" s="159">
        <v>79.053196999999997</v>
      </c>
      <c r="J428" s="123">
        <f t="shared" si="112"/>
        <v>0</v>
      </c>
      <c r="K428" s="165">
        <v>1809.599976</v>
      </c>
      <c r="L428" s="124">
        <f t="shared" si="113"/>
        <v>-5.7992874718016773E-4</v>
      </c>
      <c r="N428" s="150"/>
      <c r="O428" s="154"/>
      <c r="P428" s="125"/>
      <c r="Q428" s="154"/>
      <c r="R428" s="125"/>
      <c r="S428" s="3"/>
      <c r="T428" s="150"/>
      <c r="U428" s="154"/>
      <c r="V428" s="125"/>
      <c r="W428" s="154"/>
      <c r="X428" s="125"/>
      <c r="Y428" s="3"/>
    </row>
    <row r="429" spans="8:25" x14ac:dyDescent="0.3">
      <c r="H429" s="160">
        <v>41626</v>
      </c>
      <c r="I429" s="159">
        <v>79.053196999999997</v>
      </c>
      <c r="J429" s="123">
        <f t="shared" si="112"/>
        <v>-1.5587556209950051E-2</v>
      </c>
      <c r="K429" s="165">
        <v>1810.650024</v>
      </c>
      <c r="L429" s="124">
        <f t="shared" si="113"/>
        <v>1.6647964065131967E-2</v>
      </c>
      <c r="N429" s="150"/>
      <c r="O429" s="154"/>
      <c r="P429" s="125"/>
      <c r="Q429" s="154"/>
      <c r="R429" s="125"/>
      <c r="S429" s="3"/>
      <c r="T429" s="150"/>
      <c r="U429" s="154"/>
      <c r="V429" s="125"/>
      <c r="W429" s="154"/>
      <c r="X429" s="125"/>
      <c r="Y429" s="3"/>
    </row>
    <row r="430" spans="8:25" x14ac:dyDescent="0.3">
      <c r="H430" s="160">
        <v>41625</v>
      </c>
      <c r="I430" s="159">
        <v>80.304955000000007</v>
      </c>
      <c r="J430" s="123">
        <f t="shared" si="112"/>
        <v>2.1307834346714322E-2</v>
      </c>
      <c r="K430" s="165">
        <v>1781</v>
      </c>
      <c r="L430" s="124">
        <f t="shared" si="113"/>
        <v>-3.1009878754807907E-3</v>
      </c>
      <c r="N430" s="150"/>
      <c r="O430" s="154"/>
      <c r="P430" s="125"/>
      <c r="Q430" s="154"/>
      <c r="R430" s="125"/>
      <c r="S430" s="3"/>
      <c r="T430" s="150"/>
      <c r="U430" s="154"/>
      <c r="V430" s="125"/>
      <c r="W430" s="154"/>
      <c r="X430" s="125"/>
      <c r="Y430" s="3"/>
    </row>
    <row r="431" spans="8:25" x14ac:dyDescent="0.3">
      <c r="H431" s="160">
        <v>41624</v>
      </c>
      <c r="I431" s="159">
        <v>78.629530000000003</v>
      </c>
      <c r="J431" s="123">
        <f t="shared" si="112"/>
        <v>3.3017081249085589E-2</v>
      </c>
      <c r="K431" s="165">
        <v>1786.540039</v>
      </c>
      <c r="L431" s="124">
        <f t="shared" si="113"/>
        <v>6.3200399597154672E-3</v>
      </c>
      <c r="N431" s="150"/>
      <c r="O431" s="154"/>
      <c r="P431" s="125"/>
      <c r="Q431" s="154"/>
      <c r="R431" s="125"/>
      <c r="S431" s="3"/>
      <c r="T431" s="150"/>
      <c r="U431" s="154"/>
      <c r="V431" s="125"/>
      <c r="W431" s="154"/>
      <c r="X431" s="125"/>
      <c r="Y431" s="3"/>
    </row>
    <row r="432" spans="8:25" x14ac:dyDescent="0.3">
      <c r="H432" s="160">
        <v>41621</v>
      </c>
      <c r="I432" s="159">
        <v>76.116388999999998</v>
      </c>
      <c r="J432" s="123">
        <f t="shared" si="112"/>
        <v>2.4093601556668984E-3</v>
      </c>
      <c r="K432" s="165">
        <v>1775.3199460000001</v>
      </c>
      <c r="L432" s="124">
        <f t="shared" si="113"/>
        <v>-1.0141030695574617E-4</v>
      </c>
      <c r="N432" s="150"/>
      <c r="O432" s="154"/>
      <c r="P432" s="125"/>
      <c r="Q432" s="154"/>
      <c r="R432" s="125"/>
      <c r="S432" s="3"/>
      <c r="T432" s="150"/>
      <c r="U432" s="154"/>
      <c r="V432" s="125"/>
      <c r="W432" s="154"/>
      <c r="X432" s="125"/>
      <c r="Y432" s="3"/>
    </row>
    <row r="433" spans="8:25" x14ac:dyDescent="0.3">
      <c r="H433" s="160">
        <v>41620</v>
      </c>
      <c r="I433" s="159">
        <v>75.933437999999995</v>
      </c>
      <c r="J433" s="123">
        <f t="shared" si="112"/>
        <v>1.2973693838701237E-2</v>
      </c>
      <c r="K433" s="165">
        <v>1775.5</v>
      </c>
      <c r="L433" s="124">
        <f t="shared" si="113"/>
        <v>-3.7705620570671894E-3</v>
      </c>
      <c r="N433" s="150"/>
      <c r="O433" s="154"/>
      <c r="P433" s="125"/>
      <c r="Q433" s="154"/>
      <c r="R433" s="125"/>
      <c r="S433" s="3"/>
      <c r="T433" s="150"/>
      <c r="U433" s="154"/>
      <c r="V433" s="125"/>
      <c r="W433" s="154"/>
      <c r="X433" s="125"/>
      <c r="Y433" s="3"/>
    </row>
    <row r="434" spans="8:25" x14ac:dyDescent="0.3">
      <c r="H434" s="160">
        <v>41619</v>
      </c>
      <c r="I434" s="159">
        <v>74.960918000000007</v>
      </c>
      <c r="J434" s="123">
        <f t="shared" si="112"/>
        <v>-1.865628591585964E-2</v>
      </c>
      <c r="K434" s="165">
        <v>1782.219971</v>
      </c>
      <c r="L434" s="124">
        <f t="shared" si="113"/>
        <v>-1.1316874358758031E-2</v>
      </c>
      <c r="N434" s="150"/>
      <c r="O434" s="154"/>
      <c r="P434" s="125"/>
      <c r="Q434" s="154"/>
      <c r="R434" s="125"/>
      <c r="S434" s="3"/>
      <c r="T434" s="150"/>
      <c r="U434" s="154"/>
      <c r="V434" s="125"/>
      <c r="W434" s="154"/>
      <c r="X434" s="125"/>
      <c r="Y434" s="3"/>
    </row>
    <row r="435" spans="8:25" x14ac:dyDescent="0.3">
      <c r="H435" s="160">
        <v>41618</v>
      </c>
      <c r="I435" s="159">
        <v>76.385997000000003</v>
      </c>
      <c r="J435" s="123">
        <f t="shared" si="112"/>
        <v>6.7258716816287903E-3</v>
      </c>
      <c r="K435" s="165">
        <v>1802.619995</v>
      </c>
      <c r="L435" s="124">
        <f t="shared" si="113"/>
        <v>-3.1796590387466587E-3</v>
      </c>
      <c r="N435" s="150"/>
      <c r="O435" s="154"/>
      <c r="P435" s="125"/>
      <c r="Q435" s="154"/>
      <c r="R435" s="125"/>
      <c r="S435" s="3"/>
      <c r="T435" s="150"/>
      <c r="U435" s="154"/>
      <c r="V435" s="125"/>
      <c r="W435" s="154"/>
      <c r="X435" s="125"/>
      <c r="Y435" s="3"/>
    </row>
    <row r="436" spans="8:25" x14ac:dyDescent="0.3">
      <c r="H436" s="160">
        <v>41617</v>
      </c>
      <c r="I436" s="159">
        <v>75.875667000000007</v>
      </c>
      <c r="J436" s="123">
        <f t="shared" si="112"/>
        <v>-1.3939956635543786E-3</v>
      </c>
      <c r="K436" s="165">
        <v>1808.369995</v>
      </c>
      <c r="L436" s="124">
        <f t="shared" si="113"/>
        <v>1.8171000126206524E-3</v>
      </c>
      <c r="N436" s="150"/>
      <c r="O436" s="154"/>
      <c r="P436" s="125"/>
      <c r="Q436" s="154"/>
      <c r="R436" s="125"/>
      <c r="S436" s="3"/>
      <c r="T436" s="150"/>
      <c r="U436" s="154"/>
      <c r="V436" s="125"/>
      <c r="W436" s="154"/>
      <c r="X436" s="125"/>
      <c r="Y436" s="3"/>
    </row>
    <row r="437" spans="8:25" x14ac:dyDescent="0.3">
      <c r="H437" s="160">
        <v>41614</v>
      </c>
      <c r="I437" s="159">
        <v>75.981584999999995</v>
      </c>
      <c r="J437" s="123">
        <f t="shared" si="112"/>
        <v>2.7741655701093867E-2</v>
      </c>
      <c r="K437" s="165">
        <v>1805.089966</v>
      </c>
      <c r="L437" s="124">
        <f t="shared" si="113"/>
        <v>1.1237870889621875E-2</v>
      </c>
      <c r="N437" s="150"/>
      <c r="O437" s="154"/>
      <c r="P437" s="125"/>
      <c r="Q437" s="154"/>
      <c r="R437" s="125"/>
      <c r="S437" s="3"/>
      <c r="T437" s="150"/>
      <c r="U437" s="154"/>
      <c r="V437" s="125"/>
      <c r="W437" s="154"/>
      <c r="X437" s="125"/>
      <c r="Y437" s="3"/>
    </row>
    <row r="438" spans="8:25" x14ac:dyDescent="0.3">
      <c r="H438" s="160">
        <v>41613</v>
      </c>
      <c r="I438" s="159">
        <v>73.930627000000001</v>
      </c>
      <c r="J438" s="123">
        <f t="shared" si="112"/>
        <v>-1.0184357457380252E-2</v>
      </c>
      <c r="K438" s="165">
        <v>1785.030029</v>
      </c>
      <c r="L438" s="124">
        <f t="shared" si="113"/>
        <v>-4.3395729296272856E-3</v>
      </c>
      <c r="N438" s="150"/>
      <c r="O438" s="154"/>
      <c r="P438" s="125"/>
      <c r="Q438" s="154"/>
      <c r="R438" s="125"/>
      <c r="S438" s="3"/>
      <c r="T438" s="150"/>
      <c r="U438" s="154"/>
      <c r="V438" s="125"/>
      <c r="W438" s="154"/>
      <c r="X438" s="125"/>
      <c r="Y438" s="3"/>
    </row>
    <row r="439" spans="8:25" x14ac:dyDescent="0.3">
      <c r="H439" s="160">
        <v>41612</v>
      </c>
      <c r="I439" s="159">
        <v>74.691310000000001</v>
      </c>
      <c r="J439" s="123">
        <f t="shared" si="112"/>
        <v>2.7009151963682369E-2</v>
      </c>
      <c r="K439" s="165">
        <v>1792.8100589999999</v>
      </c>
      <c r="L439" s="124">
        <f t="shared" si="113"/>
        <v>-1.3034927269121215E-3</v>
      </c>
      <c r="N439" s="150"/>
      <c r="O439" s="154"/>
      <c r="P439" s="125"/>
      <c r="Q439" s="154"/>
      <c r="R439" s="125"/>
      <c r="S439" s="3"/>
      <c r="T439" s="150"/>
      <c r="U439" s="154"/>
      <c r="V439" s="125"/>
      <c r="W439" s="154"/>
      <c r="X439" s="125"/>
      <c r="Y439" s="3"/>
    </row>
    <row r="440" spans="8:25" x14ac:dyDescent="0.3">
      <c r="H440" s="160">
        <v>41611</v>
      </c>
      <c r="I440" s="159">
        <v>72.727014999999994</v>
      </c>
      <c r="J440" s="123">
        <f t="shared" si="112"/>
        <v>1.1929456460972438E-3</v>
      </c>
      <c r="K440" s="165">
        <v>1795.150024</v>
      </c>
      <c r="L440" s="124">
        <f t="shared" si="113"/>
        <v>-3.1928479778841959E-3</v>
      </c>
      <c r="N440" s="150"/>
      <c r="O440" s="154"/>
      <c r="P440" s="125"/>
      <c r="Q440" s="154"/>
      <c r="R440" s="125"/>
      <c r="S440" s="3"/>
      <c r="T440" s="150"/>
      <c r="U440" s="154"/>
      <c r="V440" s="125"/>
      <c r="W440" s="154"/>
      <c r="X440" s="125"/>
      <c r="Y440" s="3"/>
    </row>
    <row r="441" spans="8:25" x14ac:dyDescent="0.3">
      <c r="H441" s="160">
        <v>41610</v>
      </c>
      <c r="I441" s="159">
        <v>72.640359000000004</v>
      </c>
      <c r="J441" s="123">
        <f t="shared" si="112"/>
        <v>5.3305089369206473E-3</v>
      </c>
      <c r="K441" s="165">
        <v>1800.900024</v>
      </c>
      <c r="L441" s="124">
        <f t="shared" si="113"/>
        <v>-2.7190207383820317E-3</v>
      </c>
      <c r="N441" s="150"/>
      <c r="O441" s="154"/>
      <c r="P441" s="125"/>
      <c r="Q441" s="154"/>
      <c r="R441" s="125"/>
      <c r="S441" s="3"/>
      <c r="T441" s="150"/>
      <c r="U441" s="154"/>
      <c r="V441" s="125"/>
      <c r="W441" s="154"/>
      <c r="X441" s="125"/>
      <c r="Y441" s="3"/>
    </row>
    <row r="442" spans="8:25" x14ac:dyDescent="0.3">
      <c r="H442" s="160">
        <v>41607</v>
      </c>
      <c r="I442" s="159">
        <v>72.255201999999997</v>
      </c>
      <c r="J442" s="123">
        <f t="shared" si="112"/>
        <v>-1.5093864134394792E-2</v>
      </c>
      <c r="K442" s="165">
        <v>1805.8100589999999</v>
      </c>
      <c r="L442" s="124">
        <f t="shared" si="113"/>
        <v>-7.8568915728155335E-4</v>
      </c>
      <c r="N442" s="150"/>
      <c r="O442" s="154"/>
      <c r="P442" s="125"/>
      <c r="Q442" s="154"/>
      <c r="R442" s="125"/>
      <c r="S442" s="3"/>
      <c r="T442" s="150"/>
      <c r="U442" s="154"/>
      <c r="V442" s="125"/>
      <c r="W442" s="154"/>
      <c r="X442" s="125"/>
      <c r="Y442" s="3"/>
    </row>
    <row r="443" spans="8:25" x14ac:dyDescent="0.3">
      <c r="H443" s="160">
        <v>41605</v>
      </c>
      <c r="I443" s="159">
        <v>73.362526000000003</v>
      </c>
      <c r="J443" s="123">
        <f t="shared" si="112"/>
        <v>1.7766531370067978E-2</v>
      </c>
      <c r="K443" s="165">
        <v>1807.2299800000001</v>
      </c>
      <c r="L443" s="124">
        <f t="shared" si="113"/>
        <v>2.4850811260574506E-3</v>
      </c>
      <c r="N443" s="150"/>
      <c r="O443" s="154"/>
      <c r="P443" s="125"/>
      <c r="Q443" s="154"/>
      <c r="R443" s="125"/>
      <c r="S443" s="3"/>
      <c r="T443" s="150"/>
      <c r="U443" s="154"/>
      <c r="V443" s="125"/>
      <c r="W443" s="154"/>
      <c r="X443" s="125"/>
      <c r="Y443" s="3"/>
    </row>
    <row r="444" spans="8:25" x14ac:dyDescent="0.3">
      <c r="H444" s="160">
        <v>41604</v>
      </c>
      <c r="I444" s="159">
        <v>72.081880999999996</v>
      </c>
      <c r="J444" s="123">
        <f t="shared" si="112"/>
        <v>6.6839517162889492E-4</v>
      </c>
      <c r="K444" s="165">
        <v>1802.75</v>
      </c>
      <c r="L444" s="124">
        <f t="shared" si="113"/>
        <v>1.4980471516800497E-4</v>
      </c>
      <c r="N444" s="150"/>
      <c r="O444" s="154"/>
      <c r="P444" s="125"/>
      <c r="Q444" s="154"/>
      <c r="R444" s="125"/>
      <c r="S444" s="3"/>
      <c r="T444" s="150"/>
      <c r="U444" s="154"/>
      <c r="V444" s="125"/>
      <c r="W444" s="154"/>
      <c r="X444" s="125"/>
      <c r="Y444" s="3"/>
    </row>
    <row r="445" spans="8:25" x14ac:dyDescent="0.3">
      <c r="H445" s="160">
        <v>41603</v>
      </c>
      <c r="I445" s="159">
        <v>72.033733999999995</v>
      </c>
      <c r="J445" s="123">
        <f t="shared" si="112"/>
        <v>-4.2592768352729691E-3</v>
      </c>
      <c r="K445" s="165">
        <v>1802.4799800000001</v>
      </c>
      <c r="L445" s="124">
        <f t="shared" si="113"/>
        <v>-1.2633424872927547E-3</v>
      </c>
      <c r="N445" s="150"/>
      <c r="O445" s="154"/>
      <c r="P445" s="125"/>
      <c r="Q445" s="154"/>
      <c r="R445" s="125"/>
      <c r="S445" s="3"/>
      <c r="T445" s="150"/>
      <c r="U445" s="154"/>
      <c r="V445" s="125"/>
      <c r="W445" s="154"/>
      <c r="X445" s="125"/>
      <c r="Y445" s="3"/>
    </row>
    <row r="446" spans="8:25" x14ac:dyDescent="0.3">
      <c r="H446" s="160">
        <v>41600</v>
      </c>
      <c r="I446" s="159">
        <v>72.341858000000002</v>
      </c>
      <c r="J446" s="123">
        <f t="shared" si="112"/>
        <v>4.0090213597781393E-3</v>
      </c>
      <c r="K446" s="165">
        <v>1804.76001</v>
      </c>
      <c r="L446" s="124">
        <f t="shared" si="113"/>
        <v>4.9614578718016455E-3</v>
      </c>
      <c r="N446" s="150"/>
      <c r="O446" s="154"/>
      <c r="P446" s="125"/>
      <c r="Q446" s="154"/>
      <c r="R446" s="125"/>
      <c r="S446" s="3"/>
      <c r="T446" s="150"/>
      <c r="U446" s="154"/>
      <c r="V446" s="125"/>
      <c r="W446" s="154"/>
      <c r="X446" s="125"/>
      <c r="Y446" s="3"/>
    </row>
    <row r="447" spans="8:25" x14ac:dyDescent="0.3">
      <c r="H447" s="160">
        <v>41599</v>
      </c>
      <c r="I447" s="159">
        <v>72.052995999999993</v>
      </c>
      <c r="J447" s="123">
        <f t="shared" si="112"/>
        <v>1.2036781547846065E-2</v>
      </c>
      <c r="K447" s="165">
        <v>1795.849976</v>
      </c>
      <c r="L447" s="124">
        <f t="shared" si="113"/>
        <v>8.1285645546084057E-3</v>
      </c>
      <c r="N447" s="150"/>
      <c r="O447" s="154"/>
      <c r="P447" s="125"/>
      <c r="Q447" s="154"/>
      <c r="R447" s="125"/>
      <c r="S447" s="3"/>
      <c r="T447" s="150"/>
      <c r="U447" s="154"/>
      <c r="V447" s="125"/>
      <c r="W447" s="154"/>
      <c r="X447" s="125"/>
      <c r="Y447" s="3"/>
    </row>
    <row r="448" spans="8:25" x14ac:dyDescent="0.3">
      <c r="H448" s="160">
        <v>41598</v>
      </c>
      <c r="I448" s="159">
        <v>71.196025000000006</v>
      </c>
      <c r="J448" s="123">
        <f t="shared" si="112"/>
        <v>4.4831088569177177E-3</v>
      </c>
      <c r="K448" s="165">
        <v>1781.369995</v>
      </c>
      <c r="L448" s="124">
        <f t="shared" si="113"/>
        <v>-3.6356111004592368E-3</v>
      </c>
      <c r="N448" s="150"/>
      <c r="O448" s="154"/>
      <c r="P448" s="125"/>
      <c r="Q448" s="154"/>
      <c r="R448" s="125"/>
      <c r="S448" s="3"/>
      <c r="T448" s="150"/>
      <c r="U448" s="154"/>
      <c r="V448" s="125"/>
      <c r="W448" s="154"/>
      <c r="X448" s="125"/>
      <c r="Y448" s="3"/>
    </row>
    <row r="449" spans="8:25" x14ac:dyDescent="0.3">
      <c r="H449" s="160">
        <v>41597</v>
      </c>
      <c r="I449" s="159">
        <v>70.878270000000001</v>
      </c>
      <c r="J449" s="123">
        <f t="shared" si="112"/>
        <v>-8.7530445261294922E-3</v>
      </c>
      <c r="K449" s="165">
        <v>1787.869995</v>
      </c>
      <c r="L449" s="124">
        <f t="shared" si="113"/>
        <v>-2.0429654768572099E-3</v>
      </c>
      <c r="N449" s="150"/>
      <c r="O449" s="154"/>
      <c r="P449" s="125"/>
      <c r="Q449" s="154"/>
      <c r="R449" s="125"/>
      <c r="S449" s="3"/>
      <c r="T449" s="150"/>
      <c r="U449" s="154"/>
      <c r="V449" s="125"/>
      <c r="W449" s="154"/>
      <c r="X449" s="125"/>
      <c r="Y449" s="3"/>
    </row>
    <row r="450" spans="8:25" x14ac:dyDescent="0.3">
      <c r="H450" s="160">
        <v>41596</v>
      </c>
      <c r="I450" s="159">
        <v>71.504148999999998</v>
      </c>
      <c r="J450" s="123">
        <f t="shared" si="112"/>
        <v>-1.7074798205824443E-2</v>
      </c>
      <c r="K450" s="165">
        <v>1791.530029</v>
      </c>
      <c r="L450" s="124">
        <f t="shared" si="113"/>
        <v>-3.6981975109817975E-3</v>
      </c>
      <c r="N450" s="150"/>
      <c r="O450" s="154"/>
      <c r="P450" s="125"/>
      <c r="Q450" s="154"/>
      <c r="R450" s="125"/>
      <c r="S450" s="3"/>
      <c r="T450" s="150"/>
      <c r="U450" s="154"/>
      <c r="V450" s="125"/>
      <c r="W450" s="154"/>
      <c r="X450" s="125"/>
      <c r="Y450" s="3"/>
    </row>
    <row r="451" spans="8:25" x14ac:dyDescent="0.3">
      <c r="H451" s="160">
        <v>41593</v>
      </c>
      <c r="I451" s="159">
        <v>72.746277000000006</v>
      </c>
      <c r="J451" s="123">
        <f t="shared" si="112"/>
        <v>-3.9551098821074965E-3</v>
      </c>
      <c r="K451" s="165">
        <v>1798.1800539999999</v>
      </c>
      <c r="L451" s="124">
        <f t="shared" si="113"/>
        <v>4.2220342792496906E-3</v>
      </c>
      <c r="N451" s="150"/>
      <c r="O451" s="154"/>
      <c r="P451" s="125"/>
      <c r="Q451" s="154"/>
      <c r="R451" s="125"/>
      <c r="S451" s="3"/>
      <c r="T451" s="150"/>
      <c r="U451" s="154"/>
      <c r="V451" s="125"/>
      <c r="W451" s="154"/>
      <c r="X451" s="125"/>
      <c r="Y451" s="3"/>
    </row>
    <row r="452" spans="8:25" x14ac:dyDescent="0.3">
      <c r="H452" s="160">
        <v>41592</v>
      </c>
      <c r="I452" s="159">
        <v>73.035139000000001</v>
      </c>
      <c r="J452" s="123">
        <f t="shared" si="112"/>
        <v>4.7073382063239258E-2</v>
      </c>
      <c r="K452" s="165">
        <v>1790.619995</v>
      </c>
      <c r="L452" s="124">
        <f t="shared" si="113"/>
        <v>4.8372586980920413E-3</v>
      </c>
      <c r="N452" s="150"/>
      <c r="O452" s="154"/>
      <c r="P452" s="125"/>
      <c r="Q452" s="154"/>
      <c r="R452" s="125"/>
      <c r="S452" s="3"/>
      <c r="T452" s="150"/>
      <c r="U452" s="154"/>
      <c r="V452" s="125"/>
      <c r="W452" s="154"/>
      <c r="X452" s="125"/>
      <c r="Y452" s="3"/>
    </row>
    <row r="453" spans="8:25" x14ac:dyDescent="0.3">
      <c r="H453" s="160">
        <v>41591</v>
      </c>
      <c r="I453" s="159">
        <v>69.751690999999994</v>
      </c>
      <c r="J453" s="123">
        <f t="shared" si="112"/>
        <v>4.2978586829795912E-3</v>
      </c>
      <c r="K453" s="165">
        <v>1782</v>
      </c>
      <c r="L453" s="124">
        <f t="shared" si="113"/>
        <v>8.0953444764779083E-3</v>
      </c>
      <c r="N453" s="150"/>
      <c r="O453" s="154"/>
      <c r="P453" s="125"/>
      <c r="Q453" s="154"/>
      <c r="R453" s="125"/>
      <c r="S453" s="3"/>
      <c r="T453" s="150"/>
      <c r="U453" s="154"/>
      <c r="V453" s="125"/>
      <c r="W453" s="154"/>
      <c r="X453" s="125"/>
      <c r="Y453" s="3"/>
    </row>
    <row r="454" spans="8:25" x14ac:dyDescent="0.3">
      <c r="H454" s="160">
        <v>41590</v>
      </c>
      <c r="I454" s="159">
        <v>69.453191000000004</v>
      </c>
      <c r="J454" s="123">
        <f t="shared" si="112"/>
        <v>7.9653468582475614E-3</v>
      </c>
      <c r="K454" s="165">
        <v>1767.6899410000001</v>
      </c>
      <c r="L454" s="124">
        <f t="shared" si="113"/>
        <v>-2.3703920471609286E-3</v>
      </c>
      <c r="N454" s="150"/>
      <c r="O454" s="154"/>
      <c r="P454" s="125"/>
      <c r="Q454" s="154"/>
      <c r="R454" s="125"/>
      <c r="S454" s="3"/>
      <c r="T454" s="150"/>
      <c r="U454" s="154"/>
      <c r="V454" s="125"/>
      <c r="W454" s="154"/>
      <c r="X454" s="125"/>
      <c r="Y454" s="3"/>
    </row>
    <row r="455" spans="8:25" x14ac:dyDescent="0.3">
      <c r="H455" s="160">
        <v>41589</v>
      </c>
      <c r="I455" s="159">
        <v>68.904343999999995</v>
      </c>
      <c r="J455" s="123">
        <f t="shared" si="112"/>
        <v>-1.5348296817822606E-3</v>
      </c>
      <c r="K455" s="165">
        <v>1771.8900149999999</v>
      </c>
      <c r="L455" s="124">
        <f t="shared" si="113"/>
        <v>7.2293165115066085E-4</v>
      </c>
      <c r="N455" s="150"/>
      <c r="O455" s="154"/>
      <c r="P455" s="125"/>
      <c r="Q455" s="154"/>
      <c r="R455" s="125"/>
      <c r="S455" s="3"/>
      <c r="T455" s="150"/>
      <c r="U455" s="154"/>
      <c r="V455" s="125"/>
      <c r="W455" s="154"/>
      <c r="X455" s="125"/>
      <c r="Y455" s="3"/>
    </row>
    <row r="456" spans="8:25" x14ac:dyDescent="0.3">
      <c r="H456" s="160">
        <v>41586</v>
      </c>
      <c r="I456" s="159">
        <v>69.010262999999995</v>
      </c>
      <c r="J456" s="123">
        <f t="shared" si="112"/>
        <v>2.0503992778745459E-2</v>
      </c>
      <c r="K456" s="165">
        <v>1770.6099850000001</v>
      </c>
      <c r="L456" s="124">
        <f t="shared" si="113"/>
        <v>1.3427559555698475E-2</v>
      </c>
      <c r="N456" s="150"/>
      <c r="O456" s="154"/>
      <c r="P456" s="125"/>
      <c r="Q456" s="154"/>
      <c r="R456" s="125"/>
      <c r="S456" s="3"/>
      <c r="T456" s="150"/>
      <c r="U456" s="154"/>
      <c r="V456" s="125"/>
      <c r="W456" s="154"/>
      <c r="X456" s="125"/>
      <c r="Y456" s="3"/>
    </row>
    <row r="457" spans="8:25" x14ac:dyDescent="0.3">
      <c r="H457" s="160">
        <v>41585</v>
      </c>
      <c r="I457" s="159">
        <v>67.623706999999996</v>
      </c>
      <c r="J457" s="123">
        <f t="shared" si="112"/>
        <v>-1.5973088441155255E-2</v>
      </c>
      <c r="K457" s="165">
        <v>1747.150024</v>
      </c>
      <c r="L457" s="124">
        <f t="shared" si="113"/>
        <v>-1.3182772075429811E-2</v>
      </c>
      <c r="N457" s="150"/>
      <c r="O457" s="154"/>
      <c r="P457" s="125"/>
      <c r="Q457" s="154"/>
      <c r="R457" s="125"/>
      <c r="S457" s="3"/>
      <c r="T457" s="150"/>
      <c r="U457" s="154"/>
      <c r="V457" s="125"/>
      <c r="W457" s="154"/>
      <c r="X457" s="125"/>
      <c r="Y457" s="3"/>
    </row>
    <row r="458" spans="8:25" x14ac:dyDescent="0.3">
      <c r="H458" s="160">
        <v>41584</v>
      </c>
      <c r="I458" s="159">
        <v>68.721400000000003</v>
      </c>
      <c r="J458" s="123">
        <f t="shared" ref="J458:J521" si="114">(I458-I459)/I459</f>
        <v>2.5284442686068511E-3</v>
      </c>
      <c r="K458" s="165">
        <v>1770.48999</v>
      </c>
      <c r="L458" s="124">
        <f t="shared" ref="L458:L521" si="115">(K458-K459)/K459</f>
        <v>4.2655400396494035E-3</v>
      </c>
      <c r="N458" s="150"/>
      <c r="O458" s="154"/>
      <c r="P458" s="125"/>
      <c r="Q458" s="154"/>
      <c r="R458" s="125"/>
      <c r="S458" s="3"/>
      <c r="T458" s="150"/>
      <c r="U458" s="154"/>
      <c r="V458" s="125"/>
      <c r="W458" s="154"/>
      <c r="X458" s="125"/>
      <c r="Y458" s="3"/>
    </row>
    <row r="459" spans="8:25" x14ac:dyDescent="0.3">
      <c r="H459" s="160">
        <v>41583</v>
      </c>
      <c r="I459" s="159">
        <v>68.548079999999999</v>
      </c>
      <c r="J459" s="123">
        <f t="shared" si="114"/>
        <v>-1.2210315896928106E-2</v>
      </c>
      <c r="K459" s="165">
        <v>1762.969971</v>
      </c>
      <c r="L459" s="124">
        <f t="shared" si="115"/>
        <v>-2.8055878052288263E-3</v>
      </c>
      <c r="N459" s="150"/>
      <c r="O459" s="154"/>
      <c r="P459" s="125"/>
      <c r="Q459" s="154"/>
      <c r="R459" s="125"/>
      <c r="S459" s="3"/>
      <c r="T459" s="150"/>
      <c r="U459" s="154"/>
      <c r="V459" s="125"/>
      <c r="W459" s="154"/>
      <c r="X459" s="125"/>
      <c r="Y459" s="3"/>
    </row>
    <row r="460" spans="8:25" x14ac:dyDescent="0.3">
      <c r="H460" s="160">
        <v>41582</v>
      </c>
      <c r="I460" s="159">
        <v>69.395420000000001</v>
      </c>
      <c r="J460" s="123">
        <f t="shared" si="114"/>
        <v>3.1782408004543065E-2</v>
      </c>
      <c r="K460" s="165">
        <v>1767.9300539999999</v>
      </c>
      <c r="L460" s="124">
        <f t="shared" si="115"/>
        <v>3.570558653551009E-3</v>
      </c>
      <c r="N460" s="150"/>
      <c r="O460" s="154"/>
      <c r="P460" s="125"/>
      <c r="Q460" s="154"/>
      <c r="R460" s="125"/>
      <c r="S460" s="3"/>
      <c r="T460" s="150"/>
      <c r="U460" s="154"/>
      <c r="V460" s="125"/>
      <c r="W460" s="154"/>
      <c r="X460" s="125"/>
      <c r="Y460" s="3"/>
    </row>
    <row r="461" spans="8:25" x14ac:dyDescent="0.3">
      <c r="H461" s="160">
        <v>41579</v>
      </c>
      <c r="I461" s="159">
        <v>67.257805000000005</v>
      </c>
      <c r="J461" s="123">
        <f t="shared" si="114"/>
        <v>3.1595785148482414E-3</v>
      </c>
      <c r="K461" s="165">
        <v>1761.6400149999999</v>
      </c>
      <c r="L461" s="124">
        <f t="shared" si="115"/>
        <v>2.9034214346194986E-3</v>
      </c>
      <c r="N461" s="150"/>
      <c r="O461" s="154"/>
      <c r="P461" s="125"/>
      <c r="Q461" s="154"/>
      <c r="R461" s="125"/>
      <c r="S461" s="3"/>
      <c r="T461" s="150"/>
      <c r="U461" s="154"/>
      <c r="V461" s="125"/>
      <c r="W461" s="154"/>
      <c r="X461" s="125"/>
      <c r="Y461" s="3"/>
    </row>
    <row r="462" spans="8:25" x14ac:dyDescent="0.3">
      <c r="H462" s="160">
        <v>41578</v>
      </c>
      <c r="I462" s="159">
        <v>67.045968000000002</v>
      </c>
      <c r="J462" s="123">
        <f t="shared" si="114"/>
        <v>-4.890045074332286E-2</v>
      </c>
      <c r="K462" s="165">
        <v>1756.540039</v>
      </c>
      <c r="L462" s="124">
        <f t="shared" si="115"/>
        <v>-3.8393814890611542E-3</v>
      </c>
      <c r="N462" s="150"/>
      <c r="O462" s="154"/>
      <c r="P462" s="125"/>
      <c r="Q462" s="154"/>
      <c r="R462" s="125"/>
      <c r="S462" s="3"/>
      <c r="T462" s="150"/>
      <c r="U462" s="154"/>
      <c r="V462" s="125"/>
      <c r="W462" s="154"/>
      <c r="X462" s="125"/>
      <c r="Y462" s="3"/>
    </row>
    <row r="463" spans="8:25" x14ac:dyDescent="0.3">
      <c r="H463" s="160">
        <v>41577</v>
      </c>
      <c r="I463" s="159">
        <v>70.493112999999994</v>
      </c>
      <c r="J463" s="123">
        <f t="shared" si="114"/>
        <v>6.4613852140574688E-3</v>
      </c>
      <c r="K463" s="165">
        <v>1763.3100589999999</v>
      </c>
      <c r="L463" s="124">
        <f t="shared" si="115"/>
        <v>-4.8759232703633765E-3</v>
      </c>
      <c r="N463" s="150"/>
      <c r="O463" s="154"/>
      <c r="P463" s="125"/>
      <c r="Q463" s="154"/>
      <c r="R463" s="125"/>
      <c r="S463" s="3"/>
      <c r="T463" s="150"/>
      <c r="U463" s="154"/>
      <c r="V463" s="125"/>
      <c r="W463" s="154"/>
      <c r="X463" s="125"/>
      <c r="Y463" s="3"/>
    </row>
    <row r="464" spans="8:25" x14ac:dyDescent="0.3">
      <c r="H464" s="160">
        <v>41576</v>
      </c>
      <c r="I464" s="159">
        <v>70.040554</v>
      </c>
      <c r="J464" s="123">
        <f t="shared" si="114"/>
        <v>4.279971082012851E-3</v>
      </c>
      <c r="K464" s="165">
        <v>1771.9499510000001</v>
      </c>
      <c r="L464" s="124">
        <f t="shared" si="115"/>
        <v>5.5841951318379279E-3</v>
      </c>
      <c r="N464" s="150"/>
      <c r="O464" s="154"/>
      <c r="P464" s="125"/>
      <c r="Q464" s="154"/>
      <c r="R464" s="125"/>
      <c r="S464" s="3"/>
      <c r="T464" s="150"/>
      <c r="U464" s="154"/>
      <c r="V464" s="125"/>
      <c r="W464" s="154"/>
      <c r="X464" s="125"/>
      <c r="Y464" s="3"/>
    </row>
    <row r="465" spans="8:25" x14ac:dyDescent="0.3">
      <c r="H465" s="160">
        <v>41575</v>
      </c>
      <c r="I465" s="159">
        <v>69.742059999999995</v>
      </c>
      <c r="J465" s="123">
        <f t="shared" si="114"/>
        <v>-2.7536427408251297E-3</v>
      </c>
      <c r="K465" s="165">
        <v>1762.1099850000001</v>
      </c>
      <c r="L465" s="124">
        <f t="shared" si="115"/>
        <v>1.3296993205965176E-3</v>
      </c>
      <c r="N465" s="150"/>
      <c r="O465" s="154"/>
      <c r="P465" s="125"/>
      <c r="Q465" s="154"/>
      <c r="R465" s="125"/>
      <c r="S465" s="3"/>
      <c r="T465" s="150"/>
      <c r="U465" s="154"/>
      <c r="V465" s="125"/>
      <c r="W465" s="154"/>
      <c r="X465" s="125"/>
      <c r="Y465" s="3"/>
    </row>
    <row r="466" spans="8:25" x14ac:dyDescent="0.3">
      <c r="H466" s="160">
        <v>41572</v>
      </c>
      <c r="I466" s="159">
        <v>69.934635</v>
      </c>
      <c r="J466" s="123">
        <f t="shared" si="114"/>
        <v>2.962853087797504E-2</v>
      </c>
      <c r="K466" s="165">
        <v>1759.7700199999999</v>
      </c>
      <c r="L466" s="124">
        <f t="shared" si="115"/>
        <v>4.3948439487699869E-3</v>
      </c>
      <c r="N466" s="150"/>
      <c r="O466" s="154"/>
      <c r="P466" s="125"/>
      <c r="Q466" s="154"/>
      <c r="R466" s="125"/>
      <c r="S466" s="3"/>
      <c r="T466" s="150"/>
      <c r="U466" s="154"/>
      <c r="V466" s="125"/>
      <c r="W466" s="154"/>
      <c r="X466" s="125"/>
      <c r="Y466" s="3"/>
    </row>
    <row r="467" spans="8:25" x14ac:dyDescent="0.3">
      <c r="H467" s="160">
        <v>41571</v>
      </c>
      <c r="I467" s="159">
        <v>67.922200000000004</v>
      </c>
      <c r="J467" s="123">
        <f t="shared" si="114"/>
        <v>6.1332142998185369E-3</v>
      </c>
      <c r="K467" s="165">
        <v>1752.0699460000001</v>
      </c>
      <c r="L467" s="124">
        <f t="shared" si="115"/>
        <v>3.2581345318369527E-3</v>
      </c>
      <c r="N467" s="150"/>
      <c r="O467" s="154"/>
      <c r="P467" s="125"/>
      <c r="Q467" s="154"/>
      <c r="R467" s="125"/>
      <c r="S467" s="3"/>
      <c r="T467" s="150"/>
      <c r="U467" s="154"/>
      <c r="V467" s="125"/>
      <c r="W467" s="154"/>
      <c r="X467" s="125"/>
      <c r="Y467" s="3"/>
    </row>
    <row r="468" spans="8:25" x14ac:dyDescent="0.3">
      <c r="H468" s="160">
        <v>41570</v>
      </c>
      <c r="I468" s="159">
        <v>67.508157999999995</v>
      </c>
      <c r="J468" s="123">
        <f t="shared" si="114"/>
        <v>-2.9350713380552129E-2</v>
      </c>
      <c r="K468" s="165">
        <v>1746.380005</v>
      </c>
      <c r="L468" s="124">
        <f t="shared" si="115"/>
        <v>-4.724557205696491E-3</v>
      </c>
      <c r="N468" s="150"/>
      <c r="O468" s="154"/>
      <c r="P468" s="125"/>
      <c r="Q468" s="154"/>
      <c r="R468" s="125"/>
      <c r="S468" s="3"/>
      <c r="T468" s="150"/>
      <c r="U468" s="154"/>
      <c r="V468" s="125"/>
      <c r="W468" s="154"/>
      <c r="X468" s="125"/>
      <c r="Y468" s="3"/>
    </row>
    <row r="469" spans="8:25" x14ac:dyDescent="0.3">
      <c r="H469" s="160">
        <v>41569</v>
      </c>
      <c r="I469" s="159">
        <v>69.549485000000004</v>
      </c>
      <c r="J469" s="123">
        <f t="shared" si="114"/>
        <v>-1.1062740168035906E-3</v>
      </c>
      <c r="K469" s="165">
        <v>1754.670044</v>
      </c>
      <c r="L469" s="124">
        <f t="shared" si="115"/>
        <v>5.7375132145658847E-3</v>
      </c>
      <c r="N469" s="150"/>
      <c r="O469" s="154"/>
      <c r="P469" s="125"/>
      <c r="Q469" s="154"/>
      <c r="R469" s="125"/>
      <c r="S469" s="3"/>
      <c r="T469" s="150"/>
      <c r="U469" s="154"/>
      <c r="V469" s="125"/>
      <c r="W469" s="154"/>
      <c r="X469" s="125"/>
      <c r="Y469" s="3"/>
    </row>
    <row r="470" spans="8:25" x14ac:dyDescent="0.3">
      <c r="H470" s="160">
        <v>41568</v>
      </c>
      <c r="I470" s="159">
        <v>69.626510999999994</v>
      </c>
      <c r="J470" s="123">
        <f t="shared" si="114"/>
        <v>7.6643785861037778E-3</v>
      </c>
      <c r="K470" s="165">
        <v>1744.660034</v>
      </c>
      <c r="L470" s="124">
        <f t="shared" si="115"/>
        <v>9.1736314130120954E-5</v>
      </c>
      <c r="N470" s="150"/>
      <c r="O470" s="154"/>
      <c r="P470" s="125"/>
      <c r="Q470" s="154"/>
      <c r="R470" s="125"/>
      <c r="S470" s="3"/>
      <c r="T470" s="150"/>
      <c r="U470" s="154"/>
      <c r="V470" s="125"/>
      <c r="W470" s="154"/>
      <c r="X470" s="125"/>
      <c r="Y470" s="3"/>
    </row>
    <row r="471" spans="8:25" x14ac:dyDescent="0.3">
      <c r="H471" s="160">
        <v>41565</v>
      </c>
      <c r="I471" s="159">
        <v>69.096925999999996</v>
      </c>
      <c r="J471" s="123">
        <f t="shared" si="114"/>
        <v>1.8450215938738558E-2</v>
      </c>
      <c r="K471" s="165">
        <v>1744.5</v>
      </c>
      <c r="L471" s="124">
        <f t="shared" si="115"/>
        <v>6.5487556430948472E-3</v>
      </c>
      <c r="N471" s="150"/>
      <c r="O471" s="154"/>
      <c r="P471" s="125"/>
      <c r="Q471" s="154"/>
      <c r="R471" s="125"/>
      <c r="S471" s="3"/>
      <c r="T471" s="150"/>
      <c r="U471" s="154"/>
      <c r="V471" s="125"/>
      <c r="W471" s="154"/>
      <c r="X471" s="125"/>
      <c r="Y471" s="3"/>
    </row>
    <row r="472" spans="8:25" x14ac:dyDescent="0.3">
      <c r="H472" s="160">
        <v>41564</v>
      </c>
      <c r="I472" s="159">
        <v>67.845168000000001</v>
      </c>
      <c r="J472" s="123">
        <f t="shared" si="114"/>
        <v>1.6445461045530289E-2</v>
      </c>
      <c r="K472" s="165">
        <v>1733.150024</v>
      </c>
      <c r="L472" s="124">
        <f t="shared" si="115"/>
        <v>6.7439529357353808E-3</v>
      </c>
      <c r="N472" s="150"/>
      <c r="O472" s="154"/>
      <c r="P472" s="125"/>
      <c r="Q472" s="154"/>
      <c r="R472" s="125"/>
      <c r="S472" s="3"/>
      <c r="T472" s="150"/>
      <c r="U472" s="154"/>
      <c r="V472" s="125"/>
      <c r="W472" s="154"/>
      <c r="X472" s="125"/>
      <c r="Y472" s="3"/>
    </row>
    <row r="473" spans="8:25" x14ac:dyDescent="0.3">
      <c r="H473" s="160">
        <v>41563</v>
      </c>
      <c r="I473" s="159">
        <v>66.747474999999994</v>
      </c>
      <c r="J473" s="123">
        <f t="shared" si="114"/>
        <v>1.4637015647358531E-2</v>
      </c>
      <c r="K473" s="165">
        <v>1721.540039</v>
      </c>
      <c r="L473" s="124">
        <f t="shared" si="115"/>
        <v>1.3827532115576408E-2</v>
      </c>
      <c r="N473" s="150"/>
      <c r="O473" s="154"/>
      <c r="P473" s="125"/>
      <c r="Q473" s="154"/>
      <c r="R473" s="125"/>
      <c r="S473" s="3"/>
      <c r="T473" s="150"/>
      <c r="U473" s="154"/>
      <c r="V473" s="125"/>
      <c r="W473" s="154"/>
      <c r="X473" s="125"/>
      <c r="Y473" s="3"/>
    </row>
    <row r="474" spans="8:25" x14ac:dyDescent="0.3">
      <c r="H474" s="160">
        <v>41562</v>
      </c>
      <c r="I474" s="159">
        <v>65.784585000000007</v>
      </c>
      <c r="J474" s="123">
        <f t="shared" si="114"/>
        <v>-8.4180315883213563E-3</v>
      </c>
      <c r="K474" s="165">
        <v>1698.0600589999999</v>
      </c>
      <c r="L474" s="124">
        <f t="shared" si="115"/>
        <v>-7.0637233758898028E-3</v>
      </c>
      <c r="N474" s="150"/>
      <c r="O474" s="154"/>
      <c r="P474" s="125"/>
      <c r="Q474" s="154"/>
      <c r="R474" s="125"/>
      <c r="S474" s="3"/>
      <c r="T474" s="150"/>
      <c r="U474" s="154"/>
      <c r="V474" s="125"/>
      <c r="W474" s="154"/>
      <c r="X474" s="125"/>
      <c r="Y474" s="3"/>
    </row>
    <row r="475" spans="8:25" x14ac:dyDescent="0.3">
      <c r="H475" s="160">
        <v>41561</v>
      </c>
      <c r="I475" s="159">
        <v>66.343063000000001</v>
      </c>
      <c r="J475" s="123">
        <f t="shared" si="114"/>
        <v>3.2519083173478409E-2</v>
      </c>
      <c r="K475" s="165">
        <v>1710.1400149999999</v>
      </c>
      <c r="L475" s="124">
        <f t="shared" si="115"/>
        <v>4.074720643295681E-3</v>
      </c>
      <c r="N475" s="150"/>
      <c r="O475" s="154"/>
      <c r="P475" s="125"/>
      <c r="Q475" s="154"/>
      <c r="R475" s="125"/>
      <c r="S475" s="3"/>
      <c r="T475" s="150"/>
      <c r="U475" s="154"/>
      <c r="V475" s="125"/>
      <c r="W475" s="154"/>
      <c r="X475" s="125"/>
      <c r="Y475" s="3"/>
    </row>
    <row r="476" spans="8:25" x14ac:dyDescent="0.3">
      <c r="H476" s="160">
        <v>41558</v>
      </c>
      <c r="I476" s="159">
        <v>64.253595000000004</v>
      </c>
      <c r="J476" s="123">
        <f t="shared" si="114"/>
        <v>1.8312287699710467E-2</v>
      </c>
      <c r="K476" s="165">
        <v>1703.1999510000001</v>
      </c>
      <c r="L476" s="124">
        <f t="shared" si="115"/>
        <v>6.2862714640013525E-3</v>
      </c>
      <c r="N476" s="150"/>
      <c r="O476" s="154"/>
      <c r="P476" s="125"/>
      <c r="Q476" s="154"/>
      <c r="R476" s="125"/>
      <c r="S476" s="3"/>
      <c r="T476" s="150"/>
      <c r="U476" s="154"/>
      <c r="V476" s="125"/>
      <c r="W476" s="154"/>
      <c r="X476" s="125"/>
      <c r="Y476" s="3"/>
    </row>
    <row r="477" spans="8:25" x14ac:dyDescent="0.3">
      <c r="H477" s="160">
        <v>41557</v>
      </c>
      <c r="I477" s="159">
        <v>63.098123999999999</v>
      </c>
      <c r="J477" s="123">
        <f t="shared" si="114"/>
        <v>3.8181245871317541E-2</v>
      </c>
      <c r="K477" s="165">
        <v>1692.5600589999999</v>
      </c>
      <c r="L477" s="124">
        <f t="shared" si="115"/>
        <v>2.1830496544353997E-2</v>
      </c>
      <c r="N477" s="150"/>
      <c r="O477" s="154"/>
      <c r="P477" s="125"/>
      <c r="Q477" s="154"/>
      <c r="R477" s="125"/>
      <c r="S477" s="3"/>
      <c r="T477" s="150"/>
      <c r="U477" s="154"/>
      <c r="V477" s="125"/>
      <c r="W477" s="154"/>
      <c r="X477" s="125"/>
      <c r="Y477" s="3"/>
    </row>
    <row r="478" spans="8:25" x14ac:dyDescent="0.3">
      <c r="H478" s="160">
        <v>41556</v>
      </c>
      <c r="I478" s="159">
        <v>60.777560999999999</v>
      </c>
      <c r="J478" s="123">
        <f t="shared" si="114"/>
        <v>-4.1022703151873102E-3</v>
      </c>
      <c r="K478" s="165">
        <v>1656.400024</v>
      </c>
      <c r="L478" s="124">
        <f t="shared" si="115"/>
        <v>5.7390620563676272E-4</v>
      </c>
      <c r="N478" s="150"/>
      <c r="O478" s="154"/>
      <c r="P478" s="125"/>
      <c r="Q478" s="154"/>
      <c r="R478" s="125"/>
      <c r="S478" s="3"/>
      <c r="T478" s="150"/>
      <c r="U478" s="154"/>
      <c r="V478" s="125"/>
      <c r="W478" s="154"/>
      <c r="X478" s="125"/>
      <c r="Y478" s="3"/>
    </row>
    <row r="479" spans="8:25" x14ac:dyDescent="0.3">
      <c r="H479" s="160">
        <v>41555</v>
      </c>
      <c r="I479" s="159">
        <v>61.027914000000003</v>
      </c>
      <c r="J479" s="123">
        <f t="shared" si="114"/>
        <v>-1.5838526334645418E-2</v>
      </c>
      <c r="K479" s="165">
        <v>1655.4499510000001</v>
      </c>
      <c r="L479" s="124">
        <f t="shared" si="115"/>
        <v>-1.2332078885557332E-2</v>
      </c>
      <c r="N479" s="150"/>
      <c r="O479" s="154"/>
      <c r="P479" s="125"/>
      <c r="Q479" s="154"/>
      <c r="R479" s="125"/>
      <c r="S479" s="3"/>
      <c r="T479" s="150"/>
      <c r="U479" s="154"/>
      <c r="V479" s="125"/>
      <c r="W479" s="154"/>
      <c r="X479" s="125"/>
      <c r="Y479" s="3"/>
    </row>
    <row r="480" spans="8:25" x14ac:dyDescent="0.3">
      <c r="H480" s="160">
        <v>41554</v>
      </c>
      <c r="I480" s="159">
        <v>62.010061999999998</v>
      </c>
      <c r="J480" s="123">
        <f t="shared" si="114"/>
        <v>-9.687786220664945E-3</v>
      </c>
      <c r="K480" s="165">
        <v>1676.119995</v>
      </c>
      <c r="L480" s="124">
        <f t="shared" si="115"/>
        <v>-8.5063620230700875E-3</v>
      </c>
      <c r="N480" s="150"/>
      <c r="O480" s="154"/>
      <c r="P480" s="125"/>
      <c r="Q480" s="154"/>
      <c r="R480" s="125"/>
      <c r="S480" s="3"/>
      <c r="T480" s="150"/>
      <c r="U480" s="154"/>
      <c r="V480" s="125"/>
      <c r="W480" s="154"/>
      <c r="X480" s="125"/>
      <c r="Y480" s="3"/>
    </row>
    <row r="481" spans="8:25" x14ac:dyDescent="0.3">
      <c r="H481" s="160">
        <v>41551</v>
      </c>
      <c r="I481" s="159">
        <v>62.616678999999998</v>
      </c>
      <c r="J481" s="123">
        <f t="shared" si="114"/>
        <v>1.3717809089716752E-2</v>
      </c>
      <c r="K481" s="165">
        <v>1690.5</v>
      </c>
      <c r="L481" s="124">
        <f t="shared" si="115"/>
        <v>7.05322445295079E-3</v>
      </c>
      <c r="N481" s="150"/>
      <c r="O481" s="154"/>
      <c r="P481" s="125"/>
      <c r="Q481" s="154"/>
      <c r="R481" s="125"/>
      <c r="S481" s="3"/>
      <c r="T481" s="150"/>
      <c r="U481" s="154"/>
      <c r="V481" s="125"/>
      <c r="W481" s="154"/>
      <c r="X481" s="125"/>
      <c r="Y481" s="3"/>
    </row>
    <row r="482" spans="8:25" x14ac:dyDescent="0.3">
      <c r="H482" s="160">
        <v>41550</v>
      </c>
      <c r="I482" s="159">
        <v>61.769339000000002</v>
      </c>
      <c r="J482" s="123">
        <f t="shared" si="114"/>
        <v>-6.0427678772370054E-3</v>
      </c>
      <c r="K482" s="165">
        <v>1678.660034</v>
      </c>
      <c r="L482" s="124">
        <f t="shared" si="115"/>
        <v>-8.979414621486357E-3</v>
      </c>
      <c r="N482" s="150"/>
      <c r="O482" s="154"/>
      <c r="P482" s="125"/>
      <c r="Q482" s="154"/>
      <c r="R482" s="125"/>
      <c r="S482" s="3"/>
      <c r="T482" s="150"/>
      <c r="U482" s="154"/>
      <c r="V482" s="125"/>
      <c r="W482" s="154"/>
      <c r="X482" s="125"/>
      <c r="Y482" s="3"/>
    </row>
    <row r="483" spans="8:25" x14ac:dyDescent="0.3">
      <c r="H483" s="160">
        <v>41549</v>
      </c>
      <c r="I483" s="159">
        <v>62.144866</v>
      </c>
      <c r="J483" s="123">
        <f t="shared" si="114"/>
        <v>7.8076271506246917E-3</v>
      </c>
      <c r="K483" s="165">
        <v>1693.869995</v>
      </c>
      <c r="L483" s="124">
        <f t="shared" si="115"/>
        <v>-6.666696165191639E-4</v>
      </c>
      <c r="N483" s="150"/>
      <c r="O483" s="154"/>
      <c r="P483" s="125"/>
      <c r="Q483" s="154"/>
      <c r="R483" s="125"/>
      <c r="S483" s="3"/>
      <c r="T483" s="150"/>
      <c r="U483" s="154"/>
      <c r="V483" s="125"/>
      <c r="W483" s="154"/>
      <c r="X483" s="125"/>
      <c r="Y483" s="3"/>
    </row>
    <row r="484" spans="8:25" x14ac:dyDescent="0.3">
      <c r="H484" s="160">
        <v>41548</v>
      </c>
      <c r="I484" s="159">
        <v>61.663421</v>
      </c>
      <c r="J484" s="123">
        <f t="shared" si="114"/>
        <v>1.0094619778707833E-2</v>
      </c>
      <c r="K484" s="165">
        <v>1695</v>
      </c>
      <c r="L484" s="124">
        <f t="shared" si="115"/>
        <v>7.9985433725261994E-3</v>
      </c>
      <c r="N484" s="150"/>
      <c r="O484" s="154"/>
      <c r="P484" s="125"/>
      <c r="Q484" s="154"/>
      <c r="R484" s="125"/>
      <c r="S484" s="3"/>
      <c r="T484" s="150"/>
      <c r="U484" s="154"/>
      <c r="V484" s="125"/>
      <c r="W484" s="154"/>
      <c r="X484" s="125"/>
      <c r="Y484" s="3"/>
    </row>
    <row r="485" spans="8:25" x14ac:dyDescent="0.3">
      <c r="H485" s="160">
        <v>41547</v>
      </c>
      <c r="I485" s="159">
        <v>61.047173000000001</v>
      </c>
      <c r="J485" s="123">
        <f t="shared" si="114"/>
        <v>1.2634545369257825E-3</v>
      </c>
      <c r="K485" s="165">
        <v>1681.5500489999999</v>
      </c>
      <c r="L485" s="124">
        <f t="shared" si="115"/>
        <v>-6.0292306782917422E-3</v>
      </c>
      <c r="N485" s="150"/>
      <c r="O485" s="154"/>
      <c r="P485" s="125"/>
      <c r="Q485" s="154"/>
      <c r="R485" s="125"/>
      <c r="S485" s="3"/>
      <c r="T485" s="150"/>
      <c r="U485" s="154"/>
      <c r="V485" s="125"/>
      <c r="W485" s="154"/>
      <c r="X485" s="125"/>
      <c r="Y485" s="3"/>
    </row>
    <row r="486" spans="8:25" x14ac:dyDescent="0.3">
      <c r="H486" s="160">
        <v>41544</v>
      </c>
      <c r="I486" s="159">
        <v>60.970140000000001</v>
      </c>
      <c r="J486" s="123">
        <f t="shared" si="114"/>
        <v>0</v>
      </c>
      <c r="K486" s="165">
        <v>1691.75</v>
      </c>
      <c r="L486" s="124">
        <f t="shared" si="115"/>
        <v>-4.0738011625287493E-3</v>
      </c>
      <c r="N486" s="150"/>
      <c r="O486" s="154"/>
      <c r="P486" s="125"/>
      <c r="Q486" s="154"/>
      <c r="R486" s="125"/>
      <c r="S486" s="3"/>
      <c r="T486" s="150"/>
      <c r="U486" s="154"/>
      <c r="V486" s="125"/>
      <c r="W486" s="154"/>
      <c r="X486" s="125"/>
      <c r="Y486" s="3"/>
    </row>
    <row r="487" spans="8:25" x14ac:dyDescent="0.3">
      <c r="H487" s="160">
        <v>41543</v>
      </c>
      <c r="I487" s="159">
        <v>60.970140000000001</v>
      </c>
      <c r="J487" s="123">
        <f t="shared" si="114"/>
        <v>-2.8536410529468398E-2</v>
      </c>
      <c r="K487" s="165">
        <v>1698.670044</v>
      </c>
      <c r="L487" s="124">
        <f t="shared" si="115"/>
        <v>3.4854256220818646E-3</v>
      </c>
      <c r="N487" s="150"/>
      <c r="O487" s="154"/>
      <c r="P487" s="125"/>
      <c r="Q487" s="154"/>
      <c r="R487" s="125"/>
      <c r="S487" s="3"/>
      <c r="T487" s="150"/>
      <c r="U487" s="154"/>
      <c r="V487" s="125"/>
      <c r="W487" s="154"/>
      <c r="X487" s="125"/>
      <c r="Y487" s="3"/>
    </row>
    <row r="488" spans="8:25" x14ac:dyDescent="0.3">
      <c r="H488" s="160">
        <v>41542</v>
      </c>
      <c r="I488" s="159">
        <v>62.761116999999999</v>
      </c>
      <c r="J488" s="123">
        <f t="shared" si="114"/>
        <v>1.1595554210152422E-2</v>
      </c>
      <c r="K488" s="165">
        <v>1692.7700199999999</v>
      </c>
      <c r="L488" s="124">
        <f t="shared" si="115"/>
        <v>-2.7394657064624779E-3</v>
      </c>
      <c r="N488" s="150"/>
      <c r="O488" s="154"/>
      <c r="P488" s="125"/>
      <c r="Q488" s="154"/>
      <c r="R488" s="125"/>
      <c r="S488" s="3"/>
      <c r="T488" s="150"/>
      <c r="U488" s="154"/>
      <c r="V488" s="125"/>
      <c r="W488" s="154"/>
      <c r="X488" s="125"/>
      <c r="Y488" s="3"/>
    </row>
    <row r="489" spans="8:25" x14ac:dyDescent="0.3">
      <c r="H489" s="160">
        <v>41541</v>
      </c>
      <c r="I489" s="159">
        <v>62.041708999999997</v>
      </c>
      <c r="J489" s="123">
        <f t="shared" si="114"/>
        <v>2.2285439376938457E-2</v>
      </c>
      <c r="K489" s="165">
        <v>1697.420044</v>
      </c>
      <c r="L489" s="124">
        <f t="shared" si="115"/>
        <v>-2.5971431440693069E-3</v>
      </c>
      <c r="N489" s="150"/>
      <c r="O489" s="154"/>
      <c r="P489" s="125"/>
      <c r="Q489" s="154"/>
      <c r="R489" s="125"/>
      <c r="S489" s="3"/>
      <c r="T489" s="150"/>
      <c r="U489" s="154"/>
      <c r="V489" s="125"/>
      <c r="W489" s="154"/>
      <c r="X489" s="125"/>
      <c r="Y489" s="3"/>
    </row>
    <row r="490" spans="8:25" x14ac:dyDescent="0.3">
      <c r="H490" s="160">
        <v>41540</v>
      </c>
      <c r="I490" s="159">
        <v>60.689222999999998</v>
      </c>
      <c r="J490" s="123">
        <f t="shared" si="114"/>
        <v>-6.438439920409939E-3</v>
      </c>
      <c r="K490" s="165">
        <v>1701.839966</v>
      </c>
      <c r="L490" s="124">
        <f t="shared" si="115"/>
        <v>-4.7195863171360227E-3</v>
      </c>
      <c r="N490" s="150"/>
      <c r="O490" s="154"/>
      <c r="P490" s="125"/>
      <c r="Q490" s="154"/>
      <c r="R490" s="125"/>
      <c r="S490" s="3"/>
      <c r="T490" s="150"/>
      <c r="U490" s="154"/>
      <c r="V490" s="125"/>
      <c r="W490" s="154"/>
      <c r="X490" s="125"/>
      <c r="Y490" s="3"/>
    </row>
    <row r="491" spans="8:25" x14ac:dyDescent="0.3">
      <c r="H491" s="160">
        <v>41537</v>
      </c>
      <c r="I491" s="159">
        <v>61.082498999999999</v>
      </c>
      <c r="J491" s="123">
        <f t="shared" si="114"/>
        <v>-1.1026554210673592E-2</v>
      </c>
      <c r="K491" s="165">
        <v>1709.910034</v>
      </c>
      <c r="L491" s="124">
        <f t="shared" si="115"/>
        <v>-7.2168864715295164E-3</v>
      </c>
      <c r="N491" s="150"/>
      <c r="O491" s="154"/>
      <c r="P491" s="125"/>
      <c r="Q491" s="154"/>
      <c r="R491" s="125"/>
      <c r="S491" s="3"/>
      <c r="T491" s="150"/>
      <c r="U491" s="154"/>
      <c r="V491" s="125"/>
      <c r="W491" s="154"/>
      <c r="X491" s="125"/>
      <c r="Y491" s="3"/>
    </row>
    <row r="492" spans="8:25" x14ac:dyDescent="0.3">
      <c r="H492" s="160">
        <v>41536</v>
      </c>
      <c r="I492" s="159">
        <v>61.763537999999997</v>
      </c>
      <c r="J492" s="123">
        <f t="shared" si="114"/>
        <v>1.7112776757166178E-3</v>
      </c>
      <c r="K492" s="165">
        <v>1722.339966</v>
      </c>
      <c r="L492" s="124">
        <f t="shared" si="115"/>
        <v>-1.8429539867059481E-3</v>
      </c>
      <c r="N492" s="150"/>
      <c r="O492" s="154"/>
      <c r="P492" s="125"/>
      <c r="Q492" s="154"/>
      <c r="R492" s="125"/>
      <c r="S492" s="3"/>
      <c r="T492" s="150"/>
      <c r="U492" s="154"/>
      <c r="V492" s="125"/>
      <c r="W492" s="154"/>
      <c r="X492" s="125"/>
      <c r="Y492" s="3"/>
    </row>
    <row r="493" spans="8:25" x14ac:dyDescent="0.3">
      <c r="H493" s="160">
        <v>41535</v>
      </c>
      <c r="I493" s="159">
        <v>61.658023999999997</v>
      </c>
      <c r="J493" s="123">
        <f t="shared" si="114"/>
        <v>-1.2444273628524478E-2</v>
      </c>
      <c r="K493" s="165">
        <v>1725.5200199999999</v>
      </c>
      <c r="L493" s="124">
        <f t="shared" si="115"/>
        <v>1.217767303211199E-2</v>
      </c>
      <c r="N493" s="150"/>
      <c r="O493" s="154"/>
      <c r="P493" s="125"/>
      <c r="Q493" s="154"/>
      <c r="R493" s="125"/>
      <c r="S493" s="3"/>
      <c r="T493" s="150"/>
      <c r="U493" s="154"/>
      <c r="V493" s="125"/>
      <c r="W493" s="154"/>
      <c r="X493" s="125"/>
      <c r="Y493" s="3"/>
    </row>
    <row r="494" spans="8:25" x14ac:dyDescent="0.3">
      <c r="H494" s="160">
        <v>41534</v>
      </c>
      <c r="I494" s="159">
        <v>62.434981999999998</v>
      </c>
      <c r="J494" s="123">
        <f t="shared" si="114"/>
        <v>1.0765965797402345E-3</v>
      </c>
      <c r="K494" s="165">
        <v>1704.76001</v>
      </c>
      <c r="L494" s="124">
        <f t="shared" si="115"/>
        <v>4.2177392207974418E-3</v>
      </c>
      <c r="N494" s="150"/>
      <c r="O494" s="154"/>
      <c r="P494" s="125"/>
      <c r="Q494" s="154"/>
      <c r="R494" s="125"/>
      <c r="S494" s="3"/>
      <c r="T494" s="150"/>
      <c r="U494" s="154"/>
      <c r="V494" s="125"/>
      <c r="W494" s="154"/>
      <c r="X494" s="125"/>
      <c r="Y494" s="3"/>
    </row>
    <row r="495" spans="8:25" x14ac:dyDescent="0.3">
      <c r="H495" s="160">
        <v>41533</v>
      </c>
      <c r="I495" s="159">
        <v>62.367837000000002</v>
      </c>
      <c r="J495" s="123">
        <f t="shared" si="114"/>
        <v>1.0254757279213258E-2</v>
      </c>
      <c r="K495" s="165">
        <v>1697.599976</v>
      </c>
      <c r="L495" s="124">
        <f t="shared" si="115"/>
        <v>5.6931534291858772E-3</v>
      </c>
      <c r="N495" s="150"/>
      <c r="O495" s="154"/>
      <c r="P495" s="125"/>
      <c r="Q495" s="154"/>
      <c r="R495" s="125"/>
      <c r="S495" s="3"/>
      <c r="T495" s="150"/>
      <c r="U495" s="154"/>
      <c r="V495" s="125"/>
      <c r="W495" s="154"/>
      <c r="X495" s="125"/>
      <c r="Y495" s="3"/>
    </row>
    <row r="496" spans="8:25" x14ac:dyDescent="0.3">
      <c r="H496" s="160">
        <v>41530</v>
      </c>
      <c r="I496" s="159">
        <v>61.734762000000003</v>
      </c>
      <c r="J496" s="123">
        <f t="shared" si="114"/>
        <v>-1.8610871777094975E-3</v>
      </c>
      <c r="K496" s="165">
        <v>1687.98999</v>
      </c>
      <c r="L496" s="124">
        <f t="shared" si="115"/>
        <v>2.7146795693018806E-3</v>
      </c>
      <c r="N496" s="150"/>
      <c r="O496" s="154"/>
      <c r="P496" s="125"/>
      <c r="Q496" s="154"/>
      <c r="R496" s="125"/>
      <c r="S496" s="3"/>
      <c r="T496" s="150"/>
      <c r="U496" s="154"/>
      <c r="V496" s="125"/>
      <c r="W496" s="154"/>
      <c r="X496" s="125"/>
      <c r="Y496" s="3"/>
    </row>
    <row r="497" spans="8:25" x14ac:dyDescent="0.3">
      <c r="H497" s="160">
        <v>41529</v>
      </c>
      <c r="I497" s="159">
        <v>61.849870000000003</v>
      </c>
      <c r="J497" s="123">
        <f t="shared" si="114"/>
        <v>-2.065603073129247E-2</v>
      </c>
      <c r="K497" s="165">
        <v>1683.420044</v>
      </c>
      <c r="L497" s="124">
        <f t="shared" si="115"/>
        <v>-3.3804153517479085E-3</v>
      </c>
      <c r="N497" s="150"/>
      <c r="O497" s="154"/>
      <c r="P497" s="125"/>
      <c r="Q497" s="154"/>
      <c r="R497" s="125"/>
      <c r="S497" s="3"/>
      <c r="T497" s="150"/>
      <c r="U497" s="154"/>
      <c r="V497" s="125"/>
      <c r="W497" s="154"/>
      <c r="X497" s="125"/>
      <c r="Y497" s="3"/>
    </row>
    <row r="498" spans="8:25" x14ac:dyDescent="0.3">
      <c r="H498" s="160">
        <v>41528</v>
      </c>
      <c r="I498" s="159">
        <v>63.154389000000002</v>
      </c>
      <c r="J498" s="123">
        <f t="shared" si="114"/>
        <v>-3.7827282347883684E-3</v>
      </c>
      <c r="K498" s="165">
        <v>1689.130005</v>
      </c>
      <c r="L498" s="124">
        <f t="shared" si="115"/>
        <v>3.0522835827545202E-3</v>
      </c>
      <c r="N498" s="150"/>
      <c r="O498" s="154"/>
      <c r="P498" s="125"/>
      <c r="Q498" s="154"/>
      <c r="R498" s="125"/>
      <c r="S498" s="3"/>
      <c r="T498" s="150"/>
      <c r="U498" s="154"/>
      <c r="V498" s="125"/>
      <c r="W498" s="154"/>
      <c r="X498" s="125"/>
      <c r="Y498" s="3"/>
    </row>
    <row r="499" spans="8:25" x14ac:dyDescent="0.3">
      <c r="H499" s="160">
        <v>41527</v>
      </c>
      <c r="I499" s="159">
        <v>63.394191999999997</v>
      </c>
      <c r="J499" s="123">
        <f t="shared" si="114"/>
        <v>1.055037926050958E-2</v>
      </c>
      <c r="K499" s="165">
        <v>1683.98999</v>
      </c>
      <c r="L499" s="124">
        <f t="shared" si="115"/>
        <v>7.345789213730726E-3</v>
      </c>
      <c r="N499" s="150"/>
      <c r="O499" s="154"/>
      <c r="P499" s="125"/>
      <c r="Q499" s="154"/>
      <c r="R499" s="125"/>
      <c r="S499" s="3"/>
      <c r="T499" s="150"/>
      <c r="U499" s="154"/>
      <c r="V499" s="125"/>
      <c r="W499" s="154"/>
      <c r="X499" s="125"/>
      <c r="Y499" s="3"/>
    </row>
    <row r="500" spans="8:25" x14ac:dyDescent="0.3">
      <c r="H500" s="160">
        <v>41526</v>
      </c>
      <c r="I500" s="159">
        <v>62.732342000000003</v>
      </c>
      <c r="J500" s="123">
        <f t="shared" si="114"/>
        <v>6.3087250173896473E-3</v>
      </c>
      <c r="K500" s="165">
        <v>1671.709961</v>
      </c>
      <c r="L500" s="124">
        <f t="shared" si="115"/>
        <v>9.9928808281404945E-3</v>
      </c>
      <c r="N500" s="150"/>
      <c r="O500" s="154"/>
      <c r="P500" s="125"/>
      <c r="Q500" s="154"/>
      <c r="R500" s="125"/>
      <c r="S500" s="3"/>
      <c r="T500" s="150"/>
      <c r="U500" s="154"/>
      <c r="V500" s="125"/>
      <c r="W500" s="154"/>
      <c r="X500" s="125"/>
      <c r="Y500" s="3"/>
    </row>
    <row r="501" spans="8:25" x14ac:dyDescent="0.3">
      <c r="H501" s="160">
        <v>41523</v>
      </c>
      <c r="I501" s="159">
        <v>62.339061999999998</v>
      </c>
      <c r="J501" s="123">
        <f t="shared" si="114"/>
        <v>-1.689722418805429E-3</v>
      </c>
      <c r="K501" s="165">
        <v>1655.170044</v>
      </c>
      <c r="L501" s="124">
        <f t="shared" si="115"/>
        <v>5.443120718931801E-5</v>
      </c>
      <c r="N501" s="150"/>
      <c r="O501" s="154"/>
      <c r="P501" s="125"/>
      <c r="Q501" s="154"/>
      <c r="R501" s="125"/>
      <c r="S501" s="3"/>
      <c r="T501" s="150"/>
      <c r="U501" s="154"/>
      <c r="V501" s="125"/>
      <c r="W501" s="154"/>
      <c r="X501" s="125"/>
      <c r="Y501" s="3"/>
    </row>
    <row r="502" spans="8:25" x14ac:dyDescent="0.3">
      <c r="H502" s="160">
        <v>41522</v>
      </c>
      <c r="I502" s="159">
        <v>62.444575999999998</v>
      </c>
      <c r="J502" s="123">
        <f t="shared" si="114"/>
        <v>3.8550578747388866E-3</v>
      </c>
      <c r="K502" s="165">
        <v>1655.079956</v>
      </c>
      <c r="L502" s="124">
        <f t="shared" si="115"/>
        <v>1.2098628337612002E-3</v>
      </c>
      <c r="N502" s="150"/>
      <c r="O502" s="154"/>
      <c r="P502" s="125"/>
      <c r="Q502" s="154"/>
      <c r="R502" s="125"/>
      <c r="S502" s="3"/>
      <c r="T502" s="150"/>
      <c r="U502" s="154"/>
      <c r="V502" s="125"/>
      <c r="W502" s="154"/>
      <c r="X502" s="125"/>
      <c r="Y502" s="3"/>
    </row>
    <row r="503" spans="8:25" x14ac:dyDescent="0.3">
      <c r="H503" s="160">
        <v>41521</v>
      </c>
      <c r="I503" s="159">
        <v>62.204773000000003</v>
      </c>
      <c r="J503" s="123">
        <f t="shared" si="114"/>
        <v>2.5134365933582169E-2</v>
      </c>
      <c r="K503" s="165">
        <v>1653.079956</v>
      </c>
      <c r="L503" s="124">
        <f t="shared" si="115"/>
        <v>8.116952888308146E-3</v>
      </c>
      <c r="N503" s="150"/>
      <c r="O503" s="154"/>
      <c r="P503" s="125"/>
      <c r="Q503" s="154"/>
      <c r="R503" s="125"/>
      <c r="S503" s="3"/>
      <c r="T503" s="150"/>
      <c r="U503" s="154"/>
      <c r="V503" s="125"/>
      <c r="W503" s="154"/>
      <c r="X503" s="125"/>
      <c r="Y503" s="3"/>
    </row>
    <row r="504" spans="8:25" x14ac:dyDescent="0.3">
      <c r="H504" s="160">
        <v>41520</v>
      </c>
      <c r="I504" s="159">
        <v>60.679628999999998</v>
      </c>
      <c r="J504" s="123">
        <f t="shared" si="114"/>
        <v>2.0322551690969592E-2</v>
      </c>
      <c r="K504" s="165">
        <v>1639.7700199999999</v>
      </c>
      <c r="L504" s="124">
        <f t="shared" si="115"/>
        <v>4.1642217069280969E-3</v>
      </c>
      <c r="N504" s="150"/>
      <c r="O504" s="154"/>
      <c r="P504" s="125"/>
      <c r="Q504" s="154"/>
      <c r="R504" s="125"/>
      <c r="S504" s="3"/>
      <c r="T504" s="150"/>
      <c r="U504" s="154"/>
      <c r="V504" s="125"/>
      <c r="W504" s="154"/>
      <c r="X504" s="125"/>
      <c r="Y504" s="3"/>
    </row>
    <row r="505" spans="8:25" x14ac:dyDescent="0.3">
      <c r="H505" s="160">
        <v>41516</v>
      </c>
      <c r="I505" s="159">
        <v>59.471026000000002</v>
      </c>
      <c r="J505" s="123">
        <f t="shared" si="114"/>
        <v>2.1080352709785879E-2</v>
      </c>
      <c r="K505" s="165">
        <v>1632.969971</v>
      </c>
      <c r="L505" s="124">
        <f t="shared" si="115"/>
        <v>-3.1743182089343435E-3</v>
      </c>
      <c r="N505" s="150"/>
      <c r="O505" s="154"/>
      <c r="P505" s="125"/>
      <c r="Q505" s="154"/>
      <c r="R505" s="125"/>
      <c r="S505" s="3"/>
      <c r="T505" s="150"/>
      <c r="U505" s="154"/>
      <c r="V505" s="125"/>
      <c r="W505" s="154"/>
      <c r="X505" s="125"/>
      <c r="Y505" s="3"/>
    </row>
    <row r="506" spans="8:25" x14ac:dyDescent="0.3">
      <c r="H506" s="160">
        <v>41515</v>
      </c>
      <c r="I506" s="159">
        <v>58.243237999999998</v>
      </c>
      <c r="J506" s="123">
        <f t="shared" si="114"/>
        <v>-2.785780313218687E-2</v>
      </c>
      <c r="K506" s="165">
        <v>1638.170044</v>
      </c>
      <c r="L506" s="124">
        <f t="shared" si="115"/>
        <v>1.9634015979428259E-3</v>
      </c>
      <c r="N506" s="150"/>
      <c r="O506" s="154"/>
      <c r="P506" s="125"/>
      <c r="Q506" s="154"/>
      <c r="R506" s="125"/>
      <c r="S506" s="3"/>
      <c r="T506" s="150"/>
      <c r="U506" s="154"/>
      <c r="V506" s="125"/>
      <c r="W506" s="154"/>
      <c r="X506" s="125"/>
      <c r="Y506" s="3"/>
    </row>
    <row r="507" spans="8:25" x14ac:dyDescent="0.3">
      <c r="H507" s="160">
        <v>41514</v>
      </c>
      <c r="I507" s="159">
        <v>59.912261999999998</v>
      </c>
      <c r="J507" s="123">
        <f t="shared" si="114"/>
        <v>1.6601574778726109E-2</v>
      </c>
      <c r="K507" s="165">
        <v>1634.959961</v>
      </c>
      <c r="L507" s="124">
        <f t="shared" si="115"/>
        <v>2.7476455123355468E-3</v>
      </c>
      <c r="N507" s="150"/>
      <c r="O507" s="154"/>
      <c r="P507" s="125"/>
      <c r="Q507" s="154"/>
      <c r="R507" s="125"/>
      <c r="S507" s="3"/>
      <c r="T507" s="150"/>
      <c r="U507" s="154"/>
      <c r="V507" s="125"/>
      <c r="W507" s="154"/>
      <c r="X507" s="125"/>
      <c r="Y507" s="3"/>
    </row>
    <row r="508" spans="8:25" x14ac:dyDescent="0.3">
      <c r="H508" s="160">
        <v>41513</v>
      </c>
      <c r="I508" s="159">
        <v>58.933866999999999</v>
      </c>
      <c r="J508" s="123">
        <f t="shared" si="114"/>
        <v>-5.1851915132655482E-2</v>
      </c>
      <c r="K508" s="165">
        <v>1630.4799800000001</v>
      </c>
      <c r="L508" s="124">
        <f t="shared" si="115"/>
        <v>-1.5874194847625089E-2</v>
      </c>
      <c r="N508" s="150"/>
      <c r="O508" s="154"/>
      <c r="P508" s="125"/>
      <c r="Q508" s="154"/>
      <c r="R508" s="125"/>
      <c r="S508" s="3"/>
      <c r="T508" s="150"/>
      <c r="U508" s="154"/>
      <c r="V508" s="125"/>
      <c r="W508" s="154"/>
      <c r="X508" s="125"/>
      <c r="Y508" s="3"/>
    </row>
    <row r="509" spans="8:25" x14ac:dyDescent="0.3">
      <c r="H509" s="160">
        <v>41512</v>
      </c>
      <c r="I509" s="159">
        <v>62.156816999999997</v>
      </c>
      <c r="J509" s="123">
        <f t="shared" si="114"/>
        <v>-9.6285730542367831E-3</v>
      </c>
      <c r="K509" s="165">
        <v>1656.780029</v>
      </c>
      <c r="L509" s="124">
        <f t="shared" si="115"/>
        <v>-4.0396579501051919E-3</v>
      </c>
      <c r="N509" s="150"/>
      <c r="O509" s="154"/>
      <c r="P509" s="125"/>
      <c r="Q509" s="154"/>
      <c r="R509" s="125"/>
      <c r="S509" s="3"/>
      <c r="T509" s="150"/>
      <c r="U509" s="154"/>
      <c r="V509" s="125"/>
      <c r="W509" s="154"/>
      <c r="X509" s="125"/>
      <c r="Y509" s="3"/>
    </row>
    <row r="510" spans="8:25" x14ac:dyDescent="0.3">
      <c r="H510" s="160">
        <v>41509</v>
      </c>
      <c r="I510" s="159">
        <v>62.761116999999999</v>
      </c>
      <c r="J510" s="123">
        <f t="shared" si="114"/>
        <v>-2.7786079504523099E-2</v>
      </c>
      <c r="K510" s="165">
        <v>1663.5</v>
      </c>
      <c r="L510" s="124">
        <f t="shared" si="115"/>
        <v>3.9470108837469844E-3</v>
      </c>
      <c r="N510" s="150"/>
      <c r="O510" s="154"/>
      <c r="P510" s="125"/>
      <c r="Q510" s="154"/>
      <c r="R510" s="125"/>
      <c r="S510" s="3"/>
      <c r="T510" s="150"/>
      <c r="U510" s="154"/>
      <c r="V510" s="125"/>
      <c r="W510" s="154"/>
      <c r="X510" s="125"/>
      <c r="Y510" s="3"/>
    </row>
    <row r="511" spans="8:25" x14ac:dyDescent="0.3">
      <c r="H511" s="160">
        <v>41508</v>
      </c>
      <c r="I511" s="159">
        <v>64.554843000000005</v>
      </c>
      <c r="J511" s="123">
        <f t="shared" si="114"/>
        <v>1.4012363928139782E-2</v>
      </c>
      <c r="K511" s="165">
        <v>1656.959961</v>
      </c>
      <c r="L511" s="124">
        <f t="shared" si="115"/>
        <v>8.6193764168801031E-3</v>
      </c>
      <c r="N511" s="150"/>
      <c r="O511" s="154"/>
      <c r="P511" s="125"/>
      <c r="Q511" s="154"/>
      <c r="R511" s="125"/>
      <c r="S511" s="3"/>
      <c r="T511" s="150"/>
      <c r="U511" s="154"/>
      <c r="V511" s="125"/>
      <c r="W511" s="154"/>
      <c r="X511" s="125"/>
      <c r="Y511" s="3"/>
    </row>
    <row r="512" spans="8:25" x14ac:dyDescent="0.3">
      <c r="H512" s="160">
        <v>41507</v>
      </c>
      <c r="I512" s="159">
        <v>63.662776999999998</v>
      </c>
      <c r="J512" s="123">
        <f t="shared" si="114"/>
        <v>2.1076973976792701E-2</v>
      </c>
      <c r="K512" s="165">
        <v>1642.8000489999999</v>
      </c>
      <c r="L512" s="124">
        <f t="shared" si="115"/>
        <v>-5.779603073628771E-3</v>
      </c>
      <c r="N512" s="150"/>
      <c r="O512" s="154"/>
      <c r="P512" s="125"/>
      <c r="Q512" s="154"/>
      <c r="R512" s="125"/>
      <c r="S512" s="3"/>
      <c r="T512" s="150"/>
      <c r="U512" s="154"/>
      <c r="V512" s="125"/>
      <c r="W512" s="154"/>
      <c r="X512" s="125"/>
      <c r="Y512" s="3"/>
    </row>
    <row r="513" spans="8:25" x14ac:dyDescent="0.3">
      <c r="H513" s="160">
        <v>41506</v>
      </c>
      <c r="I513" s="159">
        <v>62.348655999999998</v>
      </c>
      <c r="J513" s="123">
        <f t="shared" si="114"/>
        <v>1.2461107299076287E-2</v>
      </c>
      <c r="K513" s="165">
        <v>1652.349976</v>
      </c>
      <c r="L513" s="124">
        <f t="shared" si="115"/>
        <v>3.8211953237120978E-3</v>
      </c>
      <c r="N513" s="150"/>
      <c r="O513" s="154"/>
      <c r="P513" s="125"/>
      <c r="Q513" s="154"/>
      <c r="R513" s="125"/>
      <c r="S513" s="3"/>
      <c r="T513" s="150"/>
      <c r="U513" s="154"/>
      <c r="V513" s="125"/>
      <c r="W513" s="154"/>
      <c r="X513" s="125"/>
      <c r="Y513" s="3"/>
    </row>
    <row r="514" spans="8:25" x14ac:dyDescent="0.3">
      <c r="H514" s="160">
        <v>41505</v>
      </c>
      <c r="I514" s="159">
        <v>61.581285000000001</v>
      </c>
      <c r="J514" s="123">
        <f t="shared" si="114"/>
        <v>-6.1919822410632184E-3</v>
      </c>
      <c r="K514" s="165">
        <v>1646.0600589999999</v>
      </c>
      <c r="L514" s="124">
        <f t="shared" si="115"/>
        <v>-5.9003021201532897E-3</v>
      </c>
      <c r="N514" s="150"/>
      <c r="O514" s="154"/>
      <c r="P514" s="125"/>
      <c r="Q514" s="154"/>
      <c r="R514" s="125"/>
      <c r="S514" s="3"/>
      <c r="T514" s="150"/>
      <c r="U514" s="154"/>
      <c r="V514" s="125"/>
      <c r="W514" s="154"/>
      <c r="X514" s="125"/>
      <c r="Y514" s="3"/>
    </row>
    <row r="515" spans="8:25" x14ac:dyDescent="0.3">
      <c r="H515" s="160">
        <v>41502</v>
      </c>
      <c r="I515" s="159">
        <v>61.964970999999998</v>
      </c>
      <c r="J515" s="123">
        <f t="shared" si="114"/>
        <v>-2.1508598056056552E-2</v>
      </c>
      <c r="K515" s="165">
        <v>1655.829956</v>
      </c>
      <c r="L515" s="124">
        <f t="shared" si="115"/>
        <v>-3.3045952486265005E-3</v>
      </c>
      <c r="N515" s="150"/>
      <c r="O515" s="154"/>
      <c r="P515" s="125"/>
      <c r="Q515" s="154"/>
      <c r="R515" s="125"/>
      <c r="S515" s="3"/>
      <c r="T515" s="150"/>
      <c r="U515" s="154"/>
      <c r="V515" s="125"/>
      <c r="W515" s="154"/>
      <c r="X515" s="125"/>
      <c r="Y515" s="3"/>
    </row>
    <row r="516" spans="8:25" x14ac:dyDescent="0.3">
      <c r="H516" s="160">
        <v>41501</v>
      </c>
      <c r="I516" s="159">
        <v>63.327047</v>
      </c>
      <c r="J516" s="123">
        <f t="shared" si="114"/>
        <v>-3.606369113827386E-2</v>
      </c>
      <c r="K516" s="165">
        <v>1661.3199460000001</v>
      </c>
      <c r="L516" s="124">
        <f t="shared" si="115"/>
        <v>-1.4281601757323735E-2</v>
      </c>
      <c r="N516" s="150"/>
      <c r="O516" s="154"/>
      <c r="P516" s="125"/>
      <c r="Q516" s="154"/>
      <c r="R516" s="125"/>
      <c r="S516" s="3"/>
      <c r="T516" s="150"/>
      <c r="U516" s="154"/>
      <c r="V516" s="125"/>
      <c r="W516" s="154"/>
      <c r="X516" s="125"/>
      <c r="Y516" s="3"/>
    </row>
    <row r="517" spans="8:25" x14ac:dyDescent="0.3">
      <c r="H517" s="160">
        <v>41500</v>
      </c>
      <c r="I517" s="159">
        <v>65.696297999999999</v>
      </c>
      <c r="J517" s="123">
        <f t="shared" si="114"/>
        <v>1.1693463501418568E-3</v>
      </c>
      <c r="K517" s="165">
        <v>1685.3900149999999</v>
      </c>
      <c r="L517" s="124">
        <f t="shared" si="115"/>
        <v>-5.1766178070518972E-3</v>
      </c>
      <c r="N517" s="150"/>
      <c r="O517" s="154"/>
      <c r="P517" s="125"/>
      <c r="Q517" s="154"/>
      <c r="R517" s="125"/>
      <c r="S517" s="3"/>
      <c r="T517" s="150"/>
      <c r="U517" s="154"/>
      <c r="V517" s="125"/>
      <c r="W517" s="154"/>
      <c r="X517" s="125"/>
      <c r="Y517" s="3"/>
    </row>
    <row r="518" spans="8:25" x14ac:dyDescent="0.3">
      <c r="H518" s="160">
        <v>41499</v>
      </c>
      <c r="I518" s="159">
        <v>65.619566000000006</v>
      </c>
      <c r="J518" s="123">
        <f t="shared" si="114"/>
        <v>3.5206803015983622E-3</v>
      </c>
      <c r="K518" s="165">
        <v>1694.160034</v>
      </c>
      <c r="L518" s="124">
        <f t="shared" si="115"/>
        <v>2.7760558521344736E-3</v>
      </c>
      <c r="N518" s="150"/>
      <c r="O518" s="154"/>
      <c r="P518" s="125"/>
      <c r="Q518" s="154"/>
      <c r="R518" s="125"/>
      <c r="S518" s="3"/>
      <c r="T518" s="150"/>
      <c r="U518" s="154"/>
      <c r="V518" s="125"/>
      <c r="W518" s="154"/>
      <c r="X518" s="125"/>
      <c r="Y518" s="3"/>
    </row>
    <row r="519" spans="8:25" x14ac:dyDescent="0.3">
      <c r="H519" s="160">
        <v>41498</v>
      </c>
      <c r="I519" s="159">
        <v>65.389351000000005</v>
      </c>
      <c r="J519" s="123">
        <f t="shared" si="114"/>
        <v>9.9258985966261225E-3</v>
      </c>
      <c r="K519" s="165">
        <v>1689.469971</v>
      </c>
      <c r="L519" s="124">
        <f t="shared" si="115"/>
        <v>-1.1529205929168799E-3</v>
      </c>
      <c r="N519" s="150"/>
      <c r="O519" s="154"/>
      <c r="P519" s="125"/>
      <c r="Q519" s="154"/>
      <c r="R519" s="125"/>
      <c r="S519" s="3"/>
      <c r="T519" s="150"/>
      <c r="U519" s="154"/>
      <c r="V519" s="125"/>
      <c r="W519" s="154"/>
      <c r="X519" s="125"/>
      <c r="Y519" s="3"/>
    </row>
    <row r="520" spans="8:25" x14ac:dyDescent="0.3">
      <c r="H520" s="160">
        <v>41495</v>
      </c>
      <c r="I520" s="159">
        <v>64.746682000000007</v>
      </c>
      <c r="J520" s="123">
        <f t="shared" si="114"/>
        <v>1.1690633556890208E-2</v>
      </c>
      <c r="K520" s="165">
        <v>1691.420044</v>
      </c>
      <c r="L520" s="124">
        <f t="shared" si="115"/>
        <v>-3.5699602183232267E-3</v>
      </c>
      <c r="N520" s="150"/>
      <c r="O520" s="154"/>
      <c r="P520" s="125"/>
      <c r="Q520" s="154"/>
      <c r="R520" s="125"/>
      <c r="S520" s="3"/>
      <c r="T520" s="150"/>
      <c r="U520" s="154"/>
      <c r="V520" s="125"/>
      <c r="W520" s="154"/>
      <c r="X520" s="125"/>
      <c r="Y520" s="3"/>
    </row>
    <row r="521" spans="8:25" x14ac:dyDescent="0.3">
      <c r="H521" s="160">
        <v>41494</v>
      </c>
      <c r="I521" s="159">
        <v>63.998499000000002</v>
      </c>
      <c r="J521" s="123">
        <f t="shared" si="114"/>
        <v>4.8726860794384985E-2</v>
      </c>
      <c r="K521" s="165">
        <v>1697.4799800000001</v>
      </c>
      <c r="L521" s="124">
        <f t="shared" si="115"/>
        <v>3.8854497684056399E-3</v>
      </c>
      <c r="N521" s="150"/>
      <c r="O521" s="154"/>
      <c r="P521" s="125"/>
      <c r="Q521" s="154"/>
      <c r="R521" s="125"/>
      <c r="S521" s="3"/>
      <c r="T521" s="150"/>
      <c r="U521" s="154"/>
      <c r="V521" s="125"/>
      <c r="W521" s="154"/>
      <c r="X521" s="125"/>
      <c r="Y521" s="3"/>
    </row>
    <row r="522" spans="8:25" x14ac:dyDescent="0.3">
      <c r="H522" s="160">
        <v>41493</v>
      </c>
      <c r="I522" s="159">
        <v>61.024945000000002</v>
      </c>
      <c r="J522" s="123">
        <f t="shared" ref="J522:J585" si="116">(I522-I523)/I523</f>
        <v>-1.3031345829243814E-2</v>
      </c>
      <c r="K522" s="165">
        <v>1690.910034</v>
      </c>
      <c r="L522" s="124">
        <f t="shared" ref="L522:L585" si="117">(K522-K523)/K523</f>
        <v>-3.8058649669956142E-3</v>
      </c>
      <c r="N522" s="150"/>
      <c r="O522" s="154"/>
      <c r="P522" s="125"/>
      <c r="Q522" s="154"/>
      <c r="R522" s="125"/>
      <c r="S522" s="3"/>
      <c r="T522" s="150"/>
      <c r="U522" s="154"/>
      <c r="V522" s="125"/>
      <c r="W522" s="154"/>
      <c r="X522" s="125"/>
      <c r="Y522" s="3"/>
    </row>
    <row r="523" spans="8:25" x14ac:dyDescent="0.3">
      <c r="H523" s="160">
        <v>41492</v>
      </c>
      <c r="I523" s="159">
        <v>61.830682000000003</v>
      </c>
      <c r="J523" s="123">
        <f t="shared" si="116"/>
        <v>-5.2469707385433464E-3</v>
      </c>
      <c r="K523" s="165">
        <v>1697.369995</v>
      </c>
      <c r="L523" s="124">
        <f t="shared" si="117"/>
        <v>-5.723033795795556E-3</v>
      </c>
      <c r="N523" s="150"/>
      <c r="O523" s="154"/>
      <c r="P523" s="125"/>
      <c r="Q523" s="154"/>
      <c r="R523" s="125"/>
      <c r="S523" s="3"/>
      <c r="T523" s="150"/>
      <c r="U523" s="154"/>
      <c r="V523" s="125"/>
      <c r="W523" s="154"/>
      <c r="X523" s="125"/>
      <c r="Y523" s="3"/>
    </row>
    <row r="524" spans="8:25" x14ac:dyDescent="0.3">
      <c r="H524" s="160">
        <v>41491</v>
      </c>
      <c r="I524" s="159">
        <v>62.156816999999997</v>
      </c>
      <c r="J524" s="123">
        <f t="shared" si="116"/>
        <v>-5.5248674473238214E-3</v>
      </c>
      <c r="K524" s="165">
        <v>1707.1400149999999</v>
      </c>
      <c r="L524" s="124">
        <f t="shared" si="117"/>
        <v>-1.4798346668581E-3</v>
      </c>
      <c r="N524" s="150"/>
      <c r="O524" s="154"/>
      <c r="P524" s="125"/>
      <c r="Q524" s="154"/>
      <c r="R524" s="125"/>
      <c r="S524" s="3"/>
      <c r="T524" s="150"/>
      <c r="U524" s="154"/>
      <c r="V524" s="125"/>
      <c r="W524" s="154"/>
      <c r="X524" s="125"/>
      <c r="Y524" s="3"/>
    </row>
    <row r="525" spans="8:25" x14ac:dyDescent="0.3">
      <c r="H525" s="160">
        <v>41488</v>
      </c>
      <c r="I525" s="159">
        <v>62.502133000000001</v>
      </c>
      <c r="J525" s="123">
        <f t="shared" si="116"/>
        <v>-1.926548755646499E-2</v>
      </c>
      <c r="K525" s="165">
        <v>1709.670044</v>
      </c>
      <c r="L525" s="124">
        <f t="shared" si="117"/>
        <v>1.6404582705198613E-3</v>
      </c>
      <c r="N525" s="150"/>
      <c r="O525" s="154"/>
      <c r="P525" s="125"/>
      <c r="Q525" s="154"/>
      <c r="R525" s="125"/>
      <c r="S525" s="3"/>
      <c r="T525" s="150"/>
      <c r="U525" s="154"/>
      <c r="V525" s="125"/>
      <c r="W525" s="154"/>
      <c r="X525" s="125"/>
      <c r="Y525" s="3"/>
    </row>
    <row r="526" spans="8:25" x14ac:dyDescent="0.3">
      <c r="H526" s="160">
        <v>41487</v>
      </c>
      <c r="I526" s="159">
        <v>63.729920999999997</v>
      </c>
      <c r="J526" s="123">
        <f t="shared" si="116"/>
        <v>3.1997600541879535E-2</v>
      </c>
      <c r="K526" s="165">
        <v>1706.869995</v>
      </c>
      <c r="L526" s="124">
        <f t="shared" si="117"/>
        <v>1.2540570109573507E-2</v>
      </c>
      <c r="N526" s="150"/>
      <c r="O526" s="154"/>
      <c r="P526" s="125"/>
      <c r="Q526" s="154"/>
      <c r="R526" s="125"/>
      <c r="S526" s="3"/>
      <c r="T526" s="150"/>
      <c r="U526" s="154"/>
      <c r="V526" s="125"/>
      <c r="W526" s="154"/>
      <c r="X526" s="125"/>
      <c r="Y526" s="3"/>
    </row>
    <row r="527" spans="8:25" x14ac:dyDescent="0.3">
      <c r="H527" s="160">
        <v>41486</v>
      </c>
      <c r="I527" s="159">
        <v>61.753943</v>
      </c>
      <c r="J527" s="123">
        <f t="shared" si="116"/>
        <v>-1.0907971431784803E-2</v>
      </c>
      <c r="K527" s="165">
        <v>1685.7299800000001</v>
      </c>
      <c r="L527" s="124">
        <f t="shared" si="117"/>
        <v>-1.3640952651303945E-4</v>
      </c>
      <c r="N527" s="150"/>
      <c r="O527" s="154"/>
      <c r="P527" s="125"/>
      <c r="Q527" s="154"/>
      <c r="R527" s="125"/>
      <c r="S527" s="3"/>
      <c r="T527" s="150"/>
      <c r="U527" s="154"/>
      <c r="V527" s="125"/>
      <c r="W527" s="154"/>
      <c r="X527" s="125"/>
      <c r="Y527" s="3"/>
    </row>
    <row r="528" spans="8:25" x14ac:dyDescent="0.3">
      <c r="H528" s="160">
        <v>41485</v>
      </c>
      <c r="I528" s="159">
        <v>62.434981999999998</v>
      </c>
      <c r="J528" s="123">
        <f t="shared" si="116"/>
        <v>3.9776322873232087E-2</v>
      </c>
      <c r="K528" s="165">
        <v>1685.959961</v>
      </c>
      <c r="L528" s="124">
        <f t="shared" si="117"/>
        <v>3.7381700702410279E-4</v>
      </c>
      <c r="N528" s="150"/>
      <c r="O528" s="154"/>
      <c r="P528" s="125"/>
      <c r="Q528" s="154"/>
      <c r="R528" s="125"/>
      <c r="S528" s="3"/>
      <c r="T528" s="150"/>
      <c r="U528" s="154"/>
      <c r="V528" s="125"/>
      <c r="W528" s="154"/>
      <c r="X528" s="125"/>
      <c r="Y528" s="3"/>
    </row>
    <row r="529" spans="8:25" x14ac:dyDescent="0.3">
      <c r="H529" s="160">
        <v>41484</v>
      </c>
      <c r="I529" s="159">
        <v>60.046551000000001</v>
      </c>
      <c r="J529" s="123">
        <f t="shared" si="116"/>
        <v>-4.7903191674576821E-4</v>
      </c>
      <c r="K529" s="165">
        <v>1685.329956</v>
      </c>
      <c r="L529" s="124">
        <f t="shared" si="117"/>
        <v>-3.736037543425112E-3</v>
      </c>
      <c r="N529" s="150"/>
      <c r="O529" s="154"/>
      <c r="P529" s="125"/>
      <c r="Q529" s="154"/>
      <c r="R529" s="125"/>
      <c r="S529" s="3"/>
      <c r="T529" s="150"/>
      <c r="U529" s="154"/>
      <c r="V529" s="125"/>
      <c r="W529" s="154"/>
      <c r="X529" s="125"/>
      <c r="Y529" s="3"/>
    </row>
    <row r="530" spans="8:25" x14ac:dyDescent="0.3">
      <c r="H530" s="160">
        <v>41481</v>
      </c>
      <c r="I530" s="159">
        <v>60.075329000000004</v>
      </c>
      <c r="J530" s="123">
        <f t="shared" si="116"/>
        <v>-1.41665015825105E-2</v>
      </c>
      <c r="K530" s="165">
        <v>1691.650024</v>
      </c>
      <c r="L530" s="124">
        <f t="shared" si="117"/>
        <v>8.2829403934331033E-4</v>
      </c>
      <c r="N530" s="150"/>
      <c r="O530" s="154"/>
      <c r="P530" s="125"/>
      <c r="Q530" s="154"/>
      <c r="R530" s="125"/>
      <c r="S530" s="3"/>
      <c r="T530" s="150"/>
      <c r="U530" s="154"/>
      <c r="V530" s="125"/>
      <c r="W530" s="154"/>
      <c r="X530" s="125"/>
      <c r="Y530" s="3"/>
    </row>
    <row r="531" spans="8:25" x14ac:dyDescent="0.3">
      <c r="H531" s="160">
        <v>41480</v>
      </c>
      <c r="I531" s="159">
        <v>60.938616000000003</v>
      </c>
      <c r="J531" s="123">
        <f t="shared" si="116"/>
        <v>-5.9232943736699524E-2</v>
      </c>
      <c r="K531" s="165">
        <v>1690.25</v>
      </c>
      <c r="L531" s="124">
        <f t="shared" si="117"/>
        <v>2.5564724431662955E-3</v>
      </c>
      <c r="N531" s="150"/>
      <c r="O531" s="154"/>
      <c r="P531" s="125"/>
      <c r="Q531" s="154"/>
      <c r="R531" s="125"/>
      <c r="S531" s="3"/>
      <c r="T531" s="150"/>
      <c r="U531" s="154"/>
      <c r="V531" s="125"/>
      <c r="W531" s="154"/>
      <c r="X531" s="125"/>
      <c r="Y531" s="3"/>
    </row>
    <row r="532" spans="8:25" x14ac:dyDescent="0.3">
      <c r="H532" s="160">
        <v>41479</v>
      </c>
      <c r="I532" s="159">
        <v>64.775457000000003</v>
      </c>
      <c r="J532" s="123">
        <f t="shared" si="116"/>
        <v>-4.4228672778781749E-3</v>
      </c>
      <c r="K532" s="165">
        <v>1685.9399410000001</v>
      </c>
      <c r="L532" s="124">
        <f t="shared" si="117"/>
        <v>-3.8112219658775633E-3</v>
      </c>
      <c r="N532" s="150"/>
      <c r="O532" s="154"/>
      <c r="P532" s="125"/>
      <c r="Q532" s="154"/>
      <c r="R532" s="125"/>
      <c r="S532" s="3"/>
      <c r="T532" s="150"/>
      <c r="U532" s="154"/>
      <c r="V532" s="125"/>
      <c r="W532" s="154"/>
      <c r="X532" s="125"/>
      <c r="Y532" s="3"/>
    </row>
    <row r="533" spans="8:25" x14ac:dyDescent="0.3">
      <c r="H533" s="160">
        <v>41478</v>
      </c>
      <c r="I533" s="159">
        <v>65.063222999999994</v>
      </c>
      <c r="J533" s="123">
        <f t="shared" si="116"/>
        <v>-3.2244172601723645E-2</v>
      </c>
      <c r="K533" s="165">
        <v>1692.3900149999999</v>
      </c>
      <c r="L533" s="124">
        <f t="shared" si="117"/>
        <v>-1.8519365309336345E-3</v>
      </c>
      <c r="N533" s="150"/>
      <c r="O533" s="154"/>
      <c r="P533" s="125"/>
      <c r="Q533" s="154"/>
      <c r="R533" s="125"/>
      <c r="S533" s="3"/>
      <c r="T533" s="150"/>
      <c r="U533" s="154"/>
      <c r="V533" s="125"/>
      <c r="W533" s="154"/>
      <c r="X533" s="125"/>
      <c r="Y533" s="3"/>
    </row>
    <row r="534" spans="8:25" x14ac:dyDescent="0.3">
      <c r="H534" s="160">
        <v>41477</v>
      </c>
      <c r="I534" s="159">
        <v>67.231031999999999</v>
      </c>
      <c r="J534" s="123">
        <f t="shared" si="116"/>
        <v>4.2985349058367924E-3</v>
      </c>
      <c r="K534" s="165">
        <v>1695.530029</v>
      </c>
      <c r="L534" s="124">
        <f t="shared" si="117"/>
        <v>2.0330260619251311E-3</v>
      </c>
      <c r="N534" s="150"/>
      <c r="O534" s="154"/>
      <c r="P534" s="125"/>
      <c r="Q534" s="154"/>
      <c r="R534" s="125"/>
      <c r="S534" s="3"/>
      <c r="T534" s="150"/>
      <c r="U534" s="154"/>
      <c r="V534" s="125"/>
      <c r="W534" s="154"/>
      <c r="X534" s="125"/>
      <c r="Y534" s="3"/>
    </row>
    <row r="535" spans="8:25" x14ac:dyDescent="0.3">
      <c r="H535" s="160">
        <v>41474</v>
      </c>
      <c r="I535" s="159">
        <v>66.943274000000002</v>
      </c>
      <c r="J535" s="123">
        <f t="shared" si="116"/>
        <v>2.0100440083021085E-3</v>
      </c>
      <c r="K535" s="165">
        <v>1692.089966</v>
      </c>
      <c r="L535" s="124">
        <f t="shared" si="117"/>
        <v>1.610050496960547E-3</v>
      </c>
      <c r="N535" s="150"/>
      <c r="O535" s="154"/>
      <c r="P535" s="125"/>
      <c r="Q535" s="154"/>
      <c r="R535" s="125"/>
      <c r="S535" s="3"/>
      <c r="T535" s="150"/>
      <c r="U535" s="154"/>
      <c r="V535" s="125"/>
      <c r="W535" s="154"/>
      <c r="X535" s="125"/>
      <c r="Y535" s="3"/>
    </row>
    <row r="536" spans="8:25" x14ac:dyDescent="0.3">
      <c r="H536" s="160">
        <v>41473</v>
      </c>
      <c r="I536" s="159">
        <v>66.808985000000007</v>
      </c>
      <c r="J536" s="123">
        <f t="shared" si="116"/>
        <v>1.6046663727929039E-2</v>
      </c>
      <c r="K536" s="165">
        <v>1689.369995</v>
      </c>
      <c r="L536" s="124">
        <f t="shared" si="117"/>
        <v>5.0329647803149594E-3</v>
      </c>
      <c r="N536" s="150"/>
      <c r="O536" s="154"/>
      <c r="P536" s="125"/>
      <c r="Q536" s="154"/>
      <c r="R536" s="125"/>
      <c r="S536" s="3"/>
      <c r="T536" s="150"/>
      <c r="U536" s="154"/>
      <c r="V536" s="125"/>
      <c r="W536" s="154"/>
      <c r="X536" s="125"/>
      <c r="Y536" s="3"/>
    </row>
    <row r="537" spans="8:25" x14ac:dyDescent="0.3">
      <c r="H537" s="160">
        <v>41472</v>
      </c>
      <c r="I537" s="159">
        <v>65.753855000000001</v>
      </c>
      <c r="J537" s="123">
        <f t="shared" si="116"/>
        <v>9.7216597843517872E-3</v>
      </c>
      <c r="K537" s="165">
        <v>1680.910034</v>
      </c>
      <c r="L537" s="124">
        <f t="shared" si="117"/>
        <v>2.7740469690021598E-3</v>
      </c>
      <c r="N537" s="150"/>
      <c r="O537" s="154"/>
      <c r="P537" s="125"/>
      <c r="Q537" s="154"/>
      <c r="R537" s="125"/>
      <c r="S537" s="3"/>
      <c r="T537" s="150"/>
      <c r="U537" s="154"/>
      <c r="V537" s="125"/>
      <c r="W537" s="154"/>
      <c r="X537" s="125"/>
      <c r="Y537" s="3"/>
    </row>
    <row r="538" spans="8:25" x14ac:dyDescent="0.3">
      <c r="H538" s="160">
        <v>41471</v>
      </c>
      <c r="I538" s="159">
        <v>65.120773</v>
      </c>
      <c r="J538" s="123">
        <f t="shared" si="116"/>
        <v>-5.1289333472561288E-3</v>
      </c>
      <c r="K538" s="165">
        <v>1676.26001</v>
      </c>
      <c r="L538" s="124">
        <f t="shared" si="117"/>
        <v>-3.7087607726597528E-3</v>
      </c>
      <c r="N538" s="150"/>
      <c r="O538" s="154"/>
      <c r="P538" s="125"/>
      <c r="Q538" s="154"/>
      <c r="R538" s="125"/>
      <c r="S538" s="3"/>
      <c r="T538" s="150"/>
      <c r="U538" s="154"/>
      <c r="V538" s="125"/>
      <c r="W538" s="154"/>
      <c r="X538" s="125"/>
      <c r="Y538" s="3"/>
    </row>
    <row r="539" spans="8:25" x14ac:dyDescent="0.3">
      <c r="H539" s="160">
        <v>41470</v>
      </c>
      <c r="I539" s="159">
        <v>65.456495000000004</v>
      </c>
      <c r="J539" s="123">
        <f t="shared" si="116"/>
        <v>5.5997205678031273E-3</v>
      </c>
      <c r="K539" s="165">
        <v>1682.5</v>
      </c>
      <c r="L539" s="124">
        <f t="shared" si="117"/>
        <v>1.3748796749878352E-3</v>
      </c>
      <c r="N539" s="150"/>
      <c r="O539" s="154"/>
      <c r="P539" s="125"/>
      <c r="Q539" s="154"/>
      <c r="R539" s="125"/>
      <c r="S539" s="3"/>
      <c r="T539" s="150"/>
      <c r="U539" s="154"/>
      <c r="V539" s="125"/>
      <c r="W539" s="154"/>
      <c r="X539" s="125"/>
      <c r="Y539" s="3"/>
    </row>
    <row r="540" spans="8:25" x14ac:dyDescent="0.3">
      <c r="H540" s="160">
        <v>41467</v>
      </c>
      <c r="I540" s="159">
        <v>65.091998000000004</v>
      </c>
      <c r="J540" s="123">
        <f t="shared" si="116"/>
        <v>1.2533627326698656E-2</v>
      </c>
      <c r="K540" s="165">
        <v>1680.1899410000001</v>
      </c>
      <c r="L540" s="124">
        <f t="shared" si="117"/>
        <v>3.0864831096168981E-3</v>
      </c>
      <c r="N540" s="150"/>
      <c r="O540" s="154"/>
      <c r="P540" s="125"/>
      <c r="Q540" s="154"/>
      <c r="R540" s="125"/>
      <c r="S540" s="3"/>
      <c r="T540" s="150"/>
      <c r="U540" s="154"/>
      <c r="V540" s="125"/>
      <c r="W540" s="154"/>
      <c r="X540" s="125"/>
      <c r="Y540" s="3"/>
    </row>
    <row r="541" spans="8:25" x14ac:dyDescent="0.3">
      <c r="H541" s="160">
        <v>41466</v>
      </c>
      <c r="I541" s="159">
        <v>64.286258000000004</v>
      </c>
      <c r="J541" s="123">
        <f t="shared" si="116"/>
        <v>-3.1236965537208504E-3</v>
      </c>
      <c r="K541" s="165">
        <v>1675.0200199999999</v>
      </c>
      <c r="L541" s="124">
        <f t="shared" si="117"/>
        <v>1.3554250261869738E-2</v>
      </c>
      <c r="N541" s="150"/>
      <c r="O541" s="154"/>
      <c r="P541" s="125"/>
      <c r="Q541" s="154"/>
      <c r="R541" s="125"/>
      <c r="S541" s="3"/>
      <c r="T541" s="150"/>
      <c r="U541" s="154"/>
      <c r="V541" s="125"/>
      <c r="W541" s="154"/>
      <c r="X541" s="125"/>
      <c r="Y541" s="3"/>
    </row>
    <row r="542" spans="8:25" x14ac:dyDescent="0.3">
      <c r="H542" s="160">
        <v>41465</v>
      </c>
      <c r="I542" s="159">
        <v>64.487697999999995</v>
      </c>
      <c r="J542" s="123">
        <f t="shared" si="116"/>
        <v>1.5559001170808433E-2</v>
      </c>
      <c r="K542" s="165">
        <v>1652.619995</v>
      </c>
      <c r="L542" s="124">
        <f t="shared" si="117"/>
        <v>1.8159255459350635E-4</v>
      </c>
      <c r="N542" s="150"/>
      <c r="O542" s="154"/>
      <c r="P542" s="125"/>
      <c r="Q542" s="154"/>
      <c r="R542" s="125"/>
      <c r="S542" s="3"/>
      <c r="T542" s="150"/>
      <c r="U542" s="154"/>
      <c r="V542" s="125"/>
      <c r="W542" s="154"/>
      <c r="X542" s="125"/>
      <c r="Y542" s="3"/>
    </row>
    <row r="543" spans="8:25" x14ac:dyDescent="0.3">
      <c r="H543" s="160">
        <v>41464</v>
      </c>
      <c r="I543" s="159">
        <v>63.499706000000003</v>
      </c>
      <c r="J543" s="123">
        <f t="shared" si="116"/>
        <v>1.502600300858307E-2</v>
      </c>
      <c r="K543" s="165">
        <v>1652.3199460000001</v>
      </c>
      <c r="L543" s="124">
        <f t="shared" si="117"/>
        <v>7.2296705082459806E-3</v>
      </c>
      <c r="N543" s="150"/>
      <c r="O543" s="154"/>
      <c r="P543" s="125"/>
      <c r="Q543" s="154"/>
      <c r="R543" s="125"/>
      <c r="S543" s="3"/>
      <c r="T543" s="150"/>
      <c r="U543" s="154"/>
      <c r="V543" s="125"/>
      <c r="W543" s="154"/>
      <c r="X543" s="125"/>
      <c r="Y543" s="3"/>
    </row>
    <row r="544" spans="8:25" x14ac:dyDescent="0.3">
      <c r="H544" s="160">
        <v>41463</v>
      </c>
      <c r="I544" s="159">
        <v>62.559683999999997</v>
      </c>
      <c r="J544" s="123">
        <f t="shared" si="116"/>
        <v>1.1006042553129572E-2</v>
      </c>
      <c r="K544" s="165">
        <v>1640.459961</v>
      </c>
      <c r="L544" s="124">
        <f t="shared" si="117"/>
        <v>5.251546318211937E-3</v>
      </c>
      <c r="N544" s="150"/>
      <c r="O544" s="154"/>
      <c r="P544" s="125"/>
      <c r="Q544" s="154"/>
      <c r="R544" s="125"/>
      <c r="S544" s="3"/>
      <c r="T544" s="150"/>
      <c r="U544" s="154"/>
      <c r="V544" s="125"/>
      <c r="W544" s="154"/>
      <c r="X544" s="125"/>
      <c r="Y544" s="3"/>
    </row>
    <row r="545" spans="8:25" x14ac:dyDescent="0.3">
      <c r="H545" s="160">
        <v>41460</v>
      </c>
      <c r="I545" s="159">
        <v>61.878644999999999</v>
      </c>
      <c r="J545" s="123">
        <f t="shared" si="116"/>
        <v>2.0566413898320965E-2</v>
      </c>
      <c r="K545" s="165">
        <v>1631.8900149999999</v>
      </c>
      <c r="L545" s="124">
        <f t="shared" si="117"/>
        <v>1.020173247233894E-2</v>
      </c>
      <c r="N545" s="150"/>
      <c r="O545" s="154"/>
      <c r="P545" s="125"/>
      <c r="Q545" s="154"/>
      <c r="R545" s="125"/>
      <c r="S545" s="3"/>
      <c r="T545" s="150"/>
      <c r="U545" s="154"/>
      <c r="V545" s="125"/>
      <c r="W545" s="154"/>
      <c r="X545" s="125"/>
      <c r="Y545" s="3"/>
    </row>
    <row r="546" spans="8:25" x14ac:dyDescent="0.3">
      <c r="H546" s="160">
        <v>41458</v>
      </c>
      <c r="I546" s="159">
        <v>60.631669000000002</v>
      </c>
      <c r="J546" s="123">
        <f t="shared" si="116"/>
        <v>4.748123084683564E-4</v>
      </c>
      <c r="K546" s="165">
        <v>1615.410034</v>
      </c>
      <c r="L546" s="124">
        <f t="shared" si="117"/>
        <v>8.2404715767374142E-4</v>
      </c>
      <c r="N546" s="150"/>
      <c r="O546" s="154"/>
      <c r="P546" s="125"/>
      <c r="Q546" s="154"/>
      <c r="R546" s="125"/>
      <c r="S546" s="3"/>
      <c r="T546" s="150"/>
      <c r="U546" s="154"/>
      <c r="V546" s="125"/>
      <c r="W546" s="154"/>
      <c r="X546" s="125"/>
      <c r="Y546" s="3"/>
    </row>
    <row r="547" spans="8:25" x14ac:dyDescent="0.3">
      <c r="H547" s="160">
        <v>41457</v>
      </c>
      <c r="I547" s="159">
        <v>60.602893999999999</v>
      </c>
      <c r="J547" s="123">
        <f t="shared" si="116"/>
        <v>1.9029295003173752E-3</v>
      </c>
      <c r="K547" s="165">
        <v>1614.079956</v>
      </c>
      <c r="L547" s="124">
        <f t="shared" si="117"/>
        <v>-5.4490824618034161E-4</v>
      </c>
      <c r="N547" s="150"/>
      <c r="O547" s="154"/>
      <c r="P547" s="125"/>
      <c r="Q547" s="154"/>
      <c r="R547" s="125"/>
      <c r="S547" s="3"/>
      <c r="T547" s="150"/>
      <c r="U547" s="154"/>
      <c r="V547" s="125"/>
      <c r="W547" s="154"/>
      <c r="X547" s="125"/>
      <c r="Y547" s="3"/>
    </row>
    <row r="548" spans="8:25" x14ac:dyDescent="0.3">
      <c r="H548" s="160">
        <v>41456</v>
      </c>
      <c r="I548" s="159">
        <v>60.487789999999997</v>
      </c>
      <c r="J548" s="123">
        <f t="shared" si="116"/>
        <v>1.5622503719313856E-2</v>
      </c>
      <c r="K548" s="165">
        <v>1614.959961</v>
      </c>
      <c r="L548" s="124">
        <f t="shared" si="117"/>
        <v>5.4037476923645472E-3</v>
      </c>
      <c r="N548" s="150"/>
      <c r="O548" s="154"/>
      <c r="P548" s="125"/>
      <c r="Q548" s="154"/>
      <c r="R548" s="125"/>
      <c r="S548" s="3"/>
      <c r="T548" s="150"/>
      <c r="U548" s="154"/>
      <c r="V548" s="125"/>
      <c r="W548" s="154"/>
      <c r="X548" s="125"/>
      <c r="Y548" s="3"/>
    </row>
    <row r="549" spans="8:25" x14ac:dyDescent="0.3">
      <c r="H549" s="160">
        <v>41453</v>
      </c>
      <c r="I549" s="159">
        <v>59.557355000000001</v>
      </c>
      <c r="J549" s="123">
        <f t="shared" si="116"/>
        <v>-8.4637272814524853E-3</v>
      </c>
      <c r="K549" s="165">
        <v>1606.280029</v>
      </c>
      <c r="L549" s="124">
        <f t="shared" si="117"/>
        <v>-4.2895624908186238E-3</v>
      </c>
      <c r="N549" s="150"/>
      <c r="O549" s="154"/>
      <c r="P549" s="125"/>
      <c r="Q549" s="154"/>
      <c r="R549" s="125"/>
      <c r="S549" s="3"/>
      <c r="T549" s="150"/>
      <c r="U549" s="154"/>
      <c r="V549" s="125"/>
      <c r="W549" s="154"/>
      <c r="X549" s="125"/>
      <c r="Y549" s="3"/>
    </row>
    <row r="550" spans="8:25" x14ac:dyDescent="0.3">
      <c r="H550" s="160">
        <v>41452</v>
      </c>
      <c r="I550" s="159">
        <v>60.065734999999997</v>
      </c>
      <c r="J550" s="123">
        <f t="shared" si="116"/>
        <v>3.1461039944537875E-2</v>
      </c>
      <c r="K550" s="165">
        <v>1613.1999510000001</v>
      </c>
      <c r="L550" s="124">
        <f t="shared" si="117"/>
        <v>6.199830930729751E-3</v>
      </c>
      <c r="N550" s="150"/>
      <c r="O550" s="154"/>
      <c r="P550" s="125"/>
      <c r="Q550" s="154"/>
      <c r="R550" s="125"/>
      <c r="S550" s="3"/>
      <c r="T550" s="150"/>
      <c r="U550" s="154"/>
      <c r="V550" s="125"/>
      <c r="W550" s="154"/>
      <c r="X550" s="125"/>
      <c r="Y550" s="3"/>
    </row>
    <row r="551" spans="8:25" x14ac:dyDescent="0.3">
      <c r="H551" s="160">
        <v>41451</v>
      </c>
      <c r="I551" s="159">
        <v>58.233643999999998</v>
      </c>
      <c r="J551" s="123">
        <f t="shared" si="116"/>
        <v>1.5047631916385478E-2</v>
      </c>
      <c r="K551" s="165">
        <v>1603.26001</v>
      </c>
      <c r="L551" s="124">
        <f t="shared" si="117"/>
        <v>9.5904867803982517E-3</v>
      </c>
      <c r="N551" s="150"/>
      <c r="O551" s="154"/>
      <c r="P551" s="125"/>
      <c r="Q551" s="154"/>
      <c r="R551" s="125"/>
      <c r="S551" s="3"/>
      <c r="T551" s="150"/>
      <c r="U551" s="154"/>
      <c r="V551" s="125"/>
      <c r="W551" s="154"/>
      <c r="X551" s="125"/>
      <c r="Y551" s="3"/>
    </row>
    <row r="552" spans="8:25" x14ac:dyDescent="0.3">
      <c r="H552" s="160">
        <v>41450</v>
      </c>
      <c r="I552" s="159">
        <v>57.370356000000001</v>
      </c>
      <c r="J552" s="123">
        <f t="shared" si="116"/>
        <v>2.5965162645407162E-2</v>
      </c>
      <c r="K552" s="165">
        <v>1588.030029</v>
      </c>
      <c r="L552" s="124">
        <f t="shared" si="117"/>
        <v>9.4972718171924368E-3</v>
      </c>
      <c r="N552" s="150"/>
      <c r="O552" s="154"/>
      <c r="P552" s="125"/>
      <c r="Q552" s="154"/>
      <c r="R552" s="125"/>
      <c r="S552" s="3"/>
      <c r="T552" s="150"/>
      <c r="U552" s="154"/>
      <c r="V552" s="125"/>
      <c r="W552" s="154"/>
      <c r="X552" s="125"/>
      <c r="Y552" s="3"/>
    </row>
    <row r="553" spans="8:25" x14ac:dyDescent="0.3">
      <c r="H553" s="160">
        <v>41449</v>
      </c>
      <c r="I553" s="159">
        <v>55.918424999999999</v>
      </c>
      <c r="J553" s="123">
        <f t="shared" si="116"/>
        <v>-2.7413163394390278E-2</v>
      </c>
      <c r="K553" s="165">
        <v>1573.089966</v>
      </c>
      <c r="L553" s="124">
        <f t="shared" si="117"/>
        <v>-1.2145015695615553E-2</v>
      </c>
      <c r="N553" s="150"/>
      <c r="O553" s="154"/>
      <c r="P553" s="125"/>
      <c r="Q553" s="154"/>
      <c r="R553" s="125"/>
      <c r="S553" s="3"/>
      <c r="T553" s="150"/>
      <c r="U553" s="154"/>
      <c r="V553" s="125"/>
      <c r="W553" s="154"/>
      <c r="X553" s="125"/>
      <c r="Y553" s="3"/>
    </row>
    <row r="554" spans="8:25" x14ac:dyDescent="0.3">
      <c r="H554" s="160">
        <v>41446</v>
      </c>
      <c r="I554" s="159">
        <v>57.494532</v>
      </c>
      <c r="J554" s="123">
        <f t="shared" si="116"/>
        <v>-2.1141689902007307E-2</v>
      </c>
      <c r="K554" s="165">
        <v>1592.4300539999999</v>
      </c>
      <c r="L554" s="124">
        <f t="shared" si="117"/>
        <v>2.6697770150401912E-3</v>
      </c>
      <c r="N554" s="150"/>
      <c r="O554" s="154"/>
      <c r="P554" s="125"/>
      <c r="Q554" s="154"/>
      <c r="R554" s="125"/>
      <c r="S554" s="3"/>
      <c r="T554" s="150"/>
      <c r="U554" s="154"/>
      <c r="V554" s="125"/>
      <c r="W554" s="154"/>
      <c r="X554" s="125"/>
      <c r="Y554" s="3"/>
    </row>
    <row r="555" spans="8:25" x14ac:dyDescent="0.3">
      <c r="H555" s="160">
        <v>41445</v>
      </c>
      <c r="I555" s="159">
        <v>58.736317</v>
      </c>
      <c r="J555" s="123">
        <f t="shared" si="116"/>
        <v>-3.2719801982660043E-2</v>
      </c>
      <c r="K555" s="165">
        <v>1588.1899410000001</v>
      </c>
      <c r="L555" s="124">
        <f t="shared" si="117"/>
        <v>-2.5010351365277125E-2</v>
      </c>
      <c r="N555" s="150"/>
      <c r="O555" s="154"/>
      <c r="P555" s="125"/>
      <c r="Q555" s="154"/>
      <c r="R555" s="125"/>
      <c r="S555" s="3"/>
      <c r="T555" s="150"/>
      <c r="U555" s="154"/>
      <c r="V555" s="125"/>
      <c r="W555" s="154"/>
      <c r="X555" s="125"/>
      <c r="Y555" s="3"/>
    </row>
    <row r="556" spans="8:25" x14ac:dyDescent="0.3">
      <c r="H556" s="160">
        <v>41444</v>
      </c>
      <c r="I556" s="159">
        <v>60.723166999999997</v>
      </c>
      <c r="J556" s="123">
        <f t="shared" si="116"/>
        <v>-1.7009415221524406E-2</v>
      </c>
      <c r="K556" s="165">
        <v>1628.9300539999999</v>
      </c>
      <c r="L556" s="124">
        <f t="shared" si="117"/>
        <v>-1.3851474553830638E-2</v>
      </c>
      <c r="N556" s="150"/>
      <c r="O556" s="154"/>
      <c r="P556" s="125"/>
      <c r="Q556" s="154"/>
      <c r="R556" s="125"/>
      <c r="S556" s="3"/>
      <c r="T556" s="150"/>
      <c r="U556" s="154"/>
      <c r="V556" s="125"/>
      <c r="W556" s="154"/>
      <c r="X556" s="125"/>
      <c r="Y556" s="3"/>
    </row>
    <row r="557" spans="8:25" x14ac:dyDescent="0.3">
      <c r="H557" s="160">
        <v>41443</v>
      </c>
      <c r="I557" s="159">
        <v>61.773904999999999</v>
      </c>
      <c r="J557" s="123">
        <f t="shared" si="116"/>
        <v>3.0930387213275174E-4</v>
      </c>
      <c r="K557" s="165">
        <v>1651.8100589999999</v>
      </c>
      <c r="L557" s="124">
        <f t="shared" si="117"/>
        <v>7.7911580535830532E-3</v>
      </c>
      <c r="N557" s="150"/>
      <c r="O557" s="154"/>
      <c r="P557" s="125"/>
      <c r="Q557" s="154"/>
      <c r="R557" s="125"/>
      <c r="S557" s="3"/>
      <c r="T557" s="150"/>
      <c r="U557" s="154"/>
      <c r="V557" s="125"/>
      <c r="W557" s="154"/>
      <c r="X557" s="125"/>
      <c r="Y557" s="3"/>
    </row>
    <row r="558" spans="8:25" x14ac:dyDescent="0.3">
      <c r="H558" s="160">
        <v>41442</v>
      </c>
      <c r="I558" s="159">
        <v>61.754804</v>
      </c>
      <c r="J558" s="123">
        <f t="shared" si="116"/>
        <v>1.205386113498606E-2</v>
      </c>
      <c r="K558" s="165">
        <v>1639.040039</v>
      </c>
      <c r="L558" s="124">
        <f t="shared" si="117"/>
        <v>7.5673646833507736E-3</v>
      </c>
      <c r="N558" s="150"/>
      <c r="O558" s="154"/>
      <c r="P558" s="125"/>
      <c r="Q558" s="154"/>
      <c r="R558" s="125"/>
      <c r="S558" s="3"/>
      <c r="T558" s="150"/>
      <c r="U558" s="154"/>
      <c r="V558" s="125"/>
      <c r="W558" s="154"/>
      <c r="X558" s="125"/>
      <c r="Y558" s="3"/>
    </row>
    <row r="559" spans="8:25" x14ac:dyDescent="0.3">
      <c r="H559" s="160">
        <v>41439</v>
      </c>
      <c r="I559" s="159">
        <v>61.019286000000001</v>
      </c>
      <c r="J559" s="123">
        <f t="shared" si="116"/>
        <v>-5.9134991260505242E-3</v>
      </c>
      <c r="K559" s="165">
        <v>1626.7299800000001</v>
      </c>
      <c r="L559" s="124">
        <f t="shared" si="117"/>
        <v>-5.885016187315276E-3</v>
      </c>
      <c r="N559" s="150"/>
      <c r="O559" s="154"/>
      <c r="P559" s="125"/>
      <c r="Q559" s="154"/>
      <c r="R559" s="125"/>
      <c r="S559" s="3"/>
      <c r="T559" s="150"/>
      <c r="U559" s="154"/>
      <c r="V559" s="125"/>
      <c r="W559" s="154"/>
      <c r="X559" s="125"/>
      <c r="Y559" s="3"/>
    </row>
    <row r="560" spans="8:25" x14ac:dyDescent="0.3">
      <c r="H560" s="160">
        <v>41438</v>
      </c>
      <c r="I560" s="159">
        <v>61.382269999999998</v>
      </c>
      <c r="J560" s="123">
        <f t="shared" si="116"/>
        <v>5.4764991992112683E-3</v>
      </c>
      <c r="K560" s="165">
        <v>1636.3599850000001</v>
      </c>
      <c r="L560" s="124">
        <f t="shared" si="117"/>
        <v>1.4784290864184198E-2</v>
      </c>
      <c r="N560" s="150"/>
      <c r="O560" s="154"/>
      <c r="P560" s="125"/>
      <c r="Q560" s="154"/>
      <c r="R560" s="125"/>
      <c r="S560" s="3"/>
      <c r="T560" s="150"/>
      <c r="U560" s="154"/>
      <c r="V560" s="125"/>
      <c r="W560" s="154"/>
      <c r="X560" s="125"/>
      <c r="Y560" s="3"/>
    </row>
    <row r="561" spans="8:25" x14ac:dyDescent="0.3">
      <c r="H561" s="160">
        <v>41437</v>
      </c>
      <c r="I561" s="159">
        <v>61.047941000000002</v>
      </c>
      <c r="J561" s="123">
        <f t="shared" si="116"/>
        <v>-9.7614054394302222E-3</v>
      </c>
      <c r="K561" s="165">
        <v>1612.5200199999999</v>
      </c>
      <c r="L561" s="124">
        <f t="shared" si="117"/>
        <v>-8.3695552988704933E-3</v>
      </c>
      <c r="N561" s="150"/>
      <c r="O561" s="154"/>
      <c r="P561" s="125"/>
      <c r="Q561" s="154"/>
      <c r="R561" s="125"/>
      <c r="S561" s="3"/>
      <c r="T561" s="150"/>
      <c r="U561" s="154"/>
      <c r="V561" s="125"/>
      <c r="W561" s="154"/>
      <c r="X561" s="125"/>
      <c r="Y561" s="3"/>
    </row>
    <row r="562" spans="8:25" x14ac:dyDescent="0.3">
      <c r="H562" s="160">
        <v>41436</v>
      </c>
      <c r="I562" s="159">
        <v>61.649729000000001</v>
      </c>
      <c r="J562" s="123">
        <f t="shared" si="116"/>
        <v>-1.0834201252259636E-3</v>
      </c>
      <c r="K562" s="165">
        <v>1626.130005</v>
      </c>
      <c r="L562" s="124">
        <f t="shared" si="117"/>
        <v>-1.0153367340685324E-2</v>
      </c>
      <c r="N562" s="150"/>
      <c r="O562" s="154"/>
      <c r="P562" s="125"/>
      <c r="Q562" s="154"/>
      <c r="R562" s="125"/>
      <c r="S562" s="3"/>
      <c r="T562" s="150"/>
      <c r="U562" s="154"/>
      <c r="V562" s="125"/>
      <c r="W562" s="154"/>
      <c r="X562" s="125"/>
      <c r="Y562" s="3"/>
    </row>
    <row r="563" spans="8:25" x14ac:dyDescent="0.3">
      <c r="H563" s="160">
        <v>41435</v>
      </c>
      <c r="I563" s="159">
        <v>61.716594000000001</v>
      </c>
      <c r="J563" s="123">
        <f t="shared" si="116"/>
        <v>7.170677443704818E-3</v>
      </c>
      <c r="K563" s="165">
        <v>1642.8100589999999</v>
      </c>
      <c r="L563" s="124">
        <f t="shared" si="117"/>
        <v>-3.468132740242709E-4</v>
      </c>
      <c r="N563" s="150"/>
      <c r="O563" s="154"/>
      <c r="P563" s="125"/>
      <c r="Q563" s="154"/>
      <c r="R563" s="125"/>
      <c r="S563" s="3"/>
      <c r="T563" s="150"/>
      <c r="U563" s="154"/>
      <c r="V563" s="125"/>
      <c r="W563" s="154"/>
      <c r="X563" s="125"/>
      <c r="Y563" s="3"/>
    </row>
    <row r="564" spans="8:25" x14ac:dyDescent="0.3">
      <c r="H564" s="160">
        <v>41432</v>
      </c>
      <c r="I564" s="159">
        <v>61.277194999999999</v>
      </c>
      <c r="J564" s="123">
        <f t="shared" si="116"/>
        <v>4.5411996400469895E-3</v>
      </c>
      <c r="K564" s="165">
        <v>1643.380005</v>
      </c>
      <c r="L564" s="124">
        <f t="shared" si="117"/>
        <v>1.2831541048059333E-2</v>
      </c>
      <c r="N564" s="150"/>
      <c r="O564" s="154"/>
      <c r="P564" s="125"/>
      <c r="Q564" s="154"/>
      <c r="R564" s="125"/>
      <c r="S564" s="3"/>
      <c r="T564" s="150"/>
      <c r="U564" s="154"/>
      <c r="V564" s="125"/>
      <c r="W564" s="154"/>
      <c r="X564" s="125"/>
      <c r="Y564" s="3"/>
    </row>
    <row r="565" spans="8:25" x14ac:dyDescent="0.3">
      <c r="H565" s="160">
        <v>41431</v>
      </c>
      <c r="I565" s="159">
        <v>61.000180999999998</v>
      </c>
      <c r="J565" s="123">
        <f t="shared" si="116"/>
        <v>1.6717062348438675E-2</v>
      </c>
      <c r="K565" s="165">
        <v>1622.5600589999999</v>
      </c>
      <c r="L565" s="124">
        <f t="shared" si="117"/>
        <v>8.4902944845750578E-3</v>
      </c>
      <c r="N565" s="150"/>
      <c r="O565" s="154"/>
      <c r="P565" s="125"/>
      <c r="Q565" s="154"/>
      <c r="R565" s="125"/>
      <c r="S565" s="3"/>
      <c r="T565" s="150"/>
      <c r="U565" s="154"/>
      <c r="V565" s="125"/>
      <c r="W565" s="154"/>
      <c r="X565" s="125"/>
      <c r="Y565" s="3"/>
    </row>
    <row r="566" spans="8:25" x14ac:dyDescent="0.3">
      <c r="H566" s="160">
        <v>41430</v>
      </c>
      <c r="I566" s="159">
        <v>59.997204000000004</v>
      </c>
      <c r="J566" s="123">
        <f t="shared" si="116"/>
        <v>-9.6183579621637576E-3</v>
      </c>
      <c r="K566" s="165">
        <v>1608.900024</v>
      </c>
      <c r="L566" s="124">
        <f t="shared" si="117"/>
        <v>-1.3779733067158656E-2</v>
      </c>
      <c r="N566" s="150"/>
      <c r="O566" s="154"/>
      <c r="P566" s="125"/>
      <c r="Q566" s="154"/>
      <c r="R566" s="125"/>
      <c r="S566" s="3"/>
      <c r="T566" s="150"/>
      <c r="U566" s="154"/>
      <c r="V566" s="125"/>
      <c r="W566" s="154"/>
      <c r="X566" s="125"/>
      <c r="Y566" s="3"/>
    </row>
    <row r="567" spans="8:25" x14ac:dyDescent="0.3">
      <c r="H567" s="160">
        <v>41429</v>
      </c>
      <c r="I567" s="159">
        <v>60.579883000000002</v>
      </c>
      <c r="J567" s="123">
        <f t="shared" si="116"/>
        <v>-5.9561359330206325E-3</v>
      </c>
      <c r="K567" s="165">
        <v>1631.380005</v>
      </c>
      <c r="L567" s="124">
        <f t="shared" si="117"/>
        <v>-5.510807450241067E-3</v>
      </c>
      <c r="N567" s="150"/>
      <c r="O567" s="154"/>
      <c r="P567" s="125"/>
      <c r="Q567" s="154"/>
      <c r="R567" s="125"/>
      <c r="S567" s="3"/>
      <c r="T567" s="150"/>
      <c r="U567" s="154"/>
      <c r="V567" s="125"/>
      <c r="W567" s="154"/>
      <c r="X567" s="125"/>
      <c r="Y567" s="3"/>
    </row>
    <row r="568" spans="8:25" x14ac:dyDescent="0.3">
      <c r="H568" s="160">
        <v>41428</v>
      </c>
      <c r="I568" s="159">
        <v>60.942867</v>
      </c>
      <c r="J568" s="123">
        <f t="shared" si="116"/>
        <v>7.5805377994970008E-3</v>
      </c>
      <c r="K568" s="165">
        <v>1640.420044</v>
      </c>
      <c r="L568" s="124">
        <f t="shared" si="117"/>
        <v>5.9359886060069743E-3</v>
      </c>
      <c r="N568" s="150"/>
      <c r="O568" s="154"/>
      <c r="P568" s="125"/>
      <c r="Q568" s="154"/>
      <c r="R568" s="125"/>
      <c r="S568" s="3"/>
      <c r="T568" s="150"/>
      <c r="U568" s="154"/>
      <c r="V568" s="125"/>
      <c r="W568" s="154"/>
      <c r="X568" s="125"/>
      <c r="Y568" s="3"/>
    </row>
    <row r="569" spans="8:25" x14ac:dyDescent="0.3">
      <c r="H569" s="160">
        <v>41425</v>
      </c>
      <c r="I569" s="159">
        <v>60.484363000000002</v>
      </c>
      <c r="J569" s="123">
        <f t="shared" si="116"/>
        <v>-7.3679397326742559E-3</v>
      </c>
      <c r="K569" s="165">
        <v>1630.73999</v>
      </c>
      <c r="L569" s="124">
        <f t="shared" si="117"/>
        <v>-1.4307241562583489E-2</v>
      </c>
      <c r="N569" s="150"/>
      <c r="O569" s="154"/>
      <c r="P569" s="125"/>
      <c r="Q569" s="154"/>
      <c r="R569" s="125"/>
      <c r="S569" s="3"/>
      <c r="T569" s="150"/>
      <c r="U569" s="154"/>
      <c r="V569" s="125"/>
      <c r="W569" s="154"/>
      <c r="X569" s="125"/>
      <c r="Y569" s="3"/>
    </row>
    <row r="570" spans="8:25" x14ac:dyDescent="0.3">
      <c r="H570" s="160">
        <v>41424</v>
      </c>
      <c r="I570" s="159">
        <v>60.933315999999998</v>
      </c>
      <c r="J570" s="123">
        <f t="shared" si="116"/>
        <v>9.4148758323514884E-4</v>
      </c>
      <c r="K570" s="165">
        <v>1654.410034</v>
      </c>
      <c r="L570" s="124">
        <f t="shared" si="117"/>
        <v>3.6703444969879832E-3</v>
      </c>
      <c r="N570" s="150"/>
      <c r="O570" s="154"/>
      <c r="P570" s="125"/>
      <c r="Q570" s="154"/>
      <c r="R570" s="125"/>
      <c r="S570" s="3"/>
      <c r="T570" s="150"/>
      <c r="U570" s="154"/>
      <c r="V570" s="125"/>
      <c r="W570" s="154"/>
      <c r="X570" s="125"/>
      <c r="Y570" s="3"/>
    </row>
    <row r="571" spans="8:25" x14ac:dyDescent="0.3">
      <c r="H571" s="160">
        <v>41423</v>
      </c>
      <c r="I571" s="159">
        <v>60.876002</v>
      </c>
      <c r="J571" s="123">
        <f t="shared" si="116"/>
        <v>1.3840261441409133E-2</v>
      </c>
      <c r="K571" s="165">
        <v>1648.3599850000001</v>
      </c>
      <c r="L571" s="124">
        <f t="shared" si="117"/>
        <v>-7.0479823525468359E-3</v>
      </c>
      <c r="N571" s="150"/>
      <c r="O571" s="154"/>
      <c r="P571" s="125"/>
      <c r="Q571" s="154"/>
      <c r="R571" s="125"/>
      <c r="S571" s="3"/>
      <c r="T571" s="150"/>
      <c r="U571" s="154"/>
      <c r="V571" s="125"/>
      <c r="W571" s="154"/>
      <c r="X571" s="125"/>
      <c r="Y571" s="3"/>
    </row>
    <row r="572" spans="8:25" x14ac:dyDescent="0.3">
      <c r="H572" s="160">
        <v>41422</v>
      </c>
      <c r="I572" s="159">
        <v>60.044964</v>
      </c>
      <c r="J572" s="123">
        <f t="shared" si="116"/>
        <v>8.988785606785234E-3</v>
      </c>
      <c r="K572" s="165">
        <v>1660.0600589999999</v>
      </c>
      <c r="L572" s="124">
        <f t="shared" si="117"/>
        <v>6.3409815423032846E-3</v>
      </c>
      <c r="N572" s="150"/>
      <c r="O572" s="154"/>
      <c r="P572" s="125"/>
      <c r="Q572" s="154"/>
      <c r="R572" s="125"/>
      <c r="S572" s="3"/>
      <c r="T572" s="150"/>
      <c r="U572" s="154"/>
      <c r="V572" s="125"/>
      <c r="W572" s="154"/>
      <c r="X572" s="125"/>
      <c r="Y572" s="3"/>
    </row>
    <row r="573" spans="8:25" x14ac:dyDescent="0.3">
      <c r="H573" s="160">
        <v>41418</v>
      </c>
      <c r="I573" s="159">
        <v>59.510041000000001</v>
      </c>
      <c r="J573" s="123">
        <f t="shared" si="116"/>
        <v>6.4248904662107028E-4</v>
      </c>
      <c r="K573" s="165">
        <v>1649.599976</v>
      </c>
      <c r="L573" s="124">
        <f t="shared" si="117"/>
        <v>-5.5136533222236925E-4</v>
      </c>
      <c r="N573" s="150"/>
      <c r="O573" s="154"/>
      <c r="P573" s="125"/>
      <c r="Q573" s="154"/>
      <c r="R573" s="125"/>
      <c r="S573" s="3"/>
      <c r="T573" s="150"/>
      <c r="U573" s="154"/>
      <c r="V573" s="125"/>
      <c r="W573" s="154"/>
      <c r="X573" s="125"/>
      <c r="Y573" s="3"/>
    </row>
    <row r="574" spans="8:25" x14ac:dyDescent="0.3">
      <c r="H574" s="160">
        <v>41417</v>
      </c>
      <c r="I574" s="159">
        <v>59.471831000000002</v>
      </c>
      <c r="J574" s="123">
        <f t="shared" si="116"/>
        <v>3.0794644192672808E-2</v>
      </c>
      <c r="K574" s="165">
        <v>1650.51001</v>
      </c>
      <c r="L574" s="124">
        <f t="shared" si="117"/>
        <v>-2.9238324645373989E-3</v>
      </c>
      <c r="N574" s="150"/>
      <c r="O574" s="154"/>
      <c r="P574" s="125"/>
      <c r="Q574" s="154"/>
      <c r="R574" s="125"/>
      <c r="S574" s="3"/>
      <c r="T574" s="150"/>
      <c r="U574" s="154"/>
      <c r="V574" s="125"/>
      <c r="W574" s="154"/>
      <c r="X574" s="125"/>
      <c r="Y574" s="3"/>
    </row>
    <row r="575" spans="8:25" x14ac:dyDescent="0.3">
      <c r="H575" s="160">
        <v>41416</v>
      </c>
      <c r="I575" s="159">
        <v>57.695129999999999</v>
      </c>
      <c r="J575" s="123">
        <f t="shared" si="116"/>
        <v>-5.2700825724832125E-3</v>
      </c>
      <c r="K575" s="165">
        <v>1655.349976</v>
      </c>
      <c r="L575" s="124">
        <f t="shared" si="117"/>
        <v>-8.2736572399863886E-3</v>
      </c>
      <c r="N575" s="150"/>
      <c r="O575" s="154"/>
      <c r="P575" s="125"/>
      <c r="Q575" s="154"/>
      <c r="R575" s="125"/>
      <c r="S575" s="3"/>
      <c r="T575" s="150"/>
      <c r="U575" s="154"/>
      <c r="V575" s="125"/>
      <c r="W575" s="154"/>
      <c r="X575" s="125"/>
      <c r="Y575" s="3"/>
    </row>
    <row r="576" spans="8:25" x14ac:dyDescent="0.3">
      <c r="H576" s="160">
        <v>41415</v>
      </c>
      <c r="I576" s="159">
        <v>58.000799000000001</v>
      </c>
      <c r="J576" s="123">
        <f t="shared" si="116"/>
        <v>2.1362488299177227E-2</v>
      </c>
      <c r="K576" s="165">
        <v>1669.160034</v>
      </c>
      <c r="L576" s="124">
        <f t="shared" si="117"/>
        <v>1.7223862189816627E-3</v>
      </c>
      <c r="N576" s="150"/>
      <c r="O576" s="154"/>
      <c r="P576" s="125"/>
      <c r="Q576" s="154"/>
      <c r="R576" s="125"/>
      <c r="S576" s="3"/>
      <c r="T576" s="150"/>
      <c r="U576" s="154"/>
      <c r="V576" s="125"/>
      <c r="W576" s="154"/>
      <c r="X576" s="125"/>
      <c r="Y576" s="3"/>
    </row>
    <row r="577" spans="8:25" x14ac:dyDescent="0.3">
      <c r="H577" s="160">
        <v>41414</v>
      </c>
      <c r="I577" s="159">
        <v>56.787672999999998</v>
      </c>
      <c r="J577" s="123">
        <f t="shared" si="116"/>
        <v>-1.6705233290485497E-2</v>
      </c>
      <c r="K577" s="165">
        <v>1666.290039</v>
      </c>
      <c r="L577" s="124">
        <f t="shared" si="117"/>
        <v>-7.0761814036890262E-4</v>
      </c>
      <c r="N577" s="150"/>
      <c r="O577" s="154"/>
      <c r="P577" s="125"/>
      <c r="Q577" s="154"/>
      <c r="R577" s="125"/>
      <c r="S577" s="3"/>
      <c r="T577" s="150"/>
      <c r="U577" s="154"/>
      <c r="V577" s="125"/>
      <c r="W577" s="154"/>
      <c r="X577" s="125"/>
      <c r="Y577" s="3"/>
    </row>
    <row r="578" spans="8:25" x14ac:dyDescent="0.3">
      <c r="H578" s="160">
        <v>41411</v>
      </c>
      <c r="I578" s="159">
        <v>57.752440999999997</v>
      </c>
      <c r="J578" s="123">
        <f t="shared" si="116"/>
        <v>2.387807916322611E-2</v>
      </c>
      <c r="K578" s="165">
        <v>1667.469971</v>
      </c>
      <c r="L578" s="124">
        <f t="shared" si="117"/>
        <v>1.0300096517175592E-2</v>
      </c>
      <c r="N578" s="150"/>
      <c r="O578" s="154"/>
      <c r="P578" s="125"/>
      <c r="Q578" s="154"/>
      <c r="R578" s="125"/>
      <c r="S578" s="3"/>
      <c r="T578" s="150"/>
      <c r="U578" s="154"/>
      <c r="V578" s="125"/>
      <c r="W578" s="154"/>
      <c r="X578" s="125"/>
      <c r="Y578" s="3"/>
    </row>
    <row r="579" spans="8:25" x14ac:dyDescent="0.3">
      <c r="H579" s="160">
        <v>41410</v>
      </c>
      <c r="I579" s="159">
        <v>56.405583999999998</v>
      </c>
      <c r="J579" s="123">
        <f t="shared" si="116"/>
        <v>-8.729243237241566E-3</v>
      </c>
      <c r="K579" s="165">
        <v>1650.469971</v>
      </c>
      <c r="L579" s="124">
        <f t="shared" si="117"/>
        <v>-5.009740806326061E-3</v>
      </c>
      <c r="N579" s="150"/>
      <c r="O579" s="154"/>
      <c r="P579" s="125"/>
      <c r="Q579" s="154"/>
      <c r="R579" s="125"/>
      <c r="S579" s="3"/>
      <c r="T579" s="150"/>
      <c r="U579" s="154"/>
      <c r="V579" s="125"/>
      <c r="W579" s="154"/>
      <c r="X579" s="125"/>
      <c r="Y579" s="3"/>
    </row>
    <row r="580" spans="8:25" x14ac:dyDescent="0.3">
      <c r="H580" s="160">
        <v>41409</v>
      </c>
      <c r="I580" s="159">
        <v>56.902298000000002</v>
      </c>
      <c r="J580" s="123">
        <f t="shared" si="116"/>
        <v>6.0800674078248396E-3</v>
      </c>
      <c r="K580" s="165">
        <v>1658.780029</v>
      </c>
      <c r="L580" s="124">
        <f t="shared" si="117"/>
        <v>5.1141359803923026E-3</v>
      </c>
      <c r="N580" s="150"/>
      <c r="O580" s="154"/>
      <c r="P580" s="125"/>
      <c r="Q580" s="154"/>
      <c r="R580" s="125"/>
      <c r="S580" s="3"/>
      <c r="T580" s="150"/>
      <c r="U580" s="154"/>
      <c r="V580" s="125"/>
      <c r="W580" s="154"/>
      <c r="X580" s="125"/>
      <c r="Y580" s="3"/>
    </row>
    <row r="581" spans="8:25" x14ac:dyDescent="0.3">
      <c r="H581" s="160">
        <v>41408</v>
      </c>
      <c r="I581" s="159">
        <v>56.558419000000001</v>
      </c>
      <c r="J581" s="123">
        <f t="shared" si="116"/>
        <v>2.2448617040837109E-2</v>
      </c>
      <c r="K581" s="165">
        <v>1650.339966</v>
      </c>
      <c r="L581" s="124">
        <f t="shared" si="117"/>
        <v>1.0142153300132213E-2</v>
      </c>
      <c r="N581" s="150"/>
      <c r="O581" s="154"/>
      <c r="P581" s="125"/>
      <c r="Q581" s="154"/>
      <c r="R581" s="125"/>
      <c r="S581" s="3"/>
      <c r="T581" s="150"/>
      <c r="U581" s="154"/>
      <c r="V581" s="125"/>
      <c r="W581" s="154"/>
      <c r="X581" s="125"/>
      <c r="Y581" s="3"/>
    </row>
    <row r="582" spans="8:25" x14ac:dyDescent="0.3">
      <c r="H582" s="160">
        <v>41407</v>
      </c>
      <c r="I582" s="159">
        <v>55.316637</v>
      </c>
      <c r="J582" s="123">
        <f t="shared" si="116"/>
        <v>-9.5775838669501651E-3</v>
      </c>
      <c r="K582" s="165">
        <v>1633.7700199999999</v>
      </c>
      <c r="L582" s="124">
        <f t="shared" si="117"/>
        <v>4.2889760728085995E-5</v>
      </c>
      <c r="N582" s="150"/>
      <c r="O582" s="154"/>
      <c r="P582" s="125"/>
      <c r="Q582" s="154"/>
      <c r="R582" s="125"/>
      <c r="S582" s="3"/>
      <c r="T582" s="150"/>
      <c r="U582" s="154"/>
      <c r="V582" s="125"/>
      <c r="W582" s="154"/>
      <c r="X582" s="125"/>
      <c r="Y582" s="3"/>
    </row>
    <row r="583" spans="8:25" x14ac:dyDescent="0.3">
      <c r="H583" s="160">
        <v>41404</v>
      </c>
      <c r="I583" s="159">
        <v>55.851559999999999</v>
      </c>
      <c r="J583" s="123">
        <f t="shared" si="116"/>
        <v>1.3696260216856292E-2</v>
      </c>
      <c r="K583" s="165">
        <v>1633.6999510000001</v>
      </c>
      <c r="L583" s="124">
        <f t="shared" si="117"/>
        <v>4.3216551665963389E-3</v>
      </c>
      <c r="N583" s="150"/>
      <c r="O583" s="154"/>
      <c r="P583" s="125"/>
      <c r="Q583" s="154"/>
      <c r="R583" s="125"/>
      <c r="S583" s="3"/>
      <c r="T583" s="150"/>
      <c r="U583" s="154"/>
      <c r="V583" s="125"/>
      <c r="W583" s="154"/>
      <c r="X583" s="125"/>
      <c r="Y583" s="3"/>
    </row>
    <row r="584" spans="8:25" x14ac:dyDescent="0.3">
      <c r="H584" s="160">
        <v>41403</v>
      </c>
      <c r="I584" s="159">
        <v>55.096938000000002</v>
      </c>
      <c r="J584" s="123">
        <f t="shared" si="116"/>
        <v>-2.2538516295995709E-2</v>
      </c>
      <c r="K584" s="165">
        <v>1626.670044</v>
      </c>
      <c r="L584" s="124">
        <f t="shared" si="117"/>
        <v>-3.6871036250232694E-3</v>
      </c>
      <c r="N584" s="150"/>
      <c r="O584" s="154"/>
      <c r="P584" s="125"/>
      <c r="Q584" s="154"/>
      <c r="R584" s="125"/>
      <c r="S584" s="3"/>
      <c r="T584" s="150"/>
      <c r="U584" s="154"/>
      <c r="V584" s="125"/>
      <c r="W584" s="154"/>
      <c r="X584" s="125"/>
      <c r="Y584" s="3"/>
    </row>
    <row r="585" spans="8:25" x14ac:dyDescent="0.3">
      <c r="H585" s="160">
        <v>41402</v>
      </c>
      <c r="I585" s="159">
        <v>56.367375000000003</v>
      </c>
      <c r="J585" s="123">
        <f t="shared" si="116"/>
        <v>3.0596077379162799E-3</v>
      </c>
      <c r="K585" s="165">
        <v>1632.6899410000001</v>
      </c>
      <c r="L585" s="124">
        <f t="shared" si="117"/>
        <v>4.139081011478897E-3</v>
      </c>
      <c r="N585" s="150"/>
      <c r="O585" s="154"/>
      <c r="P585" s="125"/>
      <c r="Q585" s="154"/>
      <c r="R585" s="125"/>
      <c r="S585" s="3"/>
      <c r="T585" s="150"/>
      <c r="U585" s="154"/>
      <c r="V585" s="125"/>
      <c r="W585" s="154"/>
      <c r="X585" s="125"/>
      <c r="Y585" s="3"/>
    </row>
    <row r="586" spans="8:25" x14ac:dyDescent="0.3">
      <c r="H586" s="160">
        <v>41401</v>
      </c>
      <c r="I586" s="159">
        <v>56.195439</v>
      </c>
      <c r="J586" s="123">
        <f t="shared" ref="J586:J649" si="118">(I586-I587)/I587</f>
        <v>1.2041989968589196E-2</v>
      </c>
      <c r="K586" s="165">
        <v>1625.959961</v>
      </c>
      <c r="L586" s="124">
        <f t="shared" ref="L586:L649" si="119">(K586-K587)/K587</f>
        <v>5.2302695517774476E-3</v>
      </c>
      <c r="N586" s="150"/>
      <c r="O586" s="154"/>
      <c r="P586" s="125"/>
      <c r="Q586" s="154"/>
      <c r="R586" s="125"/>
      <c r="S586" s="3"/>
      <c r="T586" s="150"/>
      <c r="U586" s="154"/>
      <c r="V586" s="125"/>
      <c r="W586" s="154"/>
      <c r="X586" s="125"/>
      <c r="Y586" s="3"/>
    </row>
    <row r="587" spans="8:25" x14ac:dyDescent="0.3">
      <c r="H587" s="160">
        <v>41400</v>
      </c>
      <c r="I587" s="159">
        <v>55.526786000000001</v>
      </c>
      <c r="J587" s="123">
        <f t="shared" si="118"/>
        <v>1.7147837376032423E-2</v>
      </c>
      <c r="K587" s="165">
        <v>1617.5</v>
      </c>
      <c r="L587" s="124">
        <f t="shared" si="119"/>
        <v>1.9077785929669977E-3</v>
      </c>
      <c r="N587" s="150"/>
      <c r="O587" s="154"/>
      <c r="P587" s="125"/>
      <c r="Q587" s="154"/>
      <c r="R587" s="125"/>
      <c r="S587" s="3"/>
      <c r="T587" s="150"/>
      <c r="U587" s="154"/>
      <c r="V587" s="125"/>
      <c r="W587" s="154"/>
      <c r="X587" s="125"/>
      <c r="Y587" s="3"/>
    </row>
    <row r="588" spans="8:25" x14ac:dyDescent="0.3">
      <c r="H588" s="160">
        <v>41397</v>
      </c>
      <c r="I588" s="159">
        <v>54.590674</v>
      </c>
      <c r="J588" s="123">
        <f t="shared" si="118"/>
        <v>8.6481037797581546E-3</v>
      </c>
      <c r="K588" s="165">
        <v>1614.420044</v>
      </c>
      <c r="L588" s="124">
        <f t="shared" si="119"/>
        <v>1.0534666815752871E-2</v>
      </c>
      <c r="N588" s="150"/>
      <c r="O588" s="154"/>
      <c r="P588" s="125"/>
      <c r="Q588" s="154"/>
      <c r="R588" s="125"/>
      <c r="S588" s="3"/>
      <c r="T588" s="150"/>
      <c r="U588" s="154"/>
      <c r="V588" s="125"/>
      <c r="W588" s="154"/>
      <c r="X588" s="125"/>
      <c r="Y588" s="3"/>
    </row>
    <row r="589" spans="8:25" x14ac:dyDescent="0.3">
      <c r="H589" s="160">
        <v>41396</v>
      </c>
      <c r="I589" s="159">
        <v>54.122616000000001</v>
      </c>
      <c r="J589" s="123">
        <f t="shared" si="118"/>
        <v>3.3941619623355103E-2</v>
      </c>
      <c r="K589" s="165">
        <v>1597.589966</v>
      </c>
      <c r="L589" s="124">
        <f t="shared" si="119"/>
        <v>9.4079834845461167E-3</v>
      </c>
      <c r="N589" s="150"/>
      <c r="O589" s="154"/>
      <c r="P589" s="125"/>
      <c r="Q589" s="154"/>
      <c r="R589" s="125"/>
      <c r="S589" s="3"/>
      <c r="T589" s="150"/>
      <c r="U589" s="154"/>
      <c r="V589" s="125"/>
      <c r="W589" s="154"/>
      <c r="X589" s="125"/>
      <c r="Y589" s="3"/>
    </row>
    <row r="590" spans="8:25" x14ac:dyDescent="0.3">
      <c r="H590" s="160">
        <v>41395</v>
      </c>
      <c r="I590" s="159">
        <v>52.345911000000001</v>
      </c>
      <c r="J590" s="123">
        <f t="shared" si="118"/>
        <v>-8.6830618235236162E-3</v>
      </c>
      <c r="K590" s="165">
        <v>1582.6999510000001</v>
      </c>
      <c r="L590" s="124">
        <f t="shared" si="119"/>
        <v>-9.3078835372632975E-3</v>
      </c>
      <c r="N590" s="150"/>
      <c r="O590" s="154"/>
      <c r="P590" s="125"/>
      <c r="Q590" s="154"/>
      <c r="R590" s="125"/>
      <c r="S590" s="3"/>
      <c r="T590" s="150"/>
      <c r="U590" s="154"/>
      <c r="V590" s="125"/>
      <c r="W590" s="154"/>
      <c r="X590" s="125"/>
      <c r="Y590" s="3"/>
    </row>
    <row r="591" spans="8:25" x14ac:dyDescent="0.3">
      <c r="H591" s="160">
        <v>41394</v>
      </c>
      <c r="I591" s="159">
        <v>52.804414999999999</v>
      </c>
      <c r="J591" s="123">
        <f t="shared" si="118"/>
        <v>2.1433848257371622E-2</v>
      </c>
      <c r="K591" s="165">
        <v>1597.5699460000001</v>
      </c>
      <c r="L591" s="124">
        <f t="shared" si="119"/>
        <v>2.4848997165388752E-3</v>
      </c>
      <c r="N591" s="150"/>
      <c r="O591" s="154"/>
      <c r="P591" s="125"/>
      <c r="Q591" s="154"/>
      <c r="R591" s="125"/>
      <c r="S591" s="3"/>
      <c r="T591" s="150"/>
      <c r="U591" s="154"/>
      <c r="V591" s="125"/>
      <c r="W591" s="154"/>
      <c r="X591" s="125"/>
      <c r="Y591" s="3"/>
    </row>
    <row r="592" spans="8:25" x14ac:dyDescent="0.3">
      <c r="H592" s="160">
        <v>41393</v>
      </c>
      <c r="I592" s="159">
        <v>51.696362999999998</v>
      </c>
      <c r="J592" s="123">
        <f t="shared" si="118"/>
        <v>1.5575126866437163E-2</v>
      </c>
      <c r="K592" s="165">
        <v>1593.6099850000001</v>
      </c>
      <c r="L592" s="124">
        <f t="shared" si="119"/>
        <v>7.186011649218913E-3</v>
      </c>
      <c r="N592" s="150"/>
      <c r="O592" s="154"/>
      <c r="P592" s="125"/>
      <c r="Q592" s="154"/>
      <c r="R592" s="125"/>
      <c r="S592" s="3"/>
      <c r="T592" s="150"/>
      <c r="U592" s="154"/>
      <c r="V592" s="125"/>
      <c r="W592" s="154"/>
      <c r="X592" s="125"/>
      <c r="Y592" s="3"/>
    </row>
    <row r="593" spans="8:25" x14ac:dyDescent="0.3">
      <c r="H593" s="160">
        <v>41390</v>
      </c>
      <c r="I593" s="159">
        <v>50.903534000000001</v>
      </c>
      <c r="J593" s="123">
        <f t="shared" si="118"/>
        <v>1.3117911254325597E-2</v>
      </c>
      <c r="K593" s="165">
        <v>1582.23999</v>
      </c>
      <c r="L593" s="124">
        <f t="shared" si="119"/>
        <v>-1.842113059481767E-3</v>
      </c>
      <c r="N593" s="150"/>
      <c r="O593" s="154"/>
      <c r="P593" s="125"/>
      <c r="Q593" s="154"/>
      <c r="R593" s="125"/>
      <c r="S593" s="3"/>
      <c r="T593" s="150"/>
      <c r="U593" s="154"/>
      <c r="V593" s="125"/>
      <c r="W593" s="154"/>
      <c r="X593" s="125"/>
      <c r="Y593" s="3"/>
    </row>
    <row r="594" spans="8:25" x14ac:dyDescent="0.3">
      <c r="H594" s="160">
        <v>41389</v>
      </c>
      <c r="I594" s="159">
        <v>50.244432000000003</v>
      </c>
      <c r="J594" s="123">
        <f t="shared" si="118"/>
        <v>-5.6711325720843735E-3</v>
      </c>
      <c r="K594" s="165">
        <v>1585.160034</v>
      </c>
      <c r="L594" s="124">
        <f t="shared" si="119"/>
        <v>4.034732195317592E-3</v>
      </c>
      <c r="N594" s="150"/>
      <c r="O594" s="154"/>
      <c r="P594" s="125"/>
      <c r="Q594" s="154"/>
      <c r="R594" s="125"/>
      <c r="S594" s="3"/>
      <c r="T594" s="150"/>
      <c r="U594" s="154"/>
      <c r="V594" s="125"/>
      <c r="W594" s="154"/>
      <c r="X594" s="125"/>
      <c r="Y594" s="3"/>
    </row>
    <row r="595" spans="8:25" x14ac:dyDescent="0.3">
      <c r="H595" s="160">
        <v>41388</v>
      </c>
      <c r="I595" s="159">
        <v>50.530999999999999</v>
      </c>
      <c r="J595" s="123">
        <f t="shared" si="118"/>
        <v>-6.3861775066091399E-3</v>
      </c>
      <c r="K595" s="165">
        <v>1578.790039</v>
      </c>
      <c r="L595" s="124">
        <f t="shared" si="119"/>
        <v>6.3403386260883958E-6</v>
      </c>
      <c r="N595" s="150"/>
      <c r="O595" s="154"/>
      <c r="P595" s="125"/>
      <c r="Q595" s="154"/>
      <c r="R595" s="125"/>
      <c r="S595" s="3"/>
      <c r="T595" s="150"/>
      <c r="U595" s="154"/>
      <c r="V595" s="125"/>
      <c r="W595" s="154"/>
      <c r="X595" s="125"/>
      <c r="Y595" s="3"/>
    </row>
    <row r="596" spans="8:25" x14ac:dyDescent="0.3">
      <c r="H596" s="160">
        <v>41387</v>
      </c>
      <c r="I596" s="159">
        <v>50.855773999999997</v>
      </c>
      <c r="J596" s="123">
        <f t="shared" si="118"/>
        <v>5.4048780067213864E-2</v>
      </c>
      <c r="K596" s="165">
        <v>1578.780029</v>
      </c>
      <c r="L596" s="124">
        <f t="shared" si="119"/>
        <v>1.0419218560000009E-2</v>
      </c>
      <c r="N596" s="150"/>
      <c r="O596" s="154"/>
      <c r="P596" s="125"/>
      <c r="Q596" s="154"/>
      <c r="R596" s="125"/>
      <c r="S596" s="3"/>
      <c r="T596" s="150"/>
      <c r="U596" s="154"/>
      <c r="V596" s="125"/>
      <c r="W596" s="154"/>
      <c r="X596" s="125"/>
      <c r="Y596" s="3"/>
    </row>
    <row r="597" spans="8:25" x14ac:dyDescent="0.3">
      <c r="H597" s="160">
        <v>41386</v>
      </c>
      <c r="I597" s="159">
        <v>48.248027</v>
      </c>
      <c r="J597" s="123">
        <f t="shared" si="118"/>
        <v>1.1616219338938655E-2</v>
      </c>
      <c r="K597" s="165">
        <v>1562.5</v>
      </c>
      <c r="L597" s="124">
        <f t="shared" si="119"/>
        <v>4.6616299630284517E-3</v>
      </c>
      <c r="N597" s="150"/>
      <c r="O597" s="154"/>
      <c r="P597" s="125"/>
      <c r="Q597" s="154"/>
      <c r="R597" s="125"/>
      <c r="S597" s="3"/>
      <c r="T597" s="150"/>
      <c r="U597" s="154"/>
      <c r="V597" s="125"/>
      <c r="W597" s="154"/>
      <c r="X597" s="125"/>
      <c r="Y597" s="3"/>
    </row>
    <row r="598" spans="8:25" x14ac:dyDescent="0.3">
      <c r="H598" s="160">
        <v>41383</v>
      </c>
      <c r="I598" s="159">
        <v>47.694003000000002</v>
      </c>
      <c r="J598" s="123">
        <f t="shared" si="118"/>
        <v>1.3807110742381922E-2</v>
      </c>
      <c r="K598" s="165">
        <v>1555.25</v>
      </c>
      <c r="L598" s="124">
        <f t="shared" si="119"/>
        <v>8.8479026035887722E-3</v>
      </c>
      <c r="N598" s="150"/>
      <c r="O598" s="154"/>
      <c r="P598" s="125"/>
      <c r="Q598" s="154"/>
      <c r="R598" s="125"/>
      <c r="S598" s="3"/>
      <c r="T598" s="150"/>
      <c r="U598" s="154"/>
      <c r="V598" s="125"/>
      <c r="W598" s="154"/>
      <c r="X598" s="125"/>
      <c r="Y598" s="3"/>
    </row>
    <row r="599" spans="8:25" x14ac:dyDescent="0.3">
      <c r="H599" s="160">
        <v>41382</v>
      </c>
      <c r="I599" s="159">
        <v>47.044454999999999</v>
      </c>
      <c r="J599" s="123">
        <f t="shared" si="118"/>
        <v>-2.6102433970967513E-2</v>
      </c>
      <c r="K599" s="165">
        <v>1541.6099850000001</v>
      </c>
      <c r="L599" s="124">
        <f t="shared" si="119"/>
        <v>-6.7010038163348665E-3</v>
      </c>
      <c r="N599" s="150"/>
      <c r="O599" s="154"/>
      <c r="P599" s="125"/>
      <c r="Q599" s="154"/>
      <c r="R599" s="125"/>
      <c r="S599" s="3"/>
      <c r="T599" s="150"/>
      <c r="U599" s="154"/>
      <c r="V599" s="125"/>
      <c r="W599" s="154"/>
      <c r="X599" s="125"/>
      <c r="Y599" s="3"/>
    </row>
    <row r="600" spans="8:25" x14ac:dyDescent="0.3">
      <c r="H600" s="160">
        <v>41381</v>
      </c>
      <c r="I600" s="159">
        <v>48.305342000000003</v>
      </c>
      <c r="J600" s="123">
        <f t="shared" si="118"/>
        <v>-2.8060707817901962E-2</v>
      </c>
      <c r="K600" s="165">
        <v>1552.01001</v>
      </c>
      <c r="L600" s="124">
        <f t="shared" si="119"/>
        <v>-1.4327681064477847E-2</v>
      </c>
      <c r="N600" s="150"/>
      <c r="O600" s="154"/>
      <c r="P600" s="125"/>
      <c r="Q600" s="154"/>
      <c r="R600" s="125"/>
      <c r="S600" s="3"/>
      <c r="T600" s="150"/>
      <c r="U600" s="154"/>
      <c r="V600" s="125"/>
      <c r="W600" s="154"/>
      <c r="X600" s="125"/>
      <c r="Y600" s="3"/>
    </row>
    <row r="601" spans="8:25" x14ac:dyDescent="0.3">
      <c r="H601" s="160">
        <v>41380</v>
      </c>
      <c r="I601" s="159">
        <v>49.699958000000002</v>
      </c>
      <c r="J601" s="123">
        <f t="shared" si="118"/>
        <v>1.7005450499008357E-2</v>
      </c>
      <c r="K601" s="165">
        <v>1574.5699460000001</v>
      </c>
      <c r="L601" s="124">
        <f t="shared" si="119"/>
        <v>1.4307223333897015E-2</v>
      </c>
      <c r="N601" s="150"/>
      <c r="O601" s="154"/>
      <c r="P601" s="125"/>
      <c r="Q601" s="154"/>
      <c r="R601" s="125"/>
      <c r="S601" s="3"/>
      <c r="T601" s="150"/>
      <c r="U601" s="154"/>
      <c r="V601" s="125"/>
      <c r="W601" s="154"/>
      <c r="X601" s="125"/>
      <c r="Y601" s="3"/>
    </row>
    <row r="602" spans="8:25" x14ac:dyDescent="0.3">
      <c r="H602" s="160">
        <v>41379</v>
      </c>
      <c r="I602" s="159">
        <v>48.868920000000003</v>
      </c>
      <c r="J602" s="123">
        <f t="shared" si="118"/>
        <v>-2.2171251191448745E-2</v>
      </c>
      <c r="K602" s="165">
        <v>1552.3599850000001</v>
      </c>
      <c r="L602" s="124">
        <f t="shared" si="119"/>
        <v>-2.2966291060320925E-2</v>
      </c>
      <c r="N602" s="150"/>
      <c r="O602" s="154"/>
      <c r="P602" s="125"/>
      <c r="Q602" s="154"/>
      <c r="R602" s="125"/>
      <c r="S602" s="3"/>
      <c r="T602" s="150"/>
      <c r="U602" s="154"/>
      <c r="V602" s="125"/>
      <c r="W602" s="154"/>
      <c r="X602" s="125"/>
      <c r="Y602" s="3"/>
    </row>
    <row r="603" spans="8:25" x14ac:dyDescent="0.3">
      <c r="H603" s="160">
        <v>41376</v>
      </c>
      <c r="I603" s="159">
        <v>49.976972000000004</v>
      </c>
      <c r="J603" s="123">
        <f t="shared" si="118"/>
        <v>-1.3361285626439865E-3</v>
      </c>
      <c r="K603" s="165">
        <v>1588.849976</v>
      </c>
      <c r="L603" s="124">
        <f t="shared" si="119"/>
        <v>-2.836766736027339E-3</v>
      </c>
      <c r="N603" s="150"/>
      <c r="O603" s="154"/>
      <c r="P603" s="125"/>
      <c r="Q603" s="154"/>
      <c r="R603" s="125"/>
      <c r="S603" s="3"/>
      <c r="T603" s="150"/>
      <c r="U603" s="154"/>
      <c r="V603" s="125"/>
      <c r="W603" s="154"/>
      <c r="X603" s="125"/>
      <c r="Y603" s="3"/>
    </row>
    <row r="604" spans="8:25" x14ac:dyDescent="0.3">
      <c r="H604" s="160">
        <v>41375</v>
      </c>
      <c r="I604" s="159">
        <v>50.043837000000003</v>
      </c>
      <c r="J604" s="123">
        <f t="shared" si="118"/>
        <v>-1.541063269083826E-2</v>
      </c>
      <c r="K604" s="165">
        <v>1593.369995</v>
      </c>
      <c r="L604" s="124">
        <f t="shared" si="119"/>
        <v>3.5522507422829845E-3</v>
      </c>
      <c r="N604" s="150"/>
      <c r="O604" s="154"/>
      <c r="P604" s="125"/>
      <c r="Q604" s="154"/>
      <c r="R604" s="125"/>
      <c r="S604" s="3"/>
      <c r="T604" s="150"/>
      <c r="U604" s="154"/>
      <c r="V604" s="125"/>
      <c r="W604" s="154"/>
      <c r="X604" s="125"/>
      <c r="Y604" s="3"/>
    </row>
    <row r="605" spans="8:25" x14ac:dyDescent="0.3">
      <c r="H605" s="160">
        <v>41374</v>
      </c>
      <c r="I605" s="159">
        <v>50.827114999999999</v>
      </c>
      <c r="J605" s="123">
        <f t="shared" si="118"/>
        <v>3.1801425558325443E-2</v>
      </c>
      <c r="K605" s="165">
        <v>1587.7299800000001</v>
      </c>
      <c r="L605" s="124">
        <f t="shared" si="119"/>
        <v>1.2189132533158021E-2</v>
      </c>
      <c r="N605" s="150"/>
      <c r="O605" s="154"/>
      <c r="P605" s="125"/>
      <c r="Q605" s="154"/>
      <c r="R605" s="125"/>
      <c r="S605" s="3"/>
      <c r="T605" s="150"/>
      <c r="U605" s="154"/>
      <c r="V605" s="125"/>
      <c r="W605" s="154"/>
      <c r="X605" s="125"/>
      <c r="Y605" s="3"/>
    </row>
    <row r="606" spans="8:25" x14ac:dyDescent="0.3">
      <c r="H606" s="160">
        <v>41373</v>
      </c>
      <c r="I606" s="159">
        <v>49.260559000000001</v>
      </c>
      <c r="J606" s="123">
        <f t="shared" si="118"/>
        <v>2.6677279018456027E-2</v>
      </c>
      <c r="K606" s="165">
        <v>1568.6099850000001</v>
      </c>
      <c r="L606" s="124">
        <f t="shared" si="119"/>
        <v>3.5443321101383254E-3</v>
      </c>
      <c r="N606" s="150"/>
      <c r="O606" s="154"/>
      <c r="P606" s="125"/>
      <c r="Q606" s="154"/>
      <c r="R606" s="125"/>
      <c r="S606" s="3"/>
      <c r="T606" s="150"/>
      <c r="U606" s="154"/>
      <c r="V606" s="125"/>
      <c r="W606" s="154"/>
      <c r="X606" s="125"/>
      <c r="Y606" s="3"/>
    </row>
    <row r="607" spans="8:25" x14ac:dyDescent="0.3">
      <c r="H607" s="160">
        <v>41372</v>
      </c>
      <c r="I607" s="159">
        <v>47.980567999999998</v>
      </c>
      <c r="J607" s="123">
        <f t="shared" si="118"/>
        <v>8.6345494992792308E-3</v>
      </c>
      <c r="K607" s="165">
        <v>1563.0699460000001</v>
      </c>
      <c r="L607" s="124">
        <f t="shared" si="119"/>
        <v>6.3027379591706961E-3</v>
      </c>
      <c r="N607" s="150"/>
      <c r="O607" s="154"/>
      <c r="P607" s="125"/>
      <c r="Q607" s="154"/>
      <c r="R607" s="125"/>
      <c r="S607" s="3"/>
      <c r="T607" s="150"/>
      <c r="U607" s="154"/>
      <c r="V607" s="125"/>
      <c r="W607" s="154"/>
      <c r="X607" s="125"/>
      <c r="Y607" s="3"/>
    </row>
    <row r="608" spans="8:25" x14ac:dyDescent="0.3">
      <c r="H608" s="160">
        <v>41369</v>
      </c>
      <c r="I608" s="159">
        <v>47.569823999999997</v>
      </c>
      <c r="J608" s="123">
        <f t="shared" si="118"/>
        <v>-1.9298916322323962E-2</v>
      </c>
      <c r="K608" s="165">
        <v>1553.280029</v>
      </c>
      <c r="L608" s="124">
        <f t="shared" si="119"/>
        <v>-4.2948955024410349E-3</v>
      </c>
      <c r="N608" s="150"/>
      <c r="O608" s="154"/>
      <c r="P608" s="125"/>
      <c r="Q608" s="154"/>
      <c r="R608" s="125"/>
      <c r="S608" s="3"/>
      <c r="T608" s="150"/>
      <c r="U608" s="154"/>
      <c r="V608" s="125"/>
      <c r="W608" s="154"/>
      <c r="X608" s="125"/>
      <c r="Y608" s="3"/>
    </row>
    <row r="609" spans="8:25" x14ac:dyDescent="0.3">
      <c r="H609" s="160">
        <v>41368</v>
      </c>
      <c r="I609" s="159">
        <v>48.505935999999998</v>
      </c>
      <c r="J609" s="123">
        <f t="shared" si="118"/>
        <v>3.557309775146505E-3</v>
      </c>
      <c r="K609" s="165">
        <v>1559.9799800000001</v>
      </c>
      <c r="L609" s="124">
        <f t="shared" si="119"/>
        <v>4.0484519040855258E-3</v>
      </c>
      <c r="N609" s="150"/>
      <c r="O609" s="154"/>
      <c r="P609" s="125"/>
      <c r="Q609" s="154"/>
      <c r="R609" s="125"/>
      <c r="S609" s="3"/>
      <c r="T609" s="150"/>
      <c r="U609" s="154"/>
      <c r="V609" s="125"/>
      <c r="W609" s="154"/>
      <c r="X609" s="125"/>
      <c r="Y609" s="3"/>
    </row>
    <row r="610" spans="8:25" x14ac:dyDescent="0.3">
      <c r="H610" s="160">
        <v>41367</v>
      </c>
      <c r="I610" s="159">
        <v>48.333996999999997</v>
      </c>
      <c r="J610" s="123">
        <f t="shared" si="118"/>
        <v>1.0585155687809716E-2</v>
      </c>
      <c r="K610" s="165">
        <v>1553.6899410000001</v>
      </c>
      <c r="L610" s="124">
        <f t="shared" si="119"/>
        <v>-1.0546128960356574E-2</v>
      </c>
      <c r="N610" s="150"/>
      <c r="O610" s="154"/>
      <c r="P610" s="125"/>
      <c r="Q610" s="154"/>
      <c r="R610" s="125"/>
      <c r="S610" s="3"/>
      <c r="T610" s="150"/>
      <c r="U610" s="154"/>
      <c r="V610" s="125"/>
      <c r="W610" s="154"/>
      <c r="X610" s="125"/>
      <c r="Y610" s="3"/>
    </row>
    <row r="611" spans="8:25" x14ac:dyDescent="0.3">
      <c r="H611" s="160">
        <v>41366</v>
      </c>
      <c r="I611" s="159">
        <v>47.827733000000002</v>
      </c>
      <c r="J611" s="123">
        <f t="shared" si="118"/>
        <v>-6.5476453086926369E-3</v>
      </c>
      <c r="K611" s="165">
        <v>1570.25</v>
      </c>
      <c r="L611" s="124">
        <f t="shared" si="119"/>
        <v>5.1722640765220294E-3</v>
      </c>
      <c r="N611" s="150"/>
      <c r="O611" s="154"/>
      <c r="P611" s="125"/>
      <c r="Q611" s="154"/>
      <c r="R611" s="125"/>
      <c r="S611" s="3"/>
      <c r="T611" s="150"/>
      <c r="U611" s="154"/>
      <c r="V611" s="125"/>
      <c r="W611" s="154"/>
      <c r="X611" s="125"/>
      <c r="Y611" s="3"/>
    </row>
    <row r="612" spans="8:25" x14ac:dyDescent="0.3">
      <c r="H612" s="160">
        <v>41365</v>
      </c>
      <c r="I612" s="159">
        <v>48.142955999999998</v>
      </c>
      <c r="J612" s="123">
        <f t="shared" si="118"/>
        <v>2.1873154191101676E-3</v>
      </c>
      <c r="K612" s="165">
        <v>1562.170044</v>
      </c>
      <c r="L612" s="124">
        <f t="shared" si="119"/>
        <v>-4.4735801680748401E-3</v>
      </c>
      <c r="N612" s="150"/>
      <c r="O612" s="154"/>
      <c r="P612" s="125"/>
      <c r="Q612" s="154"/>
      <c r="R612" s="125"/>
      <c r="S612" s="3"/>
      <c r="T612" s="150"/>
      <c r="U612" s="154"/>
      <c r="V612" s="125"/>
      <c r="W612" s="154"/>
      <c r="X612" s="125"/>
      <c r="Y612" s="3"/>
    </row>
    <row r="613" spans="8:25" x14ac:dyDescent="0.3">
      <c r="H613" s="160">
        <v>41361</v>
      </c>
      <c r="I613" s="159">
        <v>48.037882000000003</v>
      </c>
      <c r="J613" s="123">
        <f t="shared" si="118"/>
        <v>2.9916526285490757E-3</v>
      </c>
      <c r="K613" s="165">
        <v>1569.1899410000001</v>
      </c>
      <c r="L613" s="124">
        <f t="shared" si="119"/>
        <v>4.0566689684615768E-3</v>
      </c>
      <c r="N613" s="150"/>
      <c r="O613" s="154"/>
      <c r="P613" s="125"/>
      <c r="Q613" s="154"/>
      <c r="R613" s="125"/>
      <c r="S613" s="3"/>
      <c r="T613" s="150"/>
      <c r="U613" s="154"/>
      <c r="V613" s="125"/>
      <c r="W613" s="154"/>
      <c r="X613" s="125"/>
      <c r="Y613" s="3"/>
    </row>
    <row r="614" spans="8:25" x14ac:dyDescent="0.3">
      <c r="H614" s="160">
        <v>41360</v>
      </c>
      <c r="I614" s="159">
        <v>47.894598000000002</v>
      </c>
      <c r="J614" s="123">
        <f t="shared" si="118"/>
        <v>2.9991775695564344E-2</v>
      </c>
      <c r="K614" s="165">
        <v>1562.849976</v>
      </c>
      <c r="L614" s="124">
        <f t="shared" si="119"/>
        <v>-5.883499416365341E-4</v>
      </c>
      <c r="N614" s="150"/>
      <c r="O614" s="154"/>
      <c r="P614" s="125"/>
      <c r="Q614" s="154"/>
      <c r="R614" s="125"/>
      <c r="S614" s="3"/>
      <c r="T614" s="150"/>
      <c r="U614" s="154"/>
      <c r="V614" s="125"/>
      <c r="W614" s="154"/>
      <c r="X614" s="125"/>
      <c r="Y614" s="3"/>
    </row>
    <row r="615" spans="8:25" x14ac:dyDescent="0.3">
      <c r="H615" s="160">
        <v>41359</v>
      </c>
      <c r="I615" s="159">
        <v>46.499980999999998</v>
      </c>
      <c r="J615" s="123">
        <f t="shared" si="118"/>
        <v>2.9610890621755381E-2</v>
      </c>
      <c r="K615" s="165">
        <v>1563.7700199999999</v>
      </c>
      <c r="L615" s="124">
        <f t="shared" si="119"/>
        <v>7.7851113684572378E-3</v>
      </c>
      <c r="N615" s="150"/>
      <c r="O615" s="154"/>
      <c r="P615" s="125"/>
      <c r="Q615" s="154"/>
      <c r="R615" s="125"/>
      <c r="S615" s="3"/>
      <c r="T615" s="150"/>
      <c r="U615" s="154"/>
      <c r="V615" s="125"/>
      <c r="W615" s="154"/>
      <c r="X615" s="125"/>
      <c r="Y615" s="3"/>
    </row>
    <row r="616" spans="8:25" x14ac:dyDescent="0.3">
      <c r="H616" s="160">
        <v>41358</v>
      </c>
      <c r="I616" s="159">
        <v>45.162674000000003</v>
      </c>
      <c r="J616" s="123">
        <f t="shared" si="118"/>
        <v>-8.345542923151681E-3</v>
      </c>
      <c r="K616" s="165">
        <v>1551.6899410000001</v>
      </c>
      <c r="L616" s="124">
        <f t="shared" si="119"/>
        <v>-3.3400394054167396E-3</v>
      </c>
      <c r="N616" s="150"/>
      <c r="O616" s="154"/>
      <c r="P616" s="125"/>
      <c r="Q616" s="154"/>
      <c r="R616" s="125"/>
      <c r="S616" s="3"/>
      <c r="T616" s="150"/>
      <c r="U616" s="154"/>
      <c r="V616" s="125"/>
      <c r="W616" s="154"/>
      <c r="X616" s="125"/>
      <c r="Y616" s="3"/>
    </row>
    <row r="617" spans="8:25" x14ac:dyDescent="0.3">
      <c r="H617" s="160">
        <v>41355</v>
      </c>
      <c r="I617" s="159">
        <v>45.542752999999998</v>
      </c>
      <c r="J617" s="123">
        <f t="shared" si="118"/>
        <v>-3.5342638777582347E-3</v>
      </c>
      <c r="K617" s="165">
        <v>1556.8900149999999</v>
      </c>
      <c r="L617" s="124">
        <f t="shared" si="119"/>
        <v>7.1742564681468741E-3</v>
      </c>
      <c r="N617" s="150"/>
      <c r="O617" s="154"/>
      <c r="P617" s="125"/>
      <c r="Q617" s="154"/>
      <c r="R617" s="125"/>
      <c r="S617" s="3"/>
      <c r="T617" s="150"/>
      <c r="U617" s="154"/>
      <c r="V617" s="125"/>
      <c r="W617" s="154"/>
      <c r="X617" s="125"/>
      <c r="Y617" s="3"/>
    </row>
    <row r="618" spans="8:25" x14ac:dyDescent="0.3">
      <c r="H618" s="160">
        <v>41354</v>
      </c>
      <c r="I618" s="159">
        <v>45.704284000000001</v>
      </c>
      <c r="J618" s="123">
        <f t="shared" si="118"/>
        <v>-2.4934191893951737E-2</v>
      </c>
      <c r="K618" s="165">
        <v>1545.8000489999999</v>
      </c>
      <c r="L618" s="124">
        <f t="shared" si="119"/>
        <v>-8.2824337580531295E-3</v>
      </c>
      <c r="N618" s="150"/>
      <c r="O618" s="154"/>
      <c r="P618" s="125"/>
      <c r="Q618" s="154"/>
      <c r="R618" s="125"/>
      <c r="S618" s="3"/>
      <c r="T618" s="150"/>
      <c r="U618" s="154"/>
      <c r="V618" s="125"/>
      <c r="W618" s="154"/>
      <c r="X618" s="125"/>
      <c r="Y618" s="3"/>
    </row>
    <row r="619" spans="8:25" x14ac:dyDescent="0.3">
      <c r="H619" s="160">
        <v>41353</v>
      </c>
      <c r="I619" s="159">
        <v>46.873024999999998</v>
      </c>
      <c r="J619" s="123">
        <f t="shared" si="118"/>
        <v>9.619347667739097E-3</v>
      </c>
      <c r="K619" s="165">
        <v>1558.709961</v>
      </c>
      <c r="L619" s="124">
        <f t="shared" si="119"/>
        <v>6.6974922999565702E-3</v>
      </c>
      <c r="N619" s="150"/>
      <c r="O619" s="154"/>
      <c r="P619" s="125"/>
      <c r="Q619" s="154"/>
      <c r="R619" s="125"/>
      <c r="S619" s="3"/>
      <c r="T619" s="150"/>
      <c r="U619" s="154"/>
      <c r="V619" s="125"/>
      <c r="W619" s="154"/>
      <c r="X619" s="125"/>
      <c r="Y619" s="3"/>
    </row>
    <row r="620" spans="8:25" x14ac:dyDescent="0.3">
      <c r="H620" s="160">
        <v>41352</v>
      </c>
      <c r="I620" s="159">
        <v>46.426433000000003</v>
      </c>
      <c r="J620" s="123">
        <f t="shared" si="118"/>
        <v>-1.4919315841895689E-2</v>
      </c>
      <c r="K620" s="165">
        <v>1548.339966</v>
      </c>
      <c r="L620" s="124">
        <f t="shared" si="119"/>
        <v>-2.422530802229692E-3</v>
      </c>
      <c r="N620" s="150"/>
      <c r="O620" s="154"/>
      <c r="P620" s="125"/>
      <c r="Q620" s="154"/>
      <c r="R620" s="125"/>
      <c r="S620" s="3"/>
      <c r="T620" s="150"/>
      <c r="U620" s="154"/>
      <c r="V620" s="125"/>
      <c r="W620" s="154"/>
      <c r="X620" s="125"/>
      <c r="Y620" s="3"/>
    </row>
    <row r="621" spans="8:25" x14ac:dyDescent="0.3">
      <c r="H621" s="160">
        <v>41351</v>
      </c>
      <c r="I621" s="159">
        <v>47.129573999999998</v>
      </c>
      <c r="J621" s="123">
        <f t="shared" si="118"/>
        <v>-1.1164293128297597E-2</v>
      </c>
      <c r="K621" s="165">
        <v>1552.099976</v>
      </c>
      <c r="L621" s="124">
        <f t="shared" si="119"/>
        <v>-5.5103320753548774E-3</v>
      </c>
      <c r="N621" s="150"/>
      <c r="O621" s="154"/>
      <c r="P621" s="125"/>
      <c r="Q621" s="154"/>
      <c r="R621" s="125"/>
      <c r="S621" s="3"/>
      <c r="T621" s="150"/>
      <c r="U621" s="154"/>
      <c r="V621" s="125"/>
      <c r="W621" s="154"/>
      <c r="X621" s="125"/>
      <c r="Y621" s="3"/>
    </row>
    <row r="622" spans="8:25" x14ac:dyDescent="0.3">
      <c r="H622" s="160">
        <v>41348</v>
      </c>
      <c r="I622" s="159">
        <v>47.661682999999996</v>
      </c>
      <c r="J622" s="123">
        <f t="shared" si="118"/>
        <v>-1.1041048377329483E-2</v>
      </c>
      <c r="K622" s="165">
        <v>1560.6999510000001</v>
      </c>
      <c r="L622" s="124">
        <f t="shared" si="119"/>
        <v>-1.6184624350666643E-3</v>
      </c>
      <c r="N622" s="150"/>
      <c r="O622" s="154"/>
      <c r="P622" s="125"/>
      <c r="Q622" s="154"/>
      <c r="R622" s="125"/>
      <c r="S622" s="3"/>
      <c r="T622" s="150"/>
      <c r="U622" s="154"/>
      <c r="V622" s="125"/>
      <c r="W622" s="154"/>
      <c r="X622" s="125"/>
      <c r="Y622" s="3"/>
    </row>
    <row r="623" spans="8:25" x14ac:dyDescent="0.3">
      <c r="H623" s="160">
        <v>41347</v>
      </c>
      <c r="I623" s="159">
        <v>48.193792999999999</v>
      </c>
      <c r="J623" s="123">
        <f t="shared" si="118"/>
        <v>6.5489664449586166E-3</v>
      </c>
      <c r="K623" s="165">
        <v>1563.2299800000001</v>
      </c>
      <c r="L623" s="124">
        <f t="shared" si="119"/>
        <v>5.6029899183930344E-3</v>
      </c>
      <c r="N623" s="150"/>
      <c r="O623" s="154"/>
      <c r="P623" s="125"/>
      <c r="Q623" s="154"/>
      <c r="R623" s="125"/>
      <c r="S623" s="3"/>
      <c r="T623" s="150"/>
      <c r="U623" s="154"/>
      <c r="V623" s="125"/>
      <c r="W623" s="154"/>
      <c r="X623" s="125"/>
      <c r="Y623" s="3"/>
    </row>
    <row r="624" spans="8:25" x14ac:dyDescent="0.3">
      <c r="H624" s="160">
        <v>41346</v>
      </c>
      <c r="I624" s="159">
        <v>47.880226999999998</v>
      </c>
      <c r="J624" s="123">
        <f t="shared" si="118"/>
        <v>8.0015533423976829E-3</v>
      </c>
      <c r="K624" s="165">
        <v>1554.5200199999999</v>
      </c>
      <c r="L624" s="124">
        <f t="shared" si="119"/>
        <v>1.3140523718701111E-3</v>
      </c>
      <c r="N624" s="150"/>
      <c r="O624" s="154"/>
      <c r="P624" s="125"/>
      <c r="Q624" s="154"/>
      <c r="R624" s="125"/>
      <c r="S624" s="3"/>
      <c r="T624" s="150"/>
      <c r="U624" s="154"/>
      <c r="V624" s="125"/>
      <c r="W624" s="154"/>
      <c r="X624" s="125"/>
      <c r="Y624" s="3"/>
    </row>
    <row r="625" spans="8:25" x14ac:dyDescent="0.3">
      <c r="H625" s="160">
        <v>41345</v>
      </c>
      <c r="I625" s="159">
        <v>47.500152</v>
      </c>
      <c r="J625" s="123">
        <f t="shared" si="118"/>
        <v>4.124146976616009E-2</v>
      </c>
      <c r="K625" s="165">
        <v>1552.4799800000001</v>
      </c>
      <c r="L625" s="124">
        <f t="shared" si="119"/>
        <v>-2.4032534408337304E-3</v>
      </c>
      <c r="N625" s="150"/>
      <c r="O625" s="154"/>
      <c r="P625" s="125"/>
      <c r="Q625" s="154"/>
      <c r="R625" s="125"/>
      <c r="S625" s="3"/>
      <c r="T625" s="150"/>
      <c r="U625" s="154"/>
      <c r="V625" s="125"/>
      <c r="W625" s="154"/>
      <c r="X625" s="125"/>
      <c r="Y625" s="3"/>
    </row>
    <row r="626" spans="8:25" x14ac:dyDescent="0.3">
      <c r="H626" s="160">
        <v>41344</v>
      </c>
      <c r="I626" s="159">
        <v>45.618766999999998</v>
      </c>
      <c r="J626" s="123">
        <f t="shared" si="118"/>
        <v>7.3436720237069434E-3</v>
      </c>
      <c r="K626" s="165">
        <v>1556.219971</v>
      </c>
      <c r="L626" s="124">
        <f t="shared" si="119"/>
        <v>3.2490857441105671E-3</v>
      </c>
      <c r="N626" s="150"/>
      <c r="O626" s="154"/>
      <c r="P626" s="125"/>
      <c r="Q626" s="154"/>
      <c r="R626" s="125"/>
      <c r="S626" s="3"/>
      <c r="T626" s="150"/>
      <c r="U626" s="154"/>
      <c r="V626" s="125"/>
      <c r="W626" s="154"/>
      <c r="X626" s="125"/>
      <c r="Y626" s="3"/>
    </row>
    <row r="627" spans="8:25" x14ac:dyDescent="0.3">
      <c r="H627" s="160">
        <v>41341</v>
      </c>
      <c r="I627" s="159">
        <v>45.286200000000001</v>
      </c>
      <c r="J627" s="123">
        <f t="shared" si="118"/>
        <v>8.2504471829023974E-3</v>
      </c>
      <c r="K627" s="165">
        <v>1551.1800539999999</v>
      </c>
      <c r="L627" s="124">
        <f t="shared" si="119"/>
        <v>4.4811391573883735E-3</v>
      </c>
      <c r="N627" s="150"/>
      <c r="O627" s="154"/>
      <c r="P627" s="125"/>
      <c r="Q627" s="154"/>
      <c r="R627" s="125"/>
      <c r="S627" s="3"/>
      <c r="T627" s="150"/>
      <c r="U627" s="154"/>
      <c r="V627" s="125"/>
      <c r="W627" s="154"/>
      <c r="X627" s="125"/>
      <c r="Y627" s="3"/>
    </row>
    <row r="628" spans="8:25" x14ac:dyDescent="0.3">
      <c r="H628" s="160">
        <v>41340</v>
      </c>
      <c r="I628" s="159">
        <v>44.915626000000003</v>
      </c>
      <c r="J628" s="123">
        <f t="shared" si="118"/>
        <v>-3.1947590418261722E-2</v>
      </c>
      <c r="K628" s="165">
        <v>1544.26001</v>
      </c>
      <c r="L628" s="124">
        <f t="shared" si="119"/>
        <v>1.8164915540092607E-3</v>
      </c>
      <c r="N628" s="150"/>
      <c r="O628" s="154"/>
      <c r="P628" s="125"/>
      <c r="Q628" s="154"/>
      <c r="R628" s="125"/>
      <c r="S628" s="3"/>
      <c r="T628" s="150"/>
      <c r="U628" s="154"/>
      <c r="V628" s="125"/>
      <c r="W628" s="154"/>
      <c r="X628" s="125"/>
      <c r="Y628" s="3"/>
    </row>
    <row r="629" spans="8:25" x14ac:dyDescent="0.3">
      <c r="H629" s="160">
        <v>41339</v>
      </c>
      <c r="I629" s="159">
        <v>46.397928</v>
      </c>
      <c r="J629" s="123">
        <f t="shared" si="118"/>
        <v>9.5100748491591305E-3</v>
      </c>
      <c r="K629" s="165">
        <v>1541.459961</v>
      </c>
      <c r="L629" s="124">
        <f t="shared" si="119"/>
        <v>1.0845127957085339E-3</v>
      </c>
      <c r="N629" s="150"/>
      <c r="O629" s="154"/>
      <c r="P629" s="125"/>
      <c r="Q629" s="154"/>
      <c r="R629" s="125"/>
      <c r="S629" s="3"/>
      <c r="T629" s="150"/>
      <c r="U629" s="154"/>
      <c r="V629" s="125"/>
      <c r="W629" s="154"/>
      <c r="X629" s="125"/>
      <c r="Y629" s="3"/>
    </row>
    <row r="630" spans="8:25" x14ac:dyDescent="0.3">
      <c r="H630" s="160">
        <v>41338</v>
      </c>
      <c r="I630" s="159">
        <v>45.960836999999998</v>
      </c>
      <c r="J630" s="123">
        <f t="shared" si="118"/>
        <v>1.1712984014455497E-2</v>
      </c>
      <c r="K630" s="165">
        <v>1539.790039</v>
      </c>
      <c r="L630" s="124">
        <f t="shared" si="119"/>
        <v>9.5660165674893351E-3</v>
      </c>
      <c r="N630" s="150"/>
      <c r="O630" s="154"/>
      <c r="P630" s="125"/>
      <c r="Q630" s="154"/>
      <c r="R630" s="125"/>
      <c r="S630" s="3"/>
      <c r="T630" s="150"/>
      <c r="U630" s="154"/>
      <c r="V630" s="125"/>
      <c r="W630" s="154"/>
      <c r="X630" s="125"/>
      <c r="Y630" s="3"/>
    </row>
    <row r="631" spans="8:25" x14ac:dyDescent="0.3">
      <c r="H631" s="160">
        <v>41337</v>
      </c>
      <c r="I631" s="159">
        <v>45.428730999999999</v>
      </c>
      <c r="J631" s="123">
        <f t="shared" si="118"/>
        <v>-7.6795038984126028E-3</v>
      </c>
      <c r="K631" s="165">
        <v>1525.1999510000001</v>
      </c>
      <c r="L631" s="124">
        <f t="shared" si="119"/>
        <v>4.6107233736829437E-3</v>
      </c>
      <c r="N631" s="150"/>
      <c r="O631" s="154"/>
      <c r="P631" s="125"/>
      <c r="Q631" s="154"/>
      <c r="R631" s="125"/>
      <c r="S631" s="3"/>
      <c r="T631" s="150"/>
      <c r="U631" s="154"/>
      <c r="V631" s="125"/>
      <c r="W631" s="154"/>
      <c r="X631" s="125"/>
      <c r="Y631" s="3"/>
    </row>
    <row r="632" spans="8:25" x14ac:dyDescent="0.3">
      <c r="H632" s="160">
        <v>41334</v>
      </c>
      <c r="I632" s="159">
        <v>45.780301000000001</v>
      </c>
      <c r="J632" s="123">
        <f t="shared" si="118"/>
        <v>2.1628500828723193E-2</v>
      </c>
      <c r="K632" s="165">
        <v>1518.1999510000001</v>
      </c>
      <c r="L632" s="124">
        <f t="shared" si="119"/>
        <v>2.3238551208915096E-3</v>
      </c>
      <c r="N632" s="150"/>
      <c r="O632" s="154"/>
      <c r="P632" s="125"/>
      <c r="Q632" s="154"/>
      <c r="R632" s="125"/>
      <c r="S632" s="3"/>
      <c r="T632" s="150"/>
      <c r="U632" s="154"/>
      <c r="V632" s="125"/>
      <c r="W632" s="154"/>
      <c r="X632" s="125"/>
      <c r="Y632" s="3"/>
    </row>
    <row r="633" spans="8:25" x14ac:dyDescent="0.3">
      <c r="H633" s="160">
        <v>41333</v>
      </c>
      <c r="I633" s="159">
        <v>44.811104</v>
      </c>
      <c r="J633" s="123">
        <f t="shared" si="118"/>
        <v>3.1908338958839544E-3</v>
      </c>
      <c r="K633" s="165">
        <v>1514.6800539999999</v>
      </c>
      <c r="L633" s="124">
        <f t="shared" si="119"/>
        <v>-8.640795840611764E-4</v>
      </c>
      <c r="N633" s="150"/>
      <c r="O633" s="154"/>
      <c r="P633" s="125"/>
      <c r="Q633" s="154"/>
      <c r="R633" s="125"/>
      <c r="S633" s="3"/>
      <c r="T633" s="150"/>
      <c r="U633" s="154"/>
      <c r="V633" s="125"/>
      <c r="W633" s="154"/>
      <c r="X633" s="125"/>
      <c r="Y633" s="3"/>
    </row>
    <row r="634" spans="8:25" x14ac:dyDescent="0.3">
      <c r="H634" s="160">
        <v>41332</v>
      </c>
      <c r="I634" s="159">
        <v>44.668574</v>
      </c>
      <c r="J634" s="123">
        <f t="shared" si="118"/>
        <v>2.4852843916330178E-2</v>
      </c>
      <c r="K634" s="165">
        <v>1515.98999</v>
      </c>
      <c r="L634" s="124">
        <f t="shared" si="119"/>
        <v>1.2725994195380978E-2</v>
      </c>
      <c r="N634" s="150"/>
      <c r="O634" s="154"/>
      <c r="P634" s="125"/>
      <c r="Q634" s="154"/>
      <c r="R634" s="125"/>
      <c r="S634" s="3"/>
      <c r="T634" s="150"/>
      <c r="U634" s="154"/>
      <c r="V634" s="125"/>
      <c r="W634" s="154"/>
      <c r="X634" s="125"/>
      <c r="Y634" s="3"/>
    </row>
    <row r="635" spans="8:25" x14ac:dyDescent="0.3">
      <c r="H635" s="160">
        <v>41331</v>
      </c>
      <c r="I635" s="159">
        <v>43.585354000000002</v>
      </c>
      <c r="J635" s="123">
        <f t="shared" si="118"/>
        <v>2.3655371421474548E-2</v>
      </c>
      <c r="K635" s="165">
        <v>1496.9399410000001</v>
      </c>
      <c r="L635" s="124">
        <f t="shared" si="119"/>
        <v>6.1094634181048102E-3</v>
      </c>
      <c r="N635" s="150"/>
      <c r="O635" s="154"/>
      <c r="P635" s="125"/>
      <c r="Q635" s="154"/>
      <c r="R635" s="125"/>
      <c r="S635" s="3"/>
      <c r="T635" s="150"/>
      <c r="U635" s="154"/>
      <c r="V635" s="125"/>
      <c r="W635" s="154"/>
      <c r="X635" s="125"/>
      <c r="Y635" s="3"/>
    </row>
    <row r="636" spans="8:25" x14ac:dyDescent="0.3">
      <c r="H636" s="160">
        <v>41330</v>
      </c>
      <c r="I636" s="159">
        <v>42.578152000000003</v>
      </c>
      <c r="J636" s="123">
        <f t="shared" si="118"/>
        <v>-2.3747266408097375E-2</v>
      </c>
      <c r="K636" s="165">
        <v>1487.849976</v>
      </c>
      <c r="L636" s="124">
        <f t="shared" si="119"/>
        <v>-1.8309580654150129E-2</v>
      </c>
      <c r="N636" s="150"/>
      <c r="O636" s="154"/>
      <c r="P636" s="125"/>
      <c r="Q636" s="154"/>
      <c r="R636" s="125"/>
      <c r="S636" s="3"/>
      <c r="T636" s="150"/>
      <c r="U636" s="154"/>
      <c r="V636" s="125"/>
      <c r="W636" s="154"/>
      <c r="X636" s="125"/>
      <c r="Y636" s="3"/>
    </row>
    <row r="637" spans="8:25" x14ac:dyDescent="0.3">
      <c r="H637" s="160">
        <v>41327</v>
      </c>
      <c r="I637" s="159">
        <v>43.613861999999997</v>
      </c>
      <c r="J637" s="123">
        <f t="shared" si="118"/>
        <v>3.4980117727204029E-3</v>
      </c>
      <c r="K637" s="165">
        <v>1515.599976</v>
      </c>
      <c r="L637" s="124">
        <f t="shared" si="119"/>
        <v>8.7724681607083306E-3</v>
      </c>
      <c r="N637" s="150"/>
      <c r="O637" s="154"/>
      <c r="P637" s="125"/>
      <c r="Q637" s="154"/>
      <c r="R637" s="125"/>
      <c r="S637" s="3"/>
      <c r="T637" s="150"/>
      <c r="U637" s="154"/>
      <c r="V637" s="125"/>
      <c r="W637" s="154"/>
      <c r="X637" s="125"/>
      <c r="Y637" s="3"/>
    </row>
    <row r="638" spans="8:25" x14ac:dyDescent="0.3">
      <c r="H638" s="160">
        <v>41326</v>
      </c>
      <c r="I638" s="159">
        <v>43.461832000000001</v>
      </c>
      <c r="J638" s="123">
        <f t="shared" si="118"/>
        <v>-1.7189481657143964E-2</v>
      </c>
      <c r="K638" s="165">
        <v>1502.420044</v>
      </c>
      <c r="L638" s="124">
        <f t="shared" si="119"/>
        <v>-6.3030571836700262E-3</v>
      </c>
      <c r="N638" s="150"/>
      <c r="O638" s="154"/>
      <c r="P638" s="125"/>
      <c r="Q638" s="154"/>
      <c r="R638" s="125"/>
      <c r="S638" s="3"/>
      <c r="T638" s="150"/>
      <c r="U638" s="154"/>
      <c r="V638" s="125"/>
      <c r="W638" s="154"/>
      <c r="X638" s="125"/>
      <c r="Y638" s="3"/>
    </row>
    <row r="639" spans="8:25" x14ac:dyDescent="0.3">
      <c r="H639" s="160">
        <v>41325</v>
      </c>
      <c r="I639" s="159">
        <v>44.221984999999997</v>
      </c>
      <c r="J639" s="123">
        <f t="shared" si="118"/>
        <v>-4.1795328002008025E-2</v>
      </c>
      <c r="K639" s="165">
        <v>1511.9499510000001</v>
      </c>
      <c r="L639" s="124">
        <f t="shared" si="119"/>
        <v>-1.2404137805429451E-2</v>
      </c>
      <c r="N639" s="150"/>
      <c r="O639" s="154"/>
      <c r="P639" s="125"/>
      <c r="Q639" s="154"/>
      <c r="R639" s="125"/>
      <c r="S639" s="3"/>
      <c r="T639" s="150"/>
      <c r="U639" s="154"/>
      <c r="V639" s="125"/>
      <c r="W639" s="154"/>
      <c r="X639" s="125"/>
      <c r="Y639" s="3"/>
    </row>
    <row r="640" spans="8:25" x14ac:dyDescent="0.3">
      <c r="H640" s="160">
        <v>41324</v>
      </c>
      <c r="I640" s="159">
        <v>46.150875999999997</v>
      </c>
      <c r="J640" s="123">
        <f t="shared" si="118"/>
        <v>-4.1161033990130499E-4</v>
      </c>
      <c r="K640" s="165">
        <v>1530.9399410000001</v>
      </c>
      <c r="L640" s="124">
        <f t="shared" si="119"/>
        <v>7.3364752458415809E-3</v>
      </c>
      <c r="N640" s="150"/>
      <c r="O640" s="154"/>
      <c r="P640" s="125"/>
      <c r="Q640" s="154"/>
      <c r="R640" s="125"/>
      <c r="S640" s="3"/>
      <c r="T640" s="150"/>
      <c r="U640" s="154"/>
      <c r="V640" s="125"/>
      <c r="W640" s="154"/>
      <c r="X640" s="125"/>
      <c r="Y640" s="3"/>
    </row>
    <row r="641" spans="8:25" x14ac:dyDescent="0.3">
      <c r="H641" s="160">
        <v>41320</v>
      </c>
      <c r="I641" s="159">
        <v>46.169879999999999</v>
      </c>
      <c r="J641" s="123">
        <f t="shared" si="118"/>
        <v>-4.5073059478481798E-3</v>
      </c>
      <c r="K641" s="165">
        <v>1519.790039</v>
      </c>
      <c r="L641" s="124">
        <f t="shared" si="119"/>
        <v>-1.045081435785009E-3</v>
      </c>
      <c r="N641" s="150"/>
      <c r="O641" s="154"/>
      <c r="P641" s="125"/>
      <c r="Q641" s="154"/>
      <c r="R641" s="125"/>
      <c r="S641" s="3"/>
      <c r="T641" s="150"/>
      <c r="U641" s="154"/>
      <c r="V641" s="125"/>
      <c r="W641" s="154"/>
      <c r="X641" s="125"/>
      <c r="Y641" s="3"/>
    </row>
    <row r="642" spans="8:25" x14ac:dyDescent="0.3">
      <c r="H642" s="160">
        <v>41319</v>
      </c>
      <c r="I642" s="159">
        <v>46.378923999999998</v>
      </c>
      <c r="J642" s="123">
        <f t="shared" si="118"/>
        <v>3.7014242308276899E-3</v>
      </c>
      <c r="K642" s="165">
        <v>1521.380005</v>
      </c>
      <c r="L642" s="124">
        <f t="shared" si="119"/>
        <v>6.9067178204041421E-4</v>
      </c>
      <c r="N642" s="150"/>
      <c r="O642" s="154"/>
      <c r="P642" s="125"/>
      <c r="Q642" s="154"/>
      <c r="R642" s="125"/>
      <c r="S642" s="3"/>
      <c r="T642" s="150"/>
      <c r="U642" s="154"/>
      <c r="V642" s="125"/>
      <c r="W642" s="154"/>
      <c r="X642" s="125"/>
      <c r="Y642" s="3"/>
    </row>
    <row r="643" spans="8:25" x14ac:dyDescent="0.3">
      <c r="H643" s="160">
        <v>41318</v>
      </c>
      <c r="I643" s="159">
        <v>46.207889000000002</v>
      </c>
      <c r="J643" s="123">
        <f t="shared" si="118"/>
        <v>9.3399997522952086E-3</v>
      </c>
      <c r="K643" s="165">
        <v>1520.329956</v>
      </c>
      <c r="L643" s="124">
        <f t="shared" si="119"/>
        <v>5.9226286700796757E-4</v>
      </c>
      <c r="N643" s="150"/>
      <c r="O643" s="154"/>
      <c r="P643" s="125"/>
      <c r="Q643" s="154"/>
      <c r="R643" s="125"/>
      <c r="S643" s="3"/>
      <c r="T643" s="150"/>
      <c r="U643" s="154"/>
      <c r="V643" s="125"/>
      <c r="W643" s="154"/>
      <c r="X643" s="125"/>
      <c r="Y643" s="3"/>
    </row>
    <row r="644" spans="8:25" x14ac:dyDescent="0.3">
      <c r="H644" s="160">
        <v>41317</v>
      </c>
      <c r="I644" s="159">
        <v>45.780301000000001</v>
      </c>
      <c r="J644" s="123">
        <f t="shared" si="118"/>
        <v>-8.6419521301075441E-3</v>
      </c>
      <c r="K644" s="165">
        <v>1519.4300539999999</v>
      </c>
      <c r="L644" s="124">
        <f t="shared" si="119"/>
        <v>1.5952722685066275E-3</v>
      </c>
      <c r="N644" s="150"/>
      <c r="O644" s="154"/>
      <c r="P644" s="125"/>
      <c r="Q644" s="154"/>
      <c r="R644" s="125"/>
      <c r="S644" s="3"/>
      <c r="T644" s="150"/>
      <c r="U644" s="154"/>
      <c r="V644" s="125"/>
      <c r="W644" s="154"/>
      <c r="X644" s="125"/>
      <c r="Y644" s="3"/>
    </row>
    <row r="645" spans="8:25" x14ac:dyDescent="0.3">
      <c r="H645" s="160">
        <v>41316</v>
      </c>
      <c r="I645" s="159">
        <v>46.179380999999999</v>
      </c>
      <c r="J645" s="123">
        <f t="shared" si="118"/>
        <v>2.2684604025508801E-3</v>
      </c>
      <c r="K645" s="165">
        <v>1517.01001</v>
      </c>
      <c r="L645" s="124">
        <f t="shared" si="119"/>
        <v>-6.0611752008960602E-4</v>
      </c>
      <c r="N645" s="150"/>
      <c r="O645" s="154"/>
      <c r="P645" s="125"/>
      <c r="Q645" s="154"/>
      <c r="R645" s="125"/>
      <c r="S645" s="3"/>
      <c r="T645" s="150"/>
      <c r="U645" s="154"/>
      <c r="V645" s="125"/>
      <c r="W645" s="154"/>
      <c r="X645" s="125"/>
      <c r="Y645" s="3"/>
    </row>
    <row r="646" spans="8:25" x14ac:dyDescent="0.3">
      <c r="H646" s="160">
        <v>41313</v>
      </c>
      <c r="I646" s="159">
        <v>46.074862000000003</v>
      </c>
      <c r="J646" s="123">
        <f t="shared" si="118"/>
        <v>1.8697527799968517E-2</v>
      </c>
      <c r="K646" s="165">
        <v>1517.9300539999999</v>
      </c>
      <c r="L646" s="124">
        <f t="shared" si="119"/>
        <v>5.6579405687932679E-3</v>
      </c>
      <c r="N646" s="150"/>
      <c r="O646" s="154"/>
      <c r="P646" s="125"/>
      <c r="Q646" s="154"/>
      <c r="R646" s="125"/>
      <c r="S646" s="3"/>
      <c r="T646" s="150"/>
      <c r="U646" s="154"/>
      <c r="V646" s="125"/>
      <c r="W646" s="154"/>
      <c r="X646" s="125"/>
      <c r="Y646" s="3"/>
    </row>
    <row r="647" spans="8:25" x14ac:dyDescent="0.3">
      <c r="H647" s="160">
        <v>41312</v>
      </c>
      <c r="I647" s="159">
        <v>45.229188000000001</v>
      </c>
      <c r="J647" s="123">
        <f t="shared" si="118"/>
        <v>-8.1267522293864813E-3</v>
      </c>
      <c r="K647" s="165">
        <v>1509.3900149999999</v>
      </c>
      <c r="L647" s="124">
        <f t="shared" si="119"/>
        <v>-1.8053990483738486E-3</v>
      </c>
      <c r="N647" s="150"/>
      <c r="O647" s="154"/>
      <c r="P647" s="125"/>
      <c r="Q647" s="154"/>
      <c r="R647" s="125"/>
      <c r="S647" s="3"/>
      <c r="T647" s="150"/>
      <c r="U647" s="154"/>
      <c r="V647" s="125"/>
      <c r="W647" s="154"/>
      <c r="X647" s="125"/>
      <c r="Y647" s="3"/>
    </row>
    <row r="648" spans="8:25" x14ac:dyDescent="0.3">
      <c r="H648" s="160">
        <v>41311</v>
      </c>
      <c r="I648" s="159">
        <v>45.599766000000002</v>
      </c>
      <c r="J648" s="123">
        <f t="shared" si="118"/>
        <v>2.9165782598942792E-2</v>
      </c>
      <c r="K648" s="165">
        <v>1512.119995</v>
      </c>
      <c r="L648" s="124">
        <f t="shared" si="119"/>
        <v>5.4917056195858272E-4</v>
      </c>
      <c r="N648" s="150"/>
      <c r="O648" s="154"/>
      <c r="P648" s="125"/>
      <c r="Q648" s="154"/>
      <c r="R648" s="125"/>
      <c r="S648" s="3"/>
      <c r="T648" s="150"/>
      <c r="U648" s="154"/>
      <c r="V648" s="125"/>
      <c r="W648" s="154"/>
      <c r="X648" s="125"/>
      <c r="Y648" s="3"/>
    </row>
    <row r="649" spans="8:25" x14ac:dyDescent="0.3">
      <c r="H649" s="160">
        <v>41310</v>
      </c>
      <c r="I649" s="159">
        <v>44.307502999999997</v>
      </c>
      <c r="J649" s="123">
        <f t="shared" si="118"/>
        <v>5.3902482995500395E-3</v>
      </c>
      <c r="K649" s="165">
        <v>1511.290039</v>
      </c>
      <c r="L649" s="124">
        <f t="shared" si="119"/>
        <v>1.0416510156543617E-2</v>
      </c>
      <c r="N649" s="150"/>
      <c r="O649" s="154"/>
      <c r="P649" s="125"/>
      <c r="Q649" s="154"/>
      <c r="R649" s="125"/>
      <c r="S649" s="3"/>
      <c r="T649" s="150"/>
      <c r="U649" s="154"/>
      <c r="V649" s="125"/>
      <c r="W649" s="154"/>
      <c r="X649" s="125"/>
      <c r="Y649" s="3"/>
    </row>
    <row r="650" spans="8:25" x14ac:dyDescent="0.3">
      <c r="H650" s="160">
        <v>41309</v>
      </c>
      <c r="I650" s="159">
        <v>44.069955</v>
      </c>
      <c r="J650" s="123">
        <f t="shared" ref="J650:J713" si="120">(I650-I651)/I651</f>
        <v>-8.3386496141843354E-3</v>
      </c>
      <c r="K650" s="165">
        <v>1495.709961</v>
      </c>
      <c r="L650" s="124">
        <f t="shared" ref="L650:L713" si="121">(K650-K651)/K651</f>
        <v>-1.1538744815384371E-2</v>
      </c>
      <c r="N650" s="150"/>
      <c r="O650" s="154"/>
      <c r="P650" s="125"/>
      <c r="Q650" s="154"/>
      <c r="R650" s="125"/>
      <c r="S650" s="3"/>
      <c r="T650" s="150"/>
      <c r="U650" s="154"/>
      <c r="V650" s="125"/>
      <c r="W650" s="154"/>
      <c r="X650" s="125"/>
      <c r="Y650" s="3"/>
    </row>
    <row r="651" spans="8:25" x14ac:dyDescent="0.3">
      <c r="H651" s="160">
        <v>41306</v>
      </c>
      <c r="I651" s="159">
        <v>44.440528999999998</v>
      </c>
      <c r="J651" s="123">
        <f t="shared" si="120"/>
        <v>-4.8936080692942594E-3</v>
      </c>
      <c r="K651" s="165">
        <v>1513.170044</v>
      </c>
      <c r="L651" s="124">
        <f t="shared" si="121"/>
        <v>1.0052705843222792E-2</v>
      </c>
      <c r="N651" s="150"/>
      <c r="O651" s="154"/>
      <c r="P651" s="125"/>
      <c r="Q651" s="154"/>
      <c r="R651" s="125"/>
      <c r="S651" s="3"/>
      <c r="T651" s="150"/>
      <c r="U651" s="154"/>
      <c r="V651" s="125"/>
      <c r="W651" s="154"/>
      <c r="X651" s="125"/>
      <c r="Y651" s="3"/>
    </row>
    <row r="652" spans="8:25" x14ac:dyDescent="0.3">
      <c r="H652" s="160">
        <v>41305</v>
      </c>
      <c r="I652" s="159">
        <v>44.659072999999999</v>
      </c>
      <c r="J652" s="123">
        <f t="shared" si="120"/>
        <v>3.2017310957861375E-3</v>
      </c>
      <c r="K652" s="165">
        <v>1498.1099850000001</v>
      </c>
      <c r="L652" s="124">
        <f t="shared" si="121"/>
        <v>-2.5633013528780541E-3</v>
      </c>
      <c r="N652" s="150"/>
      <c r="O652" s="154"/>
      <c r="P652" s="125"/>
      <c r="Q652" s="154"/>
      <c r="R652" s="125"/>
      <c r="S652" s="3"/>
      <c r="T652" s="150"/>
      <c r="U652" s="154"/>
      <c r="V652" s="125"/>
      <c r="W652" s="154"/>
      <c r="X652" s="125"/>
      <c r="Y652" s="3"/>
    </row>
    <row r="653" spans="8:25" x14ac:dyDescent="0.3">
      <c r="H653" s="160">
        <v>41304</v>
      </c>
      <c r="I653" s="159">
        <v>44.516542999999999</v>
      </c>
      <c r="J653" s="123">
        <f t="shared" si="120"/>
        <v>1.6048536929407924E-2</v>
      </c>
      <c r="K653" s="165">
        <v>1501.959961</v>
      </c>
      <c r="L653" s="124">
        <f t="shared" si="121"/>
        <v>-3.8996214005379286E-3</v>
      </c>
      <c r="N653" s="150"/>
      <c r="O653" s="154"/>
      <c r="P653" s="125"/>
      <c r="Q653" s="154"/>
      <c r="R653" s="125"/>
      <c r="S653" s="3"/>
      <c r="T653" s="150"/>
      <c r="U653" s="154"/>
      <c r="V653" s="125"/>
      <c r="W653" s="154"/>
      <c r="X653" s="125"/>
      <c r="Y653" s="3"/>
    </row>
    <row r="654" spans="8:25" x14ac:dyDescent="0.3">
      <c r="H654" s="160">
        <v>41303</v>
      </c>
      <c r="I654" s="159">
        <v>43.813402000000004</v>
      </c>
      <c r="J654" s="123">
        <f t="shared" si="120"/>
        <v>-5.2014773054358261E-2</v>
      </c>
      <c r="K654" s="165">
        <v>1507.839966</v>
      </c>
      <c r="L654" s="124">
        <f t="shared" si="121"/>
        <v>5.1059950967726154E-3</v>
      </c>
      <c r="N654" s="150"/>
      <c r="O654" s="154"/>
      <c r="P654" s="125"/>
      <c r="Q654" s="154"/>
      <c r="R654" s="125"/>
      <c r="S654" s="3"/>
      <c r="T654" s="150"/>
      <c r="U654" s="154"/>
      <c r="V654" s="125"/>
      <c r="W654" s="154"/>
      <c r="X654" s="125"/>
      <c r="Y654" s="3"/>
    </row>
    <row r="655" spans="8:25" x14ac:dyDescent="0.3">
      <c r="H655" s="160">
        <v>41302</v>
      </c>
      <c r="I655" s="159">
        <v>46.217388999999997</v>
      </c>
      <c r="J655" s="123">
        <f t="shared" si="120"/>
        <v>1.1647208139216275E-2</v>
      </c>
      <c r="K655" s="165">
        <v>1500.1800539999999</v>
      </c>
      <c r="L655" s="124">
        <f t="shared" si="121"/>
        <v>-1.8496214617390555E-3</v>
      </c>
      <c r="N655" s="150"/>
      <c r="O655" s="154"/>
      <c r="P655" s="125"/>
      <c r="Q655" s="154"/>
      <c r="R655" s="125"/>
      <c r="S655" s="3"/>
      <c r="T655" s="150"/>
      <c r="U655" s="154"/>
      <c r="V655" s="125"/>
      <c r="W655" s="154"/>
      <c r="X655" s="125"/>
      <c r="Y655" s="3"/>
    </row>
    <row r="656" spans="8:25" x14ac:dyDescent="0.3">
      <c r="H656" s="160">
        <v>41299</v>
      </c>
      <c r="I656" s="159">
        <v>45.685282999999998</v>
      </c>
      <c r="J656" s="123">
        <f t="shared" si="120"/>
        <v>6.0682152966918673E-3</v>
      </c>
      <c r="K656" s="165">
        <v>1502.959961</v>
      </c>
      <c r="L656" s="124">
        <f t="shared" si="121"/>
        <v>5.4454819269584114E-3</v>
      </c>
      <c r="N656" s="150"/>
      <c r="O656" s="154"/>
      <c r="P656" s="125"/>
      <c r="Q656" s="154"/>
      <c r="R656" s="125"/>
      <c r="S656" s="3"/>
      <c r="T656" s="150"/>
      <c r="U656" s="154"/>
      <c r="V656" s="125"/>
      <c r="W656" s="154"/>
      <c r="X656" s="125"/>
      <c r="Y656" s="3"/>
    </row>
    <row r="657" spans="8:25" x14ac:dyDescent="0.3">
      <c r="H657" s="160">
        <v>41298</v>
      </c>
      <c r="I657" s="159">
        <v>45.409726999999997</v>
      </c>
      <c r="J657" s="123">
        <f t="shared" si="120"/>
        <v>1.5296412214699585E-2</v>
      </c>
      <c r="K657" s="165">
        <v>1494.8199460000001</v>
      </c>
      <c r="L657" s="124">
        <f t="shared" si="121"/>
        <v>6.6142182684914061E-6</v>
      </c>
      <c r="N657" s="150"/>
      <c r="O657" s="154"/>
      <c r="P657" s="125"/>
      <c r="Q657" s="154"/>
      <c r="R657" s="125"/>
      <c r="S657" s="3"/>
      <c r="T657" s="150"/>
      <c r="U657" s="154"/>
      <c r="V657" s="125"/>
      <c r="W657" s="154"/>
      <c r="X657" s="125"/>
      <c r="Y657" s="3"/>
    </row>
    <row r="658" spans="8:25" x14ac:dyDescent="0.3">
      <c r="H658" s="160">
        <v>41297</v>
      </c>
      <c r="I658" s="159">
        <v>44.725586</v>
      </c>
      <c r="J658" s="123">
        <f t="shared" si="120"/>
        <v>-6.1233333562216224E-3</v>
      </c>
      <c r="K658" s="165">
        <v>1494.8100589999999</v>
      </c>
      <c r="L658" s="124">
        <f t="shared" si="121"/>
        <v>1.5074770267586265E-3</v>
      </c>
      <c r="N658" s="150"/>
      <c r="O658" s="154"/>
      <c r="P658" s="125"/>
      <c r="Q658" s="154"/>
      <c r="R658" s="125"/>
      <c r="S658" s="3"/>
      <c r="T658" s="150"/>
      <c r="U658" s="154"/>
      <c r="V658" s="125"/>
      <c r="W658" s="154"/>
      <c r="X658" s="125"/>
      <c r="Y658" s="3"/>
    </row>
    <row r="659" spans="8:25" x14ac:dyDescent="0.3">
      <c r="H659" s="160">
        <v>41296</v>
      </c>
      <c r="I659" s="159">
        <v>45.001142999999999</v>
      </c>
      <c r="J659" s="123">
        <f t="shared" si="120"/>
        <v>5.6906908500866736E-2</v>
      </c>
      <c r="K659" s="165">
        <v>1492.5600589999999</v>
      </c>
      <c r="L659" s="124">
        <f t="shared" si="121"/>
        <v>4.4281074365482643E-3</v>
      </c>
      <c r="N659" s="150"/>
      <c r="O659" s="154"/>
      <c r="P659" s="125"/>
      <c r="Q659" s="154"/>
      <c r="R659" s="125"/>
      <c r="S659" s="3"/>
      <c r="T659" s="150"/>
      <c r="U659" s="154"/>
      <c r="V659" s="125"/>
      <c r="W659" s="154"/>
      <c r="X659" s="125"/>
      <c r="Y659" s="3"/>
    </row>
    <row r="660" spans="8:25" x14ac:dyDescent="0.3">
      <c r="H660" s="160">
        <v>41292</v>
      </c>
      <c r="I660" s="159">
        <v>42.578152000000003</v>
      </c>
      <c r="J660" s="123">
        <f t="shared" si="120"/>
        <v>-9.0667808360650384E-3</v>
      </c>
      <c r="K660" s="165">
        <v>1485.9799800000001</v>
      </c>
      <c r="L660" s="124">
        <f t="shared" si="121"/>
        <v>3.4032703558502905E-3</v>
      </c>
      <c r="N660" s="150"/>
      <c r="O660" s="154"/>
      <c r="P660" s="125"/>
      <c r="Q660" s="154"/>
      <c r="R660" s="125"/>
      <c r="S660" s="3"/>
      <c r="T660" s="150"/>
      <c r="U660" s="154"/>
      <c r="V660" s="125"/>
      <c r="W660" s="154"/>
      <c r="X660" s="125"/>
      <c r="Y660" s="3"/>
    </row>
    <row r="661" spans="8:25" x14ac:dyDescent="0.3">
      <c r="H661" s="160">
        <v>41291</v>
      </c>
      <c r="I661" s="159">
        <v>42.967731000000001</v>
      </c>
      <c r="J661" s="123">
        <f t="shared" si="120"/>
        <v>-1.9863077461659325E-3</v>
      </c>
      <c r="K661" s="165">
        <v>1480.9399410000001</v>
      </c>
      <c r="L661" s="124">
        <f t="shared" si="121"/>
        <v>5.6429218281479378E-3</v>
      </c>
      <c r="N661" s="150"/>
      <c r="O661" s="154"/>
      <c r="P661" s="125"/>
      <c r="Q661" s="154"/>
      <c r="R661" s="125"/>
      <c r="S661" s="3"/>
      <c r="T661" s="150"/>
      <c r="U661" s="154"/>
      <c r="V661" s="125"/>
      <c r="W661" s="154"/>
      <c r="X661" s="125"/>
      <c r="Y661" s="3"/>
    </row>
    <row r="662" spans="8:25" x14ac:dyDescent="0.3">
      <c r="H662" s="160">
        <v>41290</v>
      </c>
      <c r="I662" s="159">
        <v>43.053248000000004</v>
      </c>
      <c r="J662" s="123">
        <f t="shared" si="120"/>
        <v>1.0481742570926067E-2</v>
      </c>
      <c r="K662" s="165">
        <v>1472.630005</v>
      </c>
      <c r="L662" s="124">
        <f t="shared" si="121"/>
        <v>1.9699186784146485E-4</v>
      </c>
      <c r="N662" s="150"/>
      <c r="O662" s="154"/>
      <c r="P662" s="125"/>
      <c r="Q662" s="154"/>
      <c r="R662" s="125"/>
      <c r="S662" s="3"/>
      <c r="T662" s="150"/>
      <c r="U662" s="154"/>
      <c r="V662" s="125"/>
      <c r="W662" s="154"/>
      <c r="X662" s="125"/>
      <c r="Y662" s="3"/>
    </row>
    <row r="663" spans="8:25" x14ac:dyDescent="0.3">
      <c r="H663" s="160">
        <v>41289</v>
      </c>
      <c r="I663" s="159">
        <v>42.606656000000001</v>
      </c>
      <c r="J663" s="123">
        <f t="shared" si="120"/>
        <v>3.1319668227086073E-3</v>
      </c>
      <c r="K663" s="165">
        <v>1472.339966</v>
      </c>
      <c r="L663" s="124">
        <f t="shared" si="121"/>
        <v>1.1286696895666723E-3</v>
      </c>
      <c r="N663" s="150"/>
      <c r="O663" s="154"/>
      <c r="P663" s="125"/>
      <c r="Q663" s="154"/>
      <c r="R663" s="125"/>
      <c r="S663" s="3"/>
      <c r="T663" s="150"/>
      <c r="U663" s="154"/>
      <c r="V663" s="125"/>
      <c r="W663" s="154"/>
      <c r="X663" s="125"/>
      <c r="Y663" s="3"/>
    </row>
    <row r="664" spans="8:25" x14ac:dyDescent="0.3">
      <c r="H664" s="160">
        <v>41288</v>
      </c>
      <c r="I664" s="159">
        <v>42.47363</v>
      </c>
      <c r="J664" s="123">
        <f t="shared" si="120"/>
        <v>1.6371101920602506E-2</v>
      </c>
      <c r="K664" s="165">
        <v>1470.6800539999999</v>
      </c>
      <c r="L664" s="124">
        <f t="shared" si="121"/>
        <v>-9.3067148153738982E-4</v>
      </c>
      <c r="N664" s="150"/>
      <c r="O664" s="154"/>
      <c r="P664" s="125"/>
      <c r="Q664" s="154"/>
      <c r="R664" s="125"/>
      <c r="S664" s="3"/>
      <c r="T664" s="150"/>
      <c r="U664" s="154"/>
      <c r="V664" s="125"/>
      <c r="W664" s="154"/>
      <c r="X664" s="125"/>
      <c r="Y664" s="3"/>
    </row>
    <row r="665" spans="8:25" x14ac:dyDescent="0.3">
      <c r="H665" s="160">
        <v>41285</v>
      </c>
      <c r="I665" s="159">
        <v>41.789490000000001</v>
      </c>
      <c r="J665" s="123">
        <f t="shared" si="120"/>
        <v>-4.0760929468827258E-3</v>
      </c>
      <c r="K665" s="165">
        <v>1472.0500489999999</v>
      </c>
      <c r="L665" s="124">
        <f t="shared" si="121"/>
        <v>-4.7513789798142553E-5</v>
      </c>
      <c r="N665" s="150"/>
      <c r="O665" s="154"/>
      <c r="P665" s="125"/>
      <c r="Q665" s="154"/>
      <c r="R665" s="125"/>
      <c r="S665" s="3"/>
      <c r="T665" s="150"/>
      <c r="U665" s="154"/>
      <c r="V665" s="125"/>
      <c r="W665" s="154"/>
      <c r="X665" s="125"/>
      <c r="Y665" s="3"/>
    </row>
    <row r="666" spans="8:25" x14ac:dyDescent="0.3">
      <c r="H666" s="160">
        <v>41284</v>
      </c>
      <c r="I666" s="159">
        <v>41.960524999999997</v>
      </c>
      <c r="J666" s="123">
        <f t="shared" si="120"/>
        <v>8.2191902606668053E-3</v>
      </c>
      <c r="K666" s="165">
        <v>1472.119995</v>
      </c>
      <c r="L666" s="124">
        <f t="shared" si="121"/>
        <v>7.5974147157819825E-3</v>
      </c>
      <c r="N666" s="150"/>
      <c r="O666" s="154"/>
      <c r="P666" s="125"/>
      <c r="Q666" s="154"/>
      <c r="R666" s="125"/>
      <c r="S666" s="3"/>
      <c r="T666" s="150"/>
      <c r="U666" s="154"/>
      <c r="V666" s="125"/>
      <c r="W666" s="154"/>
      <c r="X666" s="125"/>
      <c r="Y666" s="3"/>
    </row>
    <row r="667" spans="8:25" x14ac:dyDescent="0.3">
      <c r="H667" s="160">
        <v>41283</v>
      </c>
      <c r="I667" s="159">
        <v>41.618454999999997</v>
      </c>
      <c r="J667" s="123">
        <f t="shared" si="120"/>
        <v>4.3353969545166869E-2</v>
      </c>
      <c r="K667" s="165">
        <v>1461.0200199999999</v>
      </c>
      <c r="L667" s="124">
        <f t="shared" si="121"/>
        <v>2.6558665451457322E-3</v>
      </c>
      <c r="N667" s="150"/>
      <c r="O667" s="154"/>
      <c r="P667" s="125"/>
      <c r="Q667" s="154"/>
      <c r="R667" s="125"/>
      <c r="S667" s="3"/>
      <c r="T667" s="150"/>
      <c r="U667" s="154"/>
      <c r="V667" s="125"/>
      <c r="W667" s="154"/>
      <c r="X667" s="125"/>
      <c r="Y667" s="3"/>
    </row>
    <row r="668" spans="8:25" x14ac:dyDescent="0.3">
      <c r="H668" s="160">
        <v>41282</v>
      </c>
      <c r="I668" s="159">
        <v>39.889104000000003</v>
      </c>
      <c r="J668" s="123">
        <f t="shared" si="120"/>
        <v>-2.1445255035027429E-2</v>
      </c>
      <c r="K668" s="165">
        <v>1457.150024</v>
      </c>
      <c r="L668" s="124">
        <f t="shared" si="121"/>
        <v>-3.2423718278149116E-3</v>
      </c>
      <c r="N668" s="150"/>
      <c r="O668" s="154"/>
      <c r="P668" s="125"/>
      <c r="Q668" s="154"/>
      <c r="R668" s="125"/>
      <c r="S668" s="3"/>
      <c r="T668" s="150"/>
      <c r="U668" s="154"/>
      <c r="V668" s="125"/>
      <c r="W668" s="154"/>
      <c r="X668" s="125"/>
      <c r="Y668" s="3"/>
    </row>
    <row r="669" spans="8:25" x14ac:dyDescent="0.3">
      <c r="H669" s="160">
        <v>41281</v>
      </c>
      <c r="I669" s="159">
        <v>40.763283000000001</v>
      </c>
      <c r="J669" s="123">
        <f t="shared" si="120"/>
        <v>4.6642131033911444E-4</v>
      </c>
      <c r="K669" s="165">
        <v>1461.8900149999999</v>
      </c>
      <c r="L669" s="124">
        <f t="shared" si="121"/>
        <v>-3.1231161159590076E-3</v>
      </c>
      <c r="N669" s="150"/>
      <c r="O669" s="154"/>
      <c r="P669" s="125"/>
      <c r="Q669" s="154"/>
      <c r="R669" s="125"/>
      <c r="S669" s="3"/>
      <c r="T669" s="150"/>
      <c r="U669" s="154"/>
      <c r="V669" s="125"/>
      <c r="W669" s="154"/>
      <c r="X669" s="125"/>
      <c r="Y669" s="3"/>
    </row>
    <row r="670" spans="8:25" x14ac:dyDescent="0.3">
      <c r="H670" s="160">
        <v>41278</v>
      </c>
      <c r="I670" s="159">
        <v>40.744278999999999</v>
      </c>
      <c r="J670" s="123">
        <f t="shared" si="120"/>
        <v>-3.2542752023402956E-3</v>
      </c>
      <c r="K670" s="165">
        <v>1466.469971</v>
      </c>
      <c r="L670" s="124">
        <f t="shared" si="121"/>
        <v>4.8650965994404792E-3</v>
      </c>
      <c r="N670" s="150"/>
      <c r="O670" s="154"/>
      <c r="P670" s="125"/>
      <c r="Q670" s="154"/>
      <c r="R670" s="125"/>
      <c r="S670" s="3"/>
      <c r="T670" s="150"/>
      <c r="U670" s="154"/>
      <c r="V670" s="125"/>
      <c r="W670" s="154"/>
      <c r="X670" s="125"/>
      <c r="Y670" s="3"/>
    </row>
    <row r="671" spans="8:25" x14ac:dyDescent="0.3">
      <c r="H671" s="160">
        <v>41277</v>
      </c>
      <c r="I671" s="159">
        <v>40.877305</v>
      </c>
      <c r="J671" s="123">
        <f t="shared" si="120"/>
        <v>-9.6684823537719674E-3</v>
      </c>
      <c r="K671" s="165">
        <v>1459.369995</v>
      </c>
      <c r="L671" s="124">
        <f t="shared" si="121"/>
        <v>-2.0856176120627244E-3</v>
      </c>
      <c r="N671" s="150"/>
      <c r="O671" s="154"/>
      <c r="P671" s="125"/>
      <c r="Q671" s="154"/>
      <c r="R671" s="125"/>
      <c r="S671" s="3"/>
      <c r="T671" s="150"/>
      <c r="U671" s="154"/>
      <c r="V671" s="125"/>
      <c r="W671" s="154"/>
      <c r="X671" s="125"/>
      <c r="Y671" s="3"/>
    </row>
    <row r="672" spans="8:25" x14ac:dyDescent="0.3">
      <c r="H672" s="160">
        <v>41276</v>
      </c>
      <c r="I672" s="159">
        <v>41.276384999999998</v>
      </c>
      <c r="J672" s="123">
        <f t="shared" si="120"/>
        <v>2.2358141824193323E-2</v>
      </c>
      <c r="K672" s="165">
        <v>1462.420044</v>
      </c>
      <c r="L672" s="124">
        <f t="shared" si="121"/>
        <v>2.5403420651387044E-2</v>
      </c>
      <c r="N672" s="150"/>
      <c r="O672" s="154"/>
      <c r="P672" s="125"/>
      <c r="Q672" s="154"/>
      <c r="R672" s="125"/>
      <c r="S672" s="3"/>
      <c r="T672" s="150"/>
      <c r="U672" s="154"/>
      <c r="V672" s="125"/>
      <c r="W672" s="154"/>
      <c r="X672" s="125"/>
      <c r="Y672" s="3"/>
    </row>
    <row r="673" spans="8:25" x14ac:dyDescent="0.3">
      <c r="H673" s="160">
        <v>41274</v>
      </c>
      <c r="I673" s="159">
        <v>40.373703999999996</v>
      </c>
      <c r="J673" s="123">
        <f t="shared" si="120"/>
        <v>2.4843277712150287E-2</v>
      </c>
      <c r="K673" s="165">
        <v>1426.1899410000001</v>
      </c>
      <c r="L673" s="124">
        <f t="shared" si="121"/>
        <v>1.6941940834933195E-2</v>
      </c>
      <c r="N673" s="150"/>
      <c r="O673" s="154"/>
      <c r="P673" s="125"/>
      <c r="Q673" s="154"/>
      <c r="R673" s="125"/>
      <c r="S673" s="3"/>
      <c r="T673" s="150"/>
      <c r="U673" s="154"/>
      <c r="V673" s="125"/>
      <c r="W673" s="154"/>
      <c r="X673" s="125"/>
      <c r="Y673" s="3"/>
    </row>
    <row r="674" spans="8:25" x14ac:dyDescent="0.3">
      <c r="H674" s="160">
        <v>41271</v>
      </c>
      <c r="I674" s="159">
        <v>39.395003000000003</v>
      </c>
      <c r="J674" s="123">
        <f t="shared" si="120"/>
        <v>-1.4499649665221251E-2</v>
      </c>
      <c r="K674" s="165">
        <v>1402.4300539999999</v>
      </c>
      <c r="L674" s="124">
        <f t="shared" si="121"/>
        <v>-1.1049941657992132E-2</v>
      </c>
      <c r="N674" s="150"/>
      <c r="O674" s="154"/>
      <c r="P674" s="125"/>
      <c r="Q674" s="154"/>
      <c r="R674" s="125"/>
      <c r="S674" s="3"/>
      <c r="T674" s="150"/>
      <c r="U674" s="154"/>
      <c r="V674" s="125"/>
      <c r="W674" s="154"/>
      <c r="X674" s="125"/>
      <c r="Y674" s="3"/>
    </row>
    <row r="675" spans="8:25" x14ac:dyDescent="0.3">
      <c r="H675" s="160">
        <v>41270</v>
      </c>
      <c r="I675" s="159">
        <v>39.974620999999999</v>
      </c>
      <c r="J675" s="123">
        <f t="shared" si="120"/>
        <v>-4.75200723235246E-4</v>
      </c>
      <c r="K675" s="165">
        <v>1418.099976</v>
      </c>
      <c r="L675" s="124">
        <f t="shared" si="121"/>
        <v>-1.2184416821813193E-3</v>
      </c>
      <c r="N675" s="150"/>
      <c r="O675" s="154"/>
      <c r="P675" s="125"/>
      <c r="Q675" s="154"/>
      <c r="R675" s="125"/>
      <c r="S675" s="3"/>
      <c r="T675" s="150"/>
      <c r="U675" s="154"/>
      <c r="V675" s="125"/>
      <c r="W675" s="154"/>
      <c r="X675" s="125"/>
      <c r="Y675" s="3"/>
    </row>
    <row r="676" spans="8:25" x14ac:dyDescent="0.3">
      <c r="H676" s="160">
        <v>41269</v>
      </c>
      <c r="I676" s="159">
        <v>39.993625999999999</v>
      </c>
      <c r="J676" s="123">
        <f t="shared" si="120"/>
        <v>6.6969356522231906E-3</v>
      </c>
      <c r="K676" s="165">
        <v>1419.829956</v>
      </c>
      <c r="L676" s="124">
        <f t="shared" si="121"/>
        <v>-4.7874601076824987E-3</v>
      </c>
      <c r="N676" s="150"/>
      <c r="O676" s="154"/>
      <c r="P676" s="125"/>
      <c r="Q676" s="154"/>
      <c r="R676" s="125"/>
      <c r="S676" s="3"/>
      <c r="T676" s="150"/>
      <c r="U676" s="154"/>
      <c r="V676" s="125"/>
      <c r="W676" s="154"/>
      <c r="X676" s="125"/>
      <c r="Y676" s="3"/>
    </row>
    <row r="677" spans="8:25" x14ac:dyDescent="0.3">
      <c r="H677" s="160">
        <v>41267</v>
      </c>
      <c r="I677" s="159">
        <v>39.727573</v>
      </c>
      <c r="J677" s="123">
        <f t="shared" si="120"/>
        <v>-6.6523850575589075E-3</v>
      </c>
      <c r="K677" s="165">
        <v>1426.660034</v>
      </c>
      <c r="L677" s="124">
        <f t="shared" si="121"/>
        <v>-2.4402964314462956E-3</v>
      </c>
      <c r="N677" s="150"/>
      <c r="O677" s="154"/>
      <c r="P677" s="125"/>
      <c r="Q677" s="154"/>
      <c r="R677" s="125"/>
      <c r="S677" s="3"/>
      <c r="T677" s="150"/>
      <c r="U677" s="154"/>
      <c r="V677" s="125"/>
      <c r="W677" s="154"/>
      <c r="X677" s="125"/>
      <c r="Y677" s="3"/>
    </row>
    <row r="678" spans="8:25" x14ac:dyDescent="0.3">
      <c r="H678" s="160">
        <v>41264</v>
      </c>
      <c r="I678" s="159">
        <v>39.993625999999999</v>
      </c>
      <c r="J678" s="123">
        <f t="shared" si="120"/>
        <v>-1.6603287372517726E-3</v>
      </c>
      <c r="K678" s="165">
        <v>1430.150024</v>
      </c>
      <c r="L678" s="124">
        <f t="shared" si="121"/>
        <v>-9.378687636087131E-3</v>
      </c>
      <c r="N678" s="150"/>
      <c r="O678" s="154"/>
      <c r="P678" s="125"/>
      <c r="Q678" s="154"/>
      <c r="R678" s="125"/>
      <c r="S678" s="3"/>
      <c r="T678" s="150"/>
      <c r="U678" s="154"/>
      <c r="V678" s="125"/>
      <c r="W678" s="154"/>
      <c r="X678" s="125"/>
      <c r="Y678" s="3"/>
    </row>
    <row r="679" spans="8:25" x14ac:dyDescent="0.3">
      <c r="H679" s="160">
        <v>41263</v>
      </c>
      <c r="I679" s="159">
        <v>40.060138999999999</v>
      </c>
      <c r="J679" s="123">
        <f t="shared" si="120"/>
        <v>2.3300962292946419E-2</v>
      </c>
      <c r="K679" s="165">
        <v>1443.6899410000001</v>
      </c>
      <c r="L679" s="124">
        <f t="shared" si="121"/>
        <v>5.4881089254161441E-3</v>
      </c>
      <c r="N679" s="150"/>
      <c r="O679" s="154"/>
      <c r="P679" s="125"/>
      <c r="Q679" s="154"/>
      <c r="R679" s="125"/>
      <c r="S679" s="3"/>
      <c r="T679" s="150"/>
      <c r="U679" s="154"/>
      <c r="V679" s="125"/>
      <c r="W679" s="154"/>
      <c r="X679" s="125"/>
      <c r="Y679" s="3"/>
    </row>
    <row r="680" spans="8:25" x14ac:dyDescent="0.3">
      <c r="H680" s="160">
        <v>41262</v>
      </c>
      <c r="I680" s="159">
        <v>39.147953999999999</v>
      </c>
      <c r="J680" s="123">
        <f t="shared" si="120"/>
        <v>4.0404098656936858E-2</v>
      </c>
      <c r="K680" s="165">
        <v>1435.8100589999999</v>
      </c>
      <c r="L680" s="124">
        <f t="shared" si="121"/>
        <v>-7.5892007160826662E-3</v>
      </c>
      <c r="N680" s="150"/>
      <c r="O680" s="154"/>
      <c r="P680" s="125"/>
      <c r="Q680" s="154"/>
      <c r="R680" s="125"/>
      <c r="S680" s="3"/>
      <c r="T680" s="150"/>
      <c r="U680" s="154"/>
      <c r="V680" s="125"/>
      <c r="W680" s="154"/>
      <c r="X680" s="125"/>
      <c r="Y680" s="3"/>
    </row>
    <row r="681" spans="8:25" x14ac:dyDescent="0.3">
      <c r="H681" s="160">
        <v>41261</v>
      </c>
      <c r="I681" s="159">
        <v>37.627642999999999</v>
      </c>
      <c r="J681" s="123">
        <f t="shared" si="120"/>
        <v>4.1009403590127613E-2</v>
      </c>
      <c r="K681" s="165">
        <v>1446.790039</v>
      </c>
      <c r="L681" s="124">
        <f t="shared" si="121"/>
        <v>1.1486656626513448E-2</v>
      </c>
      <c r="N681" s="150"/>
      <c r="O681" s="154"/>
      <c r="P681" s="125"/>
      <c r="Q681" s="154"/>
      <c r="R681" s="125"/>
      <c r="S681" s="3"/>
      <c r="T681" s="150"/>
      <c r="U681" s="154"/>
      <c r="V681" s="125"/>
      <c r="W681" s="154"/>
      <c r="X681" s="125"/>
      <c r="Y681" s="3"/>
    </row>
    <row r="682" spans="8:25" x14ac:dyDescent="0.3">
      <c r="H682" s="160">
        <v>41260</v>
      </c>
      <c r="I682" s="159">
        <v>36.145344000000001</v>
      </c>
      <c r="J682" s="123">
        <f t="shared" si="120"/>
        <v>6.881998731304643E-3</v>
      </c>
      <c r="K682" s="165">
        <v>1430.3599850000001</v>
      </c>
      <c r="L682" s="124">
        <f t="shared" si="121"/>
        <v>1.1870590643830559E-2</v>
      </c>
      <c r="N682" s="150"/>
      <c r="O682" s="154"/>
      <c r="P682" s="125"/>
      <c r="Q682" s="154"/>
      <c r="R682" s="125"/>
      <c r="S682" s="3"/>
      <c r="T682" s="150"/>
      <c r="U682" s="154"/>
      <c r="V682" s="125"/>
      <c r="W682" s="154"/>
      <c r="X682" s="125"/>
      <c r="Y682" s="3"/>
    </row>
    <row r="683" spans="8:25" x14ac:dyDescent="0.3">
      <c r="H683" s="160">
        <v>41257</v>
      </c>
      <c r="I683" s="159">
        <v>35.898291999999998</v>
      </c>
      <c r="J683" s="123">
        <f t="shared" si="120"/>
        <v>-1.3217954083933336E-3</v>
      </c>
      <c r="K683" s="165">
        <v>1413.579956</v>
      </c>
      <c r="L683" s="124">
        <f t="shared" si="121"/>
        <v>-4.1354011783681531E-3</v>
      </c>
      <c r="N683" s="150"/>
      <c r="O683" s="154"/>
      <c r="P683" s="125"/>
      <c r="Q683" s="154"/>
      <c r="R683" s="125"/>
      <c r="S683" s="3"/>
      <c r="T683" s="150"/>
      <c r="U683" s="154"/>
      <c r="V683" s="125"/>
      <c r="W683" s="154"/>
      <c r="X683" s="125"/>
      <c r="Y683" s="3"/>
    </row>
    <row r="684" spans="8:25" x14ac:dyDescent="0.3">
      <c r="H684" s="160">
        <v>41256</v>
      </c>
      <c r="I684" s="159">
        <v>35.945805</v>
      </c>
      <c r="J684" s="123">
        <f t="shared" si="120"/>
        <v>-7.9234322471622982E-4</v>
      </c>
      <c r="K684" s="165">
        <v>1419.4499510000001</v>
      </c>
      <c r="L684" s="124">
        <f t="shared" si="121"/>
        <v>-6.3214249596973788E-3</v>
      </c>
      <c r="N684" s="150"/>
      <c r="O684" s="154"/>
      <c r="P684" s="125"/>
      <c r="Q684" s="154"/>
      <c r="R684" s="125"/>
      <c r="S684" s="3"/>
      <c r="T684" s="150"/>
      <c r="U684" s="154"/>
      <c r="V684" s="125"/>
      <c r="W684" s="154"/>
      <c r="X684" s="125"/>
      <c r="Y684" s="3"/>
    </row>
    <row r="685" spans="8:25" x14ac:dyDescent="0.3">
      <c r="H685" s="160">
        <v>41255</v>
      </c>
      <c r="I685" s="159">
        <v>35.974308999999998</v>
      </c>
      <c r="J685" s="123">
        <f t="shared" si="120"/>
        <v>-1.3189228450679463E-3</v>
      </c>
      <c r="K685" s="165">
        <v>1428.4799800000001</v>
      </c>
      <c r="L685" s="124">
        <f t="shared" si="121"/>
        <v>4.4823930919444838E-4</v>
      </c>
      <c r="N685" s="150"/>
      <c r="O685" s="154"/>
      <c r="P685" s="125"/>
      <c r="Q685" s="154"/>
      <c r="R685" s="125"/>
      <c r="S685" s="3"/>
      <c r="T685" s="150"/>
      <c r="U685" s="154"/>
      <c r="V685" s="125"/>
      <c r="W685" s="154"/>
      <c r="X685" s="125"/>
      <c r="Y685" s="3"/>
    </row>
    <row r="686" spans="8:25" x14ac:dyDescent="0.3">
      <c r="H686" s="160">
        <v>41254</v>
      </c>
      <c r="I686" s="159">
        <v>36.021819000000001</v>
      </c>
      <c r="J686" s="123">
        <f t="shared" si="120"/>
        <v>-7.5422703101231696E-3</v>
      </c>
      <c r="K686" s="165">
        <v>1427.839966</v>
      </c>
      <c r="L686" s="124">
        <f t="shared" si="121"/>
        <v>6.5488820831869432E-3</v>
      </c>
      <c r="N686" s="150"/>
      <c r="O686" s="154"/>
      <c r="P686" s="125"/>
      <c r="Q686" s="154"/>
      <c r="R686" s="125"/>
      <c r="S686" s="3"/>
      <c r="T686" s="150"/>
      <c r="U686" s="154"/>
      <c r="V686" s="125"/>
      <c r="W686" s="154"/>
      <c r="X686" s="125"/>
      <c r="Y686" s="3"/>
    </row>
    <row r="687" spans="8:25" x14ac:dyDescent="0.3">
      <c r="H687" s="160">
        <v>41253</v>
      </c>
      <c r="I687" s="159">
        <v>36.295569999999998</v>
      </c>
      <c r="J687" s="123">
        <f t="shared" si="120"/>
        <v>2.2606446108894899E-2</v>
      </c>
      <c r="K687" s="165">
        <v>1418.5500489999999</v>
      </c>
      <c r="L687" s="124">
        <f t="shared" si="121"/>
        <v>3.3856087378067304E-4</v>
      </c>
      <c r="N687" s="150"/>
      <c r="O687" s="154"/>
      <c r="P687" s="125"/>
      <c r="Q687" s="154"/>
      <c r="R687" s="125"/>
      <c r="S687" s="3"/>
      <c r="T687" s="150"/>
      <c r="U687" s="154"/>
      <c r="V687" s="125"/>
      <c r="W687" s="154"/>
      <c r="X687" s="125"/>
      <c r="Y687" s="3"/>
    </row>
    <row r="688" spans="8:25" x14ac:dyDescent="0.3">
      <c r="H688" s="160">
        <v>41250</v>
      </c>
      <c r="I688" s="159">
        <v>35.493195</v>
      </c>
      <c r="J688" s="123">
        <f t="shared" si="120"/>
        <v>1.3477089641474678E-2</v>
      </c>
      <c r="K688" s="165">
        <v>1418.0699460000001</v>
      </c>
      <c r="L688" s="124">
        <f t="shared" si="121"/>
        <v>2.9209196799964946E-3</v>
      </c>
      <c r="N688" s="150"/>
      <c r="O688" s="154"/>
      <c r="P688" s="125"/>
      <c r="Q688" s="154"/>
      <c r="R688" s="125"/>
      <c r="S688" s="3"/>
      <c r="T688" s="150"/>
      <c r="U688" s="154"/>
      <c r="V688" s="125"/>
      <c r="W688" s="154"/>
      <c r="X688" s="125"/>
      <c r="Y688" s="3"/>
    </row>
    <row r="689" spans="8:25" x14ac:dyDescent="0.3">
      <c r="H689" s="160">
        <v>41249</v>
      </c>
      <c r="I689" s="159">
        <v>35.021211000000001</v>
      </c>
      <c r="J689" s="123">
        <f t="shared" si="120"/>
        <v>2.9697452889442189E-2</v>
      </c>
      <c r="K689" s="165">
        <v>1413.9399410000001</v>
      </c>
      <c r="L689" s="124">
        <f t="shared" si="121"/>
        <v>3.3065905314124595E-3</v>
      </c>
      <c r="N689" s="150"/>
      <c r="O689" s="154"/>
      <c r="P689" s="125"/>
      <c r="Q689" s="154"/>
      <c r="R689" s="125"/>
      <c r="S689" s="3"/>
      <c r="T689" s="150"/>
      <c r="U689" s="154"/>
      <c r="V689" s="125"/>
      <c r="W689" s="154"/>
      <c r="X689" s="125"/>
      <c r="Y689" s="3"/>
    </row>
    <row r="690" spans="8:25" x14ac:dyDescent="0.3">
      <c r="H690" s="160">
        <v>41248</v>
      </c>
      <c r="I690" s="159">
        <v>34.011166000000003</v>
      </c>
      <c r="J690" s="123">
        <f t="shared" si="120"/>
        <v>7.2640638125185633E-2</v>
      </c>
      <c r="K690" s="165">
        <v>1409.280029</v>
      </c>
      <c r="L690" s="124">
        <f t="shared" si="121"/>
        <v>1.5848618900123209E-3</v>
      </c>
      <c r="N690" s="150"/>
      <c r="O690" s="154"/>
      <c r="P690" s="125"/>
      <c r="Q690" s="154"/>
      <c r="R690" s="125"/>
      <c r="S690" s="3"/>
      <c r="T690" s="150"/>
      <c r="U690" s="154"/>
      <c r="V690" s="125"/>
      <c r="W690" s="154"/>
      <c r="X690" s="125"/>
      <c r="Y690" s="3"/>
    </row>
    <row r="691" spans="8:25" x14ac:dyDescent="0.3">
      <c r="H691" s="160">
        <v>41247</v>
      </c>
      <c r="I691" s="159">
        <v>31.707885000000001</v>
      </c>
      <c r="J691" s="123">
        <f t="shared" si="120"/>
        <v>5.3876008700750634E-3</v>
      </c>
      <c r="K691" s="165">
        <v>1407.0500489999999</v>
      </c>
      <c r="L691" s="124">
        <f t="shared" si="121"/>
        <v>-1.709812315839227E-3</v>
      </c>
      <c r="N691" s="150"/>
      <c r="O691" s="154"/>
      <c r="P691" s="125"/>
      <c r="Q691" s="154"/>
      <c r="R691" s="125"/>
      <c r="S691" s="3"/>
      <c r="T691" s="150"/>
      <c r="U691" s="154"/>
      <c r="V691" s="125"/>
      <c r="W691" s="154"/>
      <c r="X691" s="125"/>
      <c r="Y691" s="3"/>
    </row>
    <row r="692" spans="8:25" x14ac:dyDescent="0.3">
      <c r="H692" s="160">
        <v>41246</v>
      </c>
      <c r="I692" s="159">
        <v>31.537970999999999</v>
      </c>
      <c r="J692" s="123">
        <f t="shared" si="120"/>
        <v>-5.9825362797623544E-4</v>
      </c>
      <c r="K692" s="165">
        <v>1409.459961</v>
      </c>
      <c r="L692" s="124">
        <f t="shared" si="121"/>
        <v>-4.7452250023003826E-3</v>
      </c>
      <c r="N692" s="150"/>
      <c r="O692" s="154"/>
      <c r="P692" s="125"/>
      <c r="Q692" s="154"/>
      <c r="R692" s="125"/>
      <c r="S692" s="3"/>
      <c r="T692" s="150"/>
      <c r="U692" s="154"/>
      <c r="V692" s="125"/>
      <c r="W692" s="154"/>
      <c r="X692" s="125"/>
      <c r="Y692" s="3"/>
    </row>
    <row r="693" spans="8:25" x14ac:dyDescent="0.3">
      <c r="H693" s="160">
        <v>41243</v>
      </c>
      <c r="I693" s="159">
        <v>31.556850000000001</v>
      </c>
      <c r="J693" s="123">
        <f t="shared" si="120"/>
        <v>-1.4445714195768799E-2</v>
      </c>
      <c r="K693" s="165">
        <v>1416.1800539999999</v>
      </c>
      <c r="L693" s="124">
        <f t="shared" si="121"/>
        <v>1.6250786253946614E-4</v>
      </c>
      <c r="N693" s="150"/>
      <c r="O693" s="154"/>
      <c r="P693" s="125"/>
      <c r="Q693" s="154"/>
      <c r="R693" s="125"/>
      <c r="S693" s="3"/>
      <c r="T693" s="150"/>
      <c r="U693" s="154"/>
      <c r="V693" s="125"/>
      <c r="W693" s="154"/>
      <c r="X693" s="125"/>
      <c r="Y693" s="3"/>
    </row>
    <row r="694" spans="8:25" x14ac:dyDescent="0.3">
      <c r="H694" s="160">
        <v>41242</v>
      </c>
      <c r="I694" s="159">
        <v>32.019393000000001</v>
      </c>
      <c r="J694" s="123">
        <f t="shared" si="120"/>
        <v>5.8986546998596244E-4</v>
      </c>
      <c r="K694" s="165">
        <v>1415.9499510000001</v>
      </c>
      <c r="L694" s="124">
        <f t="shared" si="121"/>
        <v>4.2696423009932725E-3</v>
      </c>
      <c r="N694" s="150"/>
      <c r="O694" s="154"/>
      <c r="P694" s="125"/>
      <c r="Q694" s="154"/>
      <c r="R694" s="125"/>
      <c r="S694" s="3"/>
      <c r="T694" s="150"/>
      <c r="U694" s="154"/>
      <c r="V694" s="125"/>
      <c r="W694" s="154"/>
      <c r="X694" s="125"/>
      <c r="Y694" s="3"/>
    </row>
    <row r="695" spans="8:25" x14ac:dyDescent="0.3">
      <c r="H695" s="160">
        <v>41241</v>
      </c>
      <c r="I695" s="159">
        <v>32.000517000000002</v>
      </c>
      <c r="J695" s="123">
        <f t="shared" si="120"/>
        <v>-2.2773051044716504E-2</v>
      </c>
      <c r="K695" s="165">
        <v>1409.9300539999999</v>
      </c>
      <c r="L695" s="124">
        <f t="shared" si="121"/>
        <v>7.8560291817415754E-3</v>
      </c>
      <c r="N695" s="150"/>
      <c r="O695" s="154"/>
      <c r="P695" s="125"/>
      <c r="Q695" s="154"/>
      <c r="R695" s="125"/>
      <c r="S695" s="3"/>
      <c r="T695" s="150"/>
      <c r="U695" s="154"/>
      <c r="V695" s="125"/>
      <c r="W695" s="154"/>
      <c r="X695" s="125"/>
      <c r="Y695" s="3"/>
    </row>
    <row r="696" spans="8:25" x14ac:dyDescent="0.3">
      <c r="H696" s="160">
        <v>41240</v>
      </c>
      <c r="I696" s="159">
        <v>32.746248999999999</v>
      </c>
      <c r="J696" s="123">
        <f t="shared" si="120"/>
        <v>-3.1276233419059163E-2</v>
      </c>
      <c r="K696" s="165">
        <v>1398.9399410000001</v>
      </c>
      <c r="L696" s="124">
        <f t="shared" si="121"/>
        <v>-5.2265875432257747E-3</v>
      </c>
      <c r="N696" s="150"/>
      <c r="O696" s="154"/>
      <c r="P696" s="125"/>
      <c r="Q696" s="154"/>
      <c r="R696" s="125"/>
      <c r="S696" s="3"/>
      <c r="T696" s="150"/>
      <c r="U696" s="154"/>
      <c r="V696" s="125"/>
      <c r="W696" s="154"/>
      <c r="X696" s="125"/>
      <c r="Y696" s="3"/>
    </row>
    <row r="697" spans="8:25" x14ac:dyDescent="0.3">
      <c r="H697" s="160">
        <v>41239</v>
      </c>
      <c r="I697" s="159">
        <v>33.803494999999998</v>
      </c>
      <c r="J697" s="123">
        <f t="shared" si="120"/>
        <v>2.0518697758354392E-2</v>
      </c>
      <c r="K697" s="165">
        <v>1406.290039</v>
      </c>
      <c r="L697" s="124">
        <f t="shared" si="121"/>
        <v>-2.0295816281375952E-3</v>
      </c>
      <c r="N697" s="150"/>
      <c r="O697" s="154"/>
      <c r="P697" s="125"/>
      <c r="Q697" s="154"/>
      <c r="R697" s="125"/>
      <c r="S697" s="3"/>
      <c r="T697" s="150"/>
      <c r="U697" s="154"/>
      <c r="V697" s="125"/>
      <c r="W697" s="154"/>
      <c r="X697" s="125"/>
      <c r="Y697" s="3"/>
    </row>
    <row r="698" spans="8:25" x14ac:dyDescent="0.3">
      <c r="H698" s="160">
        <v>41236</v>
      </c>
      <c r="I698" s="159">
        <v>33.123837000000002</v>
      </c>
      <c r="J698" s="123">
        <f t="shared" si="120"/>
        <v>2.0651501414896155E-2</v>
      </c>
      <c r="K698" s="165">
        <v>1409.150024</v>
      </c>
      <c r="L698" s="124">
        <f t="shared" si="121"/>
        <v>1.3026314761174733E-2</v>
      </c>
      <c r="N698" s="150"/>
      <c r="O698" s="154"/>
      <c r="P698" s="125"/>
      <c r="Q698" s="154"/>
      <c r="R698" s="125"/>
      <c r="S698" s="3"/>
      <c r="T698" s="150"/>
      <c r="U698" s="154"/>
      <c r="V698" s="125"/>
      <c r="W698" s="154"/>
      <c r="X698" s="125"/>
      <c r="Y698" s="3"/>
    </row>
    <row r="699" spans="8:25" x14ac:dyDescent="0.3">
      <c r="H699" s="160">
        <v>41234</v>
      </c>
      <c r="I699" s="159">
        <v>32.453620999999998</v>
      </c>
      <c r="J699" s="123">
        <f t="shared" si="120"/>
        <v>8.5069333253035249E-3</v>
      </c>
      <c r="K699" s="165">
        <v>1391.030029</v>
      </c>
      <c r="L699" s="124">
        <f t="shared" si="121"/>
        <v>2.3201806177426641E-3</v>
      </c>
      <c r="N699" s="150"/>
      <c r="O699" s="154"/>
      <c r="P699" s="125"/>
      <c r="Q699" s="154"/>
      <c r="R699" s="125"/>
      <c r="S699" s="3"/>
      <c r="T699" s="150"/>
      <c r="U699" s="154"/>
      <c r="V699" s="125"/>
      <c r="W699" s="154"/>
      <c r="X699" s="125"/>
      <c r="Y699" s="3"/>
    </row>
    <row r="700" spans="8:25" x14ac:dyDescent="0.3">
      <c r="H700" s="160">
        <v>41233</v>
      </c>
      <c r="I700" s="159">
        <v>32.179868999999997</v>
      </c>
      <c r="J700" s="123">
        <f t="shared" si="120"/>
        <v>-2.6000003632084455E-2</v>
      </c>
      <c r="K700" s="165">
        <v>1387.8100589999999</v>
      </c>
      <c r="L700" s="124">
        <f t="shared" si="121"/>
        <v>6.6338641856900364E-4</v>
      </c>
      <c r="N700" s="150"/>
      <c r="O700" s="154"/>
      <c r="P700" s="125"/>
      <c r="Q700" s="154"/>
      <c r="R700" s="125"/>
      <c r="S700" s="3"/>
      <c r="T700" s="150"/>
      <c r="U700" s="154"/>
      <c r="V700" s="125"/>
      <c r="W700" s="154"/>
      <c r="X700" s="125"/>
      <c r="Y700" s="3"/>
    </row>
    <row r="701" spans="8:25" x14ac:dyDescent="0.3">
      <c r="H701" s="160">
        <v>41232</v>
      </c>
      <c r="I701" s="159">
        <v>33.038879999999999</v>
      </c>
      <c r="J701" s="123">
        <f t="shared" si="120"/>
        <v>1.2145700616820146E-2</v>
      </c>
      <c r="K701" s="165">
        <v>1386.8900149999999</v>
      </c>
      <c r="L701" s="124">
        <f t="shared" si="121"/>
        <v>1.9862053931736401E-2</v>
      </c>
      <c r="N701" s="150"/>
      <c r="O701" s="154"/>
      <c r="P701" s="125"/>
      <c r="Q701" s="154"/>
      <c r="R701" s="125"/>
      <c r="S701" s="3"/>
      <c r="T701" s="150"/>
      <c r="U701" s="154"/>
      <c r="V701" s="125"/>
      <c r="W701" s="154"/>
      <c r="X701" s="125"/>
      <c r="Y701" s="3"/>
    </row>
    <row r="702" spans="8:25" x14ac:dyDescent="0.3">
      <c r="H702" s="160">
        <v>41229</v>
      </c>
      <c r="I702" s="159">
        <v>32.642415</v>
      </c>
      <c r="J702" s="123">
        <f t="shared" si="120"/>
        <v>2.1565837535166534E-2</v>
      </c>
      <c r="K702" s="165">
        <v>1359.880005</v>
      </c>
      <c r="L702" s="124">
        <f t="shared" si="121"/>
        <v>4.8399497631455256E-3</v>
      </c>
      <c r="N702" s="150"/>
      <c r="O702" s="154"/>
      <c r="P702" s="125"/>
      <c r="Q702" s="154"/>
      <c r="R702" s="125"/>
      <c r="S702" s="3"/>
      <c r="T702" s="150"/>
      <c r="U702" s="154"/>
      <c r="V702" s="125"/>
      <c r="W702" s="154"/>
      <c r="X702" s="125"/>
      <c r="Y702" s="3"/>
    </row>
    <row r="703" spans="8:25" x14ac:dyDescent="0.3">
      <c r="H703" s="160">
        <v>41228</v>
      </c>
      <c r="I703" s="159">
        <v>31.953315</v>
      </c>
      <c r="J703" s="123">
        <f t="shared" si="120"/>
        <v>0</v>
      </c>
      <c r="K703" s="165">
        <v>1353.329956</v>
      </c>
      <c r="L703" s="124">
        <f t="shared" si="121"/>
        <v>-1.5935447815442708E-3</v>
      </c>
      <c r="N703" s="150"/>
      <c r="O703" s="154"/>
      <c r="P703" s="125"/>
      <c r="Q703" s="154"/>
      <c r="R703" s="125"/>
      <c r="S703" s="3"/>
      <c r="T703" s="150"/>
      <c r="U703" s="154"/>
      <c r="V703" s="125"/>
      <c r="W703" s="154"/>
      <c r="X703" s="125"/>
      <c r="Y703" s="3"/>
    </row>
    <row r="704" spans="8:25" x14ac:dyDescent="0.3">
      <c r="H704" s="160">
        <v>41227</v>
      </c>
      <c r="I704" s="159">
        <v>31.953315</v>
      </c>
      <c r="J704" s="123">
        <f t="shared" si="120"/>
        <v>-2.3933150481063932E-2</v>
      </c>
      <c r="K704" s="165">
        <v>1355.48999</v>
      </c>
      <c r="L704" s="124">
        <f t="shared" si="121"/>
        <v>-1.385203567640644E-2</v>
      </c>
      <c r="N704" s="150"/>
      <c r="O704" s="154"/>
      <c r="P704" s="125"/>
      <c r="Q704" s="154"/>
      <c r="R704" s="125"/>
      <c r="S704" s="3"/>
      <c r="T704" s="150"/>
      <c r="U704" s="154"/>
      <c r="V704" s="125"/>
      <c r="W704" s="154"/>
      <c r="X704" s="125"/>
      <c r="Y704" s="3"/>
    </row>
    <row r="705" spans="8:25" x14ac:dyDescent="0.3">
      <c r="H705" s="160">
        <v>41226</v>
      </c>
      <c r="I705" s="159">
        <v>32.736809999999998</v>
      </c>
      <c r="J705" s="123">
        <f t="shared" si="120"/>
        <v>-1.7271741765505482E-3</v>
      </c>
      <c r="K705" s="165">
        <v>1374.530029</v>
      </c>
      <c r="L705" s="124">
        <f t="shared" si="121"/>
        <v>-3.985420523048633E-3</v>
      </c>
      <c r="N705" s="150"/>
      <c r="O705" s="154"/>
      <c r="P705" s="125"/>
      <c r="Q705" s="154"/>
      <c r="R705" s="125"/>
      <c r="S705" s="3"/>
      <c r="T705" s="150"/>
      <c r="U705" s="154"/>
      <c r="V705" s="125"/>
      <c r="W705" s="154"/>
      <c r="X705" s="125"/>
      <c r="Y705" s="3"/>
    </row>
    <row r="706" spans="8:25" x14ac:dyDescent="0.3">
      <c r="H706" s="160">
        <v>41225</v>
      </c>
      <c r="I706" s="159">
        <v>32.79345</v>
      </c>
      <c r="J706" s="123">
        <f t="shared" si="120"/>
        <v>-1.0538273008818124E-2</v>
      </c>
      <c r="K706" s="165">
        <v>1380.030029</v>
      </c>
      <c r="L706" s="124">
        <f t="shared" si="121"/>
        <v>1.3048737408540096E-4</v>
      </c>
      <c r="N706" s="150"/>
      <c r="O706" s="154"/>
      <c r="P706" s="125"/>
      <c r="Q706" s="154"/>
      <c r="R706" s="125"/>
      <c r="S706" s="3"/>
      <c r="T706" s="150"/>
      <c r="U706" s="154"/>
      <c r="V706" s="125"/>
      <c r="W706" s="154"/>
      <c r="X706" s="125"/>
      <c r="Y706" s="3"/>
    </row>
    <row r="707" spans="8:25" x14ac:dyDescent="0.3">
      <c r="H707" s="160">
        <v>41222</v>
      </c>
      <c r="I707" s="159">
        <v>33.142716999999998</v>
      </c>
      <c r="J707" s="123">
        <f t="shared" si="120"/>
        <v>7.7497324619475337E-3</v>
      </c>
      <c r="K707" s="165">
        <v>1379.849976</v>
      </c>
      <c r="L707" s="124">
        <f t="shared" si="121"/>
        <v>1.698692556143388E-3</v>
      </c>
      <c r="N707" s="150"/>
      <c r="O707" s="154"/>
      <c r="P707" s="125"/>
      <c r="Q707" s="154"/>
      <c r="R707" s="125"/>
      <c r="S707" s="3"/>
      <c r="T707" s="150"/>
      <c r="U707" s="154"/>
      <c r="V707" s="125"/>
      <c r="W707" s="154"/>
      <c r="X707" s="125"/>
      <c r="Y707" s="3"/>
    </row>
    <row r="708" spans="8:25" x14ac:dyDescent="0.3">
      <c r="H708" s="160">
        <v>41221</v>
      </c>
      <c r="I708" s="159">
        <v>32.887844999999999</v>
      </c>
      <c r="J708" s="123">
        <f t="shared" si="120"/>
        <v>-1.3031153226675231E-2</v>
      </c>
      <c r="K708" s="165">
        <v>1377.51001</v>
      </c>
      <c r="L708" s="124">
        <f t="shared" si="121"/>
        <v>-1.2204842237929354E-2</v>
      </c>
      <c r="N708" s="150"/>
      <c r="O708" s="154"/>
      <c r="P708" s="125"/>
      <c r="Q708" s="154"/>
      <c r="R708" s="125"/>
      <c r="S708" s="3"/>
      <c r="T708" s="150"/>
      <c r="U708" s="154"/>
      <c r="V708" s="125"/>
      <c r="W708" s="154"/>
      <c r="X708" s="125"/>
      <c r="Y708" s="3"/>
    </row>
    <row r="709" spans="8:25" x14ac:dyDescent="0.3">
      <c r="H709" s="160">
        <v>41220</v>
      </c>
      <c r="I709" s="159">
        <v>33.322069999999997</v>
      </c>
      <c r="J709" s="123">
        <f t="shared" si="120"/>
        <v>-4.697628822954994E-2</v>
      </c>
      <c r="K709" s="165">
        <v>1394.530029</v>
      </c>
      <c r="L709" s="124">
        <f t="shared" si="121"/>
        <v>-2.3705000486159193E-2</v>
      </c>
      <c r="N709" s="150"/>
      <c r="O709" s="154"/>
      <c r="P709" s="125"/>
      <c r="Q709" s="154"/>
      <c r="R709" s="125"/>
      <c r="S709" s="3"/>
      <c r="T709" s="150"/>
      <c r="U709" s="154"/>
      <c r="V709" s="125"/>
      <c r="W709" s="154"/>
      <c r="X709" s="125"/>
      <c r="Y709" s="3"/>
    </row>
    <row r="710" spans="8:25" x14ac:dyDescent="0.3">
      <c r="H710" s="160">
        <v>41219</v>
      </c>
      <c r="I710" s="159">
        <v>34.964576000000001</v>
      </c>
      <c r="J710" s="123">
        <f t="shared" si="120"/>
        <v>4.1619807109274667E-2</v>
      </c>
      <c r="K710" s="165">
        <v>1428.3900149999999</v>
      </c>
      <c r="L710" s="124">
        <f t="shared" si="121"/>
        <v>7.853184963569234E-3</v>
      </c>
      <c r="N710" s="150"/>
      <c r="O710" s="154"/>
      <c r="P710" s="125"/>
      <c r="Q710" s="154"/>
      <c r="R710" s="125"/>
      <c r="S710" s="3"/>
      <c r="T710" s="150"/>
      <c r="U710" s="154"/>
      <c r="V710" s="125"/>
      <c r="W710" s="154"/>
      <c r="X710" s="125"/>
      <c r="Y710" s="3"/>
    </row>
    <row r="711" spans="8:25" x14ac:dyDescent="0.3">
      <c r="H711" s="160">
        <v>41218</v>
      </c>
      <c r="I711" s="159">
        <v>33.567503000000002</v>
      </c>
      <c r="J711" s="123">
        <f t="shared" si="120"/>
        <v>1.0227288253761058E-2</v>
      </c>
      <c r="K711" s="165">
        <v>1417.26001</v>
      </c>
      <c r="L711" s="124">
        <f t="shared" si="121"/>
        <v>2.1638092957336767E-3</v>
      </c>
      <c r="N711" s="150"/>
      <c r="O711" s="154"/>
      <c r="P711" s="125"/>
      <c r="Q711" s="154"/>
      <c r="R711" s="125"/>
      <c r="S711" s="3"/>
      <c r="T711" s="150"/>
      <c r="U711" s="154"/>
      <c r="V711" s="125"/>
      <c r="W711" s="154"/>
      <c r="X711" s="125"/>
      <c r="Y711" s="3"/>
    </row>
    <row r="712" spans="8:25" x14ac:dyDescent="0.3">
      <c r="H712" s="160">
        <v>41215</v>
      </c>
      <c r="I712" s="159">
        <v>33.227674</v>
      </c>
      <c r="J712" s="123">
        <f t="shared" si="120"/>
        <v>-5.9305197013801861E-3</v>
      </c>
      <c r="K712" s="165">
        <v>1414.1999510000001</v>
      </c>
      <c r="L712" s="124">
        <f t="shared" si="121"/>
        <v>-9.3794544084095568E-3</v>
      </c>
      <c r="N712" s="150"/>
      <c r="O712" s="154"/>
      <c r="P712" s="125"/>
      <c r="Q712" s="154"/>
      <c r="R712" s="125"/>
      <c r="S712" s="3"/>
      <c r="T712" s="150"/>
      <c r="U712" s="154"/>
      <c r="V712" s="125"/>
      <c r="W712" s="154"/>
      <c r="X712" s="125"/>
      <c r="Y712" s="3"/>
    </row>
    <row r="713" spans="8:25" x14ac:dyDescent="0.3">
      <c r="H713" s="160">
        <v>41214</v>
      </c>
      <c r="I713" s="159">
        <v>33.425907000000002</v>
      </c>
      <c r="J713" s="123">
        <f t="shared" si="120"/>
        <v>3.4472708982885174E-2</v>
      </c>
      <c r="K713" s="165">
        <v>1427.589966</v>
      </c>
      <c r="L713" s="124">
        <f t="shared" si="121"/>
        <v>1.0926475490383414E-2</v>
      </c>
      <c r="N713" s="150"/>
      <c r="O713" s="154"/>
      <c r="P713" s="125"/>
      <c r="Q713" s="154"/>
      <c r="R713" s="125"/>
      <c r="S713" s="3"/>
      <c r="T713" s="150"/>
      <c r="U713" s="154"/>
      <c r="V713" s="125"/>
      <c r="W713" s="154"/>
      <c r="X713" s="125"/>
      <c r="Y713" s="3"/>
    </row>
    <row r="714" spans="8:25" x14ac:dyDescent="0.3">
      <c r="H714" s="160">
        <v>41213</v>
      </c>
      <c r="I714" s="159">
        <v>32.312024000000001</v>
      </c>
      <c r="J714" s="123">
        <f t="shared" ref="J714:J777" si="122">(I714-I715)/I715</f>
        <v>3.2239318531030207E-3</v>
      </c>
      <c r="K714" s="165">
        <v>1412.160034</v>
      </c>
      <c r="L714" s="124">
        <f t="shared" ref="L714:L777" si="123">(K714-K715)/K715</f>
        <v>1.558798597651585E-4</v>
      </c>
      <c r="N714" s="150"/>
      <c r="O714" s="154"/>
      <c r="P714" s="125"/>
      <c r="Q714" s="154"/>
      <c r="R714" s="125"/>
      <c r="S714" s="3"/>
      <c r="T714" s="150"/>
      <c r="U714" s="154"/>
      <c r="V714" s="125"/>
      <c r="W714" s="154"/>
      <c r="X714" s="125"/>
      <c r="Y714" s="3"/>
    </row>
    <row r="715" spans="8:25" x14ac:dyDescent="0.3">
      <c r="H715" s="160">
        <v>41208</v>
      </c>
      <c r="I715" s="159">
        <v>32.208187000000002</v>
      </c>
      <c r="J715" s="123">
        <f t="shared" si="122"/>
        <v>-8.1396255865847488E-3</v>
      </c>
      <c r="K715" s="165">
        <v>1411.9399410000001</v>
      </c>
      <c r="L715" s="124">
        <f t="shared" si="123"/>
        <v>-7.2898222972913912E-4</v>
      </c>
      <c r="N715" s="150"/>
      <c r="O715" s="154"/>
      <c r="P715" s="125"/>
      <c r="Q715" s="154"/>
      <c r="R715" s="125"/>
      <c r="S715" s="3"/>
      <c r="T715" s="150"/>
      <c r="U715" s="154"/>
      <c r="V715" s="125"/>
      <c r="W715" s="154"/>
      <c r="X715" s="125"/>
      <c r="Y715" s="3"/>
    </row>
    <row r="716" spans="8:25" x14ac:dyDescent="0.3">
      <c r="H716" s="160">
        <v>41207</v>
      </c>
      <c r="I716" s="159">
        <v>32.472501000000001</v>
      </c>
      <c r="J716" s="123">
        <f t="shared" si="122"/>
        <v>1.8957456170161029E-2</v>
      </c>
      <c r="K716" s="165">
        <v>1412.969971</v>
      </c>
      <c r="L716" s="124">
        <f t="shared" si="123"/>
        <v>2.9955428571428479E-3</v>
      </c>
      <c r="N716" s="150"/>
      <c r="O716" s="154"/>
      <c r="P716" s="125"/>
      <c r="Q716" s="154"/>
      <c r="R716" s="125"/>
      <c r="S716" s="3"/>
      <c r="T716" s="150"/>
      <c r="U716" s="154"/>
      <c r="V716" s="125"/>
      <c r="W716" s="154"/>
      <c r="X716" s="125"/>
      <c r="Y716" s="3"/>
    </row>
    <row r="717" spans="8:25" x14ac:dyDescent="0.3">
      <c r="H717" s="160">
        <v>41206</v>
      </c>
      <c r="I717" s="159">
        <v>31.868358000000001</v>
      </c>
      <c r="J717" s="123">
        <f t="shared" si="122"/>
        <v>-1.9459817903660203E-2</v>
      </c>
      <c r="K717" s="165">
        <v>1408.75</v>
      </c>
      <c r="L717" s="124">
        <f t="shared" si="123"/>
        <v>-3.0853826285857371E-3</v>
      </c>
      <c r="N717" s="150"/>
      <c r="O717" s="154"/>
      <c r="P717" s="125"/>
      <c r="Q717" s="154"/>
      <c r="R717" s="125"/>
      <c r="S717" s="3"/>
      <c r="T717" s="150"/>
      <c r="U717" s="154"/>
      <c r="V717" s="125"/>
      <c r="W717" s="154"/>
      <c r="X717" s="125"/>
      <c r="Y717" s="3"/>
    </row>
    <row r="718" spans="8:25" x14ac:dyDescent="0.3">
      <c r="H718" s="160">
        <v>41205</v>
      </c>
      <c r="I718" s="159">
        <v>32.500818000000002</v>
      </c>
      <c r="J718" s="123">
        <f t="shared" si="122"/>
        <v>-2.4092947252200115E-2</v>
      </c>
      <c r="K718" s="165">
        <v>1413.1099850000001</v>
      </c>
      <c r="L718" s="124">
        <f t="shared" si="123"/>
        <v>-1.4443906334108161E-2</v>
      </c>
      <c r="N718" s="150"/>
      <c r="O718" s="154"/>
      <c r="P718" s="125"/>
      <c r="Q718" s="154"/>
      <c r="R718" s="125"/>
      <c r="S718" s="3"/>
      <c r="T718" s="150"/>
      <c r="U718" s="154"/>
      <c r="V718" s="125"/>
      <c r="W718" s="154"/>
      <c r="X718" s="125"/>
      <c r="Y718" s="3"/>
    </row>
    <row r="719" spans="8:25" x14ac:dyDescent="0.3">
      <c r="H719" s="160">
        <v>41204</v>
      </c>
      <c r="I719" s="159">
        <v>33.303190000000001</v>
      </c>
      <c r="J719" s="123">
        <f t="shared" si="122"/>
        <v>1.1467822686933268E-2</v>
      </c>
      <c r="K719" s="165">
        <v>1433.8199460000001</v>
      </c>
      <c r="L719" s="124">
        <f t="shared" si="123"/>
        <v>4.3958234842228966E-4</v>
      </c>
      <c r="N719" s="150"/>
      <c r="O719" s="154"/>
      <c r="P719" s="125"/>
      <c r="Q719" s="154"/>
      <c r="R719" s="125"/>
      <c r="S719" s="3"/>
      <c r="T719" s="150"/>
      <c r="U719" s="154"/>
      <c r="V719" s="125"/>
      <c r="W719" s="154"/>
      <c r="X719" s="125"/>
      <c r="Y719" s="3"/>
    </row>
    <row r="720" spans="8:25" x14ac:dyDescent="0.3">
      <c r="H720" s="160">
        <v>41201</v>
      </c>
      <c r="I720" s="159">
        <v>32.925604999999997</v>
      </c>
      <c r="J720" s="123">
        <f t="shared" si="122"/>
        <v>-1.8846648534113868E-2</v>
      </c>
      <c r="K720" s="165">
        <v>1433.1899410000001</v>
      </c>
      <c r="L720" s="124">
        <f t="shared" si="123"/>
        <v>-1.6571304955209001E-2</v>
      </c>
      <c r="N720" s="150"/>
      <c r="O720" s="154"/>
      <c r="P720" s="125"/>
      <c r="Q720" s="154"/>
      <c r="R720" s="125"/>
      <c r="S720" s="3"/>
      <c r="T720" s="150"/>
      <c r="U720" s="154"/>
      <c r="V720" s="125"/>
      <c r="W720" s="154"/>
      <c r="X720" s="125"/>
      <c r="Y720" s="3"/>
    </row>
    <row r="721" spans="8:25" x14ac:dyDescent="0.3">
      <c r="H721" s="160">
        <v>41200</v>
      </c>
      <c r="I721" s="159">
        <v>33.558062</v>
      </c>
      <c r="J721" s="123">
        <f t="shared" si="122"/>
        <v>-1.9039794966307731E-2</v>
      </c>
      <c r="K721" s="165">
        <v>1457.339966</v>
      </c>
      <c r="L721" s="124">
        <f t="shared" si="123"/>
        <v>-2.443728851820585E-3</v>
      </c>
      <c r="N721" s="150"/>
      <c r="O721" s="154"/>
      <c r="P721" s="125"/>
      <c r="Q721" s="154"/>
      <c r="R721" s="125"/>
      <c r="S721" s="3"/>
      <c r="T721" s="150"/>
      <c r="U721" s="154"/>
      <c r="V721" s="125"/>
      <c r="W721" s="154"/>
      <c r="X721" s="125"/>
      <c r="Y721" s="3"/>
    </row>
    <row r="722" spans="8:25" x14ac:dyDescent="0.3">
      <c r="H722" s="160">
        <v>41199</v>
      </c>
      <c r="I722" s="159">
        <v>34.209401999999997</v>
      </c>
      <c r="J722" s="123">
        <f t="shared" si="122"/>
        <v>-3.0260335407023449E-3</v>
      </c>
      <c r="K722" s="165">
        <v>1460.910034</v>
      </c>
      <c r="L722" s="124">
        <f t="shared" si="123"/>
        <v>4.1170578580605726E-3</v>
      </c>
      <c r="N722" s="150"/>
      <c r="O722" s="154"/>
      <c r="P722" s="125"/>
      <c r="Q722" s="154"/>
      <c r="R722" s="125"/>
      <c r="S722" s="3"/>
      <c r="T722" s="150"/>
      <c r="U722" s="154"/>
      <c r="V722" s="125"/>
      <c r="W722" s="154"/>
      <c r="X722" s="125"/>
      <c r="Y722" s="3"/>
    </row>
    <row r="723" spans="8:25" x14ac:dyDescent="0.3">
      <c r="H723" s="160">
        <v>41198</v>
      </c>
      <c r="I723" s="159">
        <v>34.313234999999999</v>
      </c>
      <c r="J723" s="123">
        <f t="shared" si="122"/>
        <v>1.6783163444914623E-2</v>
      </c>
      <c r="K723" s="165">
        <v>1454.920044</v>
      </c>
      <c r="L723" s="124">
        <f t="shared" si="123"/>
        <v>1.0269933234256847E-2</v>
      </c>
      <c r="N723" s="150"/>
      <c r="O723" s="154"/>
      <c r="P723" s="125"/>
      <c r="Q723" s="154"/>
      <c r="R723" s="125"/>
      <c r="S723" s="3"/>
      <c r="T723" s="150"/>
      <c r="U723" s="154"/>
      <c r="V723" s="125"/>
      <c r="W723" s="154"/>
      <c r="X723" s="125"/>
      <c r="Y723" s="3"/>
    </row>
    <row r="724" spans="8:25" x14ac:dyDescent="0.3">
      <c r="H724" s="160">
        <v>41197</v>
      </c>
      <c r="I724" s="159">
        <v>33.746856000000001</v>
      </c>
      <c r="J724" s="123">
        <f t="shared" si="122"/>
        <v>-7.4958543283446914E-3</v>
      </c>
      <c r="K724" s="165">
        <v>1440.130005</v>
      </c>
      <c r="L724" s="124">
        <f t="shared" si="123"/>
        <v>8.0779224792623099E-3</v>
      </c>
      <c r="N724" s="150"/>
      <c r="O724" s="154"/>
      <c r="P724" s="125"/>
      <c r="Q724" s="154"/>
      <c r="R724" s="125"/>
      <c r="S724" s="3"/>
      <c r="T724" s="150"/>
      <c r="U724" s="154"/>
      <c r="V724" s="125"/>
      <c r="W724" s="154"/>
      <c r="X724" s="125"/>
      <c r="Y724" s="3"/>
    </row>
    <row r="725" spans="8:25" x14ac:dyDescent="0.3">
      <c r="H725" s="160">
        <v>41194</v>
      </c>
      <c r="I725" s="159">
        <v>34.001728</v>
      </c>
      <c r="J725" s="123">
        <f t="shared" si="122"/>
        <v>-1.5578004833787462E-2</v>
      </c>
      <c r="K725" s="165">
        <v>1428.589966</v>
      </c>
      <c r="L725" s="124">
        <f t="shared" si="123"/>
        <v>-2.9661372524836453E-3</v>
      </c>
      <c r="N725" s="150"/>
      <c r="O725" s="154"/>
      <c r="P725" s="125"/>
      <c r="Q725" s="154"/>
      <c r="R725" s="125"/>
      <c r="S725" s="3"/>
      <c r="T725" s="150"/>
      <c r="U725" s="154"/>
      <c r="V725" s="125"/>
      <c r="W725" s="154"/>
      <c r="X725" s="125"/>
      <c r="Y725" s="3"/>
    </row>
    <row r="726" spans="8:25" x14ac:dyDescent="0.3">
      <c r="H726" s="160">
        <v>41193</v>
      </c>
      <c r="I726" s="159">
        <v>34.539788999999999</v>
      </c>
      <c r="J726" s="123">
        <f t="shared" si="122"/>
        <v>6.0489719319650782E-3</v>
      </c>
      <c r="K726" s="165">
        <v>1432.839966</v>
      </c>
      <c r="L726" s="124">
        <f t="shared" si="123"/>
        <v>1.9538936482389662E-4</v>
      </c>
      <c r="N726" s="150"/>
      <c r="O726" s="154"/>
      <c r="P726" s="125"/>
      <c r="Q726" s="154"/>
      <c r="R726" s="125"/>
      <c r="S726" s="3"/>
      <c r="T726" s="150"/>
      <c r="U726" s="154"/>
      <c r="V726" s="125"/>
      <c r="W726" s="154"/>
      <c r="X726" s="125"/>
      <c r="Y726" s="3"/>
    </row>
    <row r="727" spans="8:25" x14ac:dyDescent="0.3">
      <c r="H727" s="160">
        <v>41192</v>
      </c>
      <c r="I727" s="159">
        <v>34.332115000000002</v>
      </c>
      <c r="J727" s="123">
        <f t="shared" si="122"/>
        <v>-2.2048945300753253E-2</v>
      </c>
      <c r="K727" s="165">
        <v>1432.5600589999999</v>
      </c>
      <c r="L727" s="124">
        <f t="shared" si="123"/>
        <v>-6.1880297498132153E-3</v>
      </c>
      <c r="N727" s="150"/>
      <c r="O727" s="154"/>
      <c r="P727" s="125"/>
      <c r="Q727" s="154"/>
      <c r="R727" s="125"/>
      <c r="S727" s="3"/>
      <c r="T727" s="150"/>
      <c r="U727" s="154"/>
      <c r="V727" s="125"/>
      <c r="W727" s="154"/>
      <c r="X727" s="125"/>
      <c r="Y727" s="3"/>
    </row>
    <row r="728" spans="8:25" x14ac:dyDescent="0.3">
      <c r="H728" s="160">
        <v>41191</v>
      </c>
      <c r="I728" s="159">
        <v>35.106169000000001</v>
      </c>
      <c r="J728" s="123">
        <f t="shared" si="122"/>
        <v>-2.9994805719858676E-2</v>
      </c>
      <c r="K728" s="165">
        <v>1441.4799800000001</v>
      </c>
      <c r="L728" s="124">
        <f t="shared" si="123"/>
        <v>-9.8909422140184659E-3</v>
      </c>
      <c r="N728" s="150"/>
      <c r="O728" s="154"/>
      <c r="P728" s="125"/>
      <c r="Q728" s="154"/>
      <c r="R728" s="125"/>
      <c r="S728" s="3"/>
      <c r="T728" s="150"/>
      <c r="U728" s="154"/>
      <c r="V728" s="125"/>
      <c r="W728" s="154"/>
      <c r="X728" s="125"/>
      <c r="Y728" s="3"/>
    </row>
    <row r="729" spans="8:25" x14ac:dyDescent="0.3">
      <c r="H729" s="160">
        <v>41190</v>
      </c>
      <c r="I729" s="159">
        <v>36.191732999999999</v>
      </c>
      <c r="J729" s="123">
        <f t="shared" si="122"/>
        <v>9.2129001516006066E-3</v>
      </c>
      <c r="K729" s="165">
        <v>1455.880005</v>
      </c>
      <c r="L729" s="124">
        <f t="shared" si="123"/>
        <v>-3.4567356501243865E-3</v>
      </c>
      <c r="N729" s="150"/>
      <c r="O729" s="154"/>
      <c r="P729" s="125"/>
      <c r="Q729" s="154"/>
      <c r="R729" s="125"/>
      <c r="S729" s="3"/>
      <c r="T729" s="150"/>
      <c r="U729" s="154"/>
      <c r="V729" s="125"/>
      <c r="W729" s="154"/>
      <c r="X729" s="125"/>
      <c r="Y729" s="3"/>
    </row>
    <row r="730" spans="8:25" x14ac:dyDescent="0.3">
      <c r="H730" s="160">
        <v>41187</v>
      </c>
      <c r="I730" s="159">
        <v>35.861345999999998</v>
      </c>
      <c r="J730" s="123">
        <f t="shared" si="122"/>
        <v>0</v>
      </c>
      <c r="K730" s="165">
        <v>1460.9300539999999</v>
      </c>
      <c r="L730" s="124">
        <f t="shared" si="123"/>
        <v>-3.2158888208701919E-4</v>
      </c>
      <c r="N730" s="150"/>
      <c r="O730" s="154"/>
      <c r="P730" s="125"/>
      <c r="Q730" s="154"/>
      <c r="R730" s="125"/>
      <c r="S730" s="3"/>
      <c r="T730" s="150"/>
      <c r="U730" s="154"/>
      <c r="V730" s="125"/>
      <c r="W730" s="154"/>
      <c r="X730" s="125"/>
      <c r="Y730" s="3"/>
    </row>
    <row r="731" spans="8:25" x14ac:dyDescent="0.3">
      <c r="H731" s="160">
        <v>41186</v>
      </c>
      <c r="I731" s="159">
        <v>35.861345999999998</v>
      </c>
      <c r="J731" s="123">
        <f t="shared" si="122"/>
        <v>1.0372438998517813E-2</v>
      </c>
      <c r="K731" s="165">
        <v>1461.400024</v>
      </c>
      <c r="L731" s="124">
        <f t="shared" si="123"/>
        <v>7.1744354349405235E-3</v>
      </c>
      <c r="N731" s="150"/>
      <c r="O731" s="154"/>
      <c r="P731" s="125"/>
      <c r="Q731" s="154"/>
      <c r="R731" s="125"/>
      <c r="S731" s="3"/>
      <c r="T731" s="150"/>
      <c r="U731" s="154"/>
      <c r="V731" s="125"/>
      <c r="W731" s="154"/>
      <c r="X731" s="125"/>
      <c r="Y731" s="3"/>
    </row>
    <row r="732" spans="8:25" x14ac:dyDescent="0.3">
      <c r="H732" s="160">
        <v>41185</v>
      </c>
      <c r="I732" s="159">
        <v>35.493195</v>
      </c>
      <c r="J732" s="123">
        <f t="shared" si="122"/>
        <v>-1.4933200914972146E-2</v>
      </c>
      <c r="K732" s="165">
        <v>1450.98999</v>
      </c>
      <c r="L732" s="124">
        <f t="shared" si="123"/>
        <v>3.6244094760505166E-3</v>
      </c>
      <c r="N732" s="150"/>
      <c r="O732" s="154"/>
      <c r="P732" s="125"/>
      <c r="Q732" s="154"/>
      <c r="R732" s="125"/>
      <c r="S732" s="3"/>
      <c r="T732" s="150"/>
      <c r="U732" s="154"/>
      <c r="V732" s="125"/>
      <c r="W732" s="154"/>
      <c r="X732" s="125"/>
      <c r="Y732" s="3"/>
    </row>
    <row r="733" spans="8:25" x14ac:dyDescent="0.3">
      <c r="H733" s="160">
        <v>41184</v>
      </c>
      <c r="I733" s="159">
        <v>36.031256999999997</v>
      </c>
      <c r="J733" s="123">
        <f t="shared" si="122"/>
        <v>1.3116363554204521E-3</v>
      </c>
      <c r="K733" s="165">
        <v>1445.75</v>
      </c>
      <c r="L733" s="124">
        <f t="shared" si="123"/>
        <v>8.7228711083000697E-4</v>
      </c>
      <c r="N733" s="150"/>
      <c r="O733" s="154"/>
      <c r="P733" s="125"/>
      <c r="Q733" s="154"/>
      <c r="R733" s="125"/>
      <c r="S733" s="3"/>
      <c r="T733" s="150"/>
      <c r="U733" s="154"/>
      <c r="V733" s="125"/>
      <c r="W733" s="154"/>
      <c r="X733" s="125"/>
      <c r="Y733" s="3"/>
    </row>
    <row r="734" spans="8:25" x14ac:dyDescent="0.3">
      <c r="H734" s="160">
        <v>41183</v>
      </c>
      <c r="I734" s="159">
        <v>35.984059000000002</v>
      </c>
      <c r="J734" s="123">
        <f t="shared" si="122"/>
        <v>-1.5750079048399441E-2</v>
      </c>
      <c r="K734" s="165">
        <v>1444.48999</v>
      </c>
      <c r="L734" s="124">
        <f t="shared" si="123"/>
        <v>2.6515065097029761E-3</v>
      </c>
      <c r="N734" s="150"/>
      <c r="O734" s="154"/>
      <c r="P734" s="125"/>
      <c r="Q734" s="154"/>
      <c r="R734" s="125"/>
      <c r="S734" s="3"/>
      <c r="T734" s="150"/>
      <c r="U734" s="154"/>
      <c r="V734" s="125"/>
      <c r="W734" s="154"/>
      <c r="X734" s="125"/>
      <c r="Y734" s="3"/>
    </row>
    <row r="735" spans="8:25" x14ac:dyDescent="0.3">
      <c r="H735" s="160">
        <v>41180</v>
      </c>
      <c r="I735" s="159">
        <v>36.55988</v>
      </c>
      <c r="J735" s="123">
        <f t="shared" si="122"/>
        <v>-2.147555065934853E-2</v>
      </c>
      <c r="K735" s="165">
        <v>1440.670044</v>
      </c>
      <c r="L735" s="124">
        <f t="shared" si="123"/>
        <v>-4.4777527502567133E-3</v>
      </c>
      <c r="N735" s="150"/>
      <c r="O735" s="154"/>
      <c r="P735" s="125"/>
      <c r="Q735" s="154"/>
      <c r="R735" s="125"/>
      <c r="S735" s="3"/>
      <c r="T735" s="150"/>
      <c r="U735" s="154"/>
      <c r="V735" s="125"/>
      <c r="W735" s="154"/>
      <c r="X735" s="125"/>
      <c r="Y735" s="3"/>
    </row>
    <row r="736" spans="8:25" x14ac:dyDescent="0.3">
      <c r="H736" s="160">
        <v>41179</v>
      </c>
      <c r="I736" s="159">
        <v>37.362254999999998</v>
      </c>
      <c r="J736" s="123">
        <f t="shared" si="122"/>
        <v>2.5123053299477397E-2</v>
      </c>
      <c r="K736" s="165">
        <v>1447.150024</v>
      </c>
      <c r="L736" s="124">
        <f t="shared" si="123"/>
        <v>9.6489817493964868E-3</v>
      </c>
      <c r="N736" s="150"/>
      <c r="O736" s="154"/>
      <c r="P736" s="125"/>
      <c r="Q736" s="154"/>
      <c r="R736" s="125"/>
      <c r="S736" s="3"/>
      <c r="T736" s="150"/>
      <c r="U736" s="154"/>
      <c r="V736" s="125"/>
      <c r="W736" s="154"/>
      <c r="X736" s="125"/>
      <c r="Y736" s="3"/>
    </row>
    <row r="737" spans="8:25" x14ac:dyDescent="0.3">
      <c r="H737" s="160">
        <v>41178</v>
      </c>
      <c r="I737" s="159">
        <v>36.446604999999998</v>
      </c>
      <c r="J737" s="123">
        <f t="shared" si="122"/>
        <v>-2.0050768518463838E-2</v>
      </c>
      <c r="K737" s="165">
        <v>1433.3199460000001</v>
      </c>
      <c r="L737" s="124">
        <f t="shared" si="123"/>
        <v>-5.7367352680366334E-3</v>
      </c>
      <c r="N737" s="150"/>
      <c r="O737" s="154"/>
      <c r="P737" s="125"/>
      <c r="Q737" s="154"/>
      <c r="R737" s="125"/>
      <c r="S737" s="3"/>
      <c r="T737" s="150"/>
      <c r="U737" s="154"/>
      <c r="V737" s="125"/>
      <c r="W737" s="154"/>
      <c r="X737" s="125"/>
      <c r="Y737" s="3"/>
    </row>
    <row r="738" spans="8:25" x14ac:dyDescent="0.3">
      <c r="H738" s="160">
        <v>41177</v>
      </c>
      <c r="I738" s="159">
        <v>37.192340000000002</v>
      </c>
      <c r="J738" s="123">
        <f t="shared" si="122"/>
        <v>-9.2453516511516523E-3</v>
      </c>
      <c r="K738" s="165">
        <v>1441.589966</v>
      </c>
      <c r="L738" s="124">
        <f t="shared" si="123"/>
        <v>-1.0501855900220406E-2</v>
      </c>
      <c r="N738" s="150"/>
      <c r="O738" s="154"/>
      <c r="P738" s="125"/>
      <c r="Q738" s="154"/>
      <c r="R738" s="125"/>
      <c r="S738" s="3"/>
      <c r="T738" s="150"/>
      <c r="U738" s="154"/>
      <c r="V738" s="125"/>
      <c r="W738" s="154"/>
      <c r="X738" s="125"/>
      <c r="Y738" s="3"/>
    </row>
    <row r="739" spans="8:25" x14ac:dyDescent="0.3">
      <c r="H739" s="160">
        <v>41176</v>
      </c>
      <c r="I739" s="159">
        <v>37.539405000000002</v>
      </c>
      <c r="J739" s="123">
        <f t="shared" si="122"/>
        <v>-3.4860489950193228E-3</v>
      </c>
      <c r="K739" s="165">
        <v>1456.8900149999999</v>
      </c>
      <c r="L739" s="124">
        <f t="shared" si="123"/>
        <v>-2.232653457806663E-3</v>
      </c>
      <c r="N739" s="150"/>
      <c r="O739" s="154"/>
      <c r="P739" s="125"/>
      <c r="Q739" s="154"/>
      <c r="R739" s="125"/>
      <c r="S739" s="3"/>
      <c r="T739" s="150"/>
      <c r="U739" s="154"/>
      <c r="V739" s="125"/>
      <c r="W739" s="154"/>
      <c r="X739" s="125"/>
      <c r="Y739" s="3"/>
    </row>
    <row r="740" spans="8:25" x14ac:dyDescent="0.3">
      <c r="H740" s="160">
        <v>41173</v>
      </c>
      <c r="I740" s="159">
        <v>37.670726999999999</v>
      </c>
      <c r="J740" s="123">
        <f t="shared" si="122"/>
        <v>2.7898655787177436E-2</v>
      </c>
      <c r="K740" s="165">
        <v>1460.150024</v>
      </c>
      <c r="L740" s="124">
        <f t="shared" si="123"/>
        <v>-7.5319463141317766E-5</v>
      </c>
      <c r="N740" s="150"/>
      <c r="O740" s="154"/>
      <c r="P740" s="125"/>
      <c r="Q740" s="154"/>
      <c r="R740" s="125"/>
      <c r="S740" s="3"/>
      <c r="T740" s="150"/>
      <c r="U740" s="154"/>
      <c r="V740" s="125"/>
      <c r="W740" s="154"/>
      <c r="X740" s="125"/>
      <c r="Y740" s="3"/>
    </row>
    <row r="741" spans="8:25" x14ac:dyDescent="0.3">
      <c r="H741" s="160">
        <v>41172</v>
      </c>
      <c r="I741" s="159">
        <v>36.648288999999998</v>
      </c>
      <c r="J741" s="123">
        <f t="shared" si="122"/>
        <v>0</v>
      </c>
      <c r="K741" s="165">
        <v>1460.26001</v>
      </c>
      <c r="L741" s="124">
        <f t="shared" si="123"/>
        <v>-5.407337007659064E-4</v>
      </c>
      <c r="N741" s="150"/>
      <c r="O741" s="154"/>
      <c r="P741" s="125"/>
      <c r="Q741" s="154"/>
      <c r="R741" s="125"/>
      <c r="S741" s="3"/>
      <c r="T741" s="150"/>
      <c r="U741" s="154"/>
      <c r="V741" s="125"/>
      <c r="W741" s="154"/>
      <c r="X741" s="125"/>
      <c r="Y741" s="3"/>
    </row>
    <row r="742" spans="8:25" x14ac:dyDescent="0.3">
      <c r="H742" s="160">
        <v>41171</v>
      </c>
      <c r="I742" s="159">
        <v>36.648288999999998</v>
      </c>
      <c r="J742" s="123">
        <f t="shared" si="122"/>
        <v>-7.3679219692465749E-3</v>
      </c>
      <c r="K742" s="165">
        <v>1461.0500489999999</v>
      </c>
      <c r="L742" s="124">
        <f t="shared" si="123"/>
        <v>1.185554274607216E-3</v>
      </c>
      <c r="N742" s="150"/>
      <c r="O742" s="154"/>
      <c r="P742" s="125"/>
      <c r="Q742" s="154"/>
      <c r="R742" s="125"/>
      <c r="S742" s="3"/>
      <c r="T742" s="150"/>
      <c r="U742" s="154"/>
      <c r="V742" s="125"/>
      <c r="W742" s="154"/>
      <c r="X742" s="125"/>
      <c r="Y742" s="3"/>
    </row>
    <row r="743" spans="8:25" x14ac:dyDescent="0.3">
      <c r="H743" s="160">
        <v>41170</v>
      </c>
      <c r="I743" s="159">
        <v>36.920315000000002</v>
      </c>
      <c r="J743" s="123">
        <f t="shared" si="122"/>
        <v>-3.0394884804517872E-3</v>
      </c>
      <c r="K743" s="165">
        <v>1459.3199460000001</v>
      </c>
      <c r="L743" s="124">
        <f t="shared" si="123"/>
        <v>-1.2797754402280115E-3</v>
      </c>
      <c r="N743" s="150"/>
      <c r="O743" s="154"/>
      <c r="P743" s="125"/>
      <c r="Q743" s="154"/>
      <c r="R743" s="125"/>
      <c r="S743" s="3"/>
      <c r="T743" s="150"/>
      <c r="U743" s="154"/>
      <c r="V743" s="125"/>
      <c r="W743" s="154"/>
      <c r="X743" s="125"/>
      <c r="Y743" s="3"/>
    </row>
    <row r="744" spans="8:25" x14ac:dyDescent="0.3">
      <c r="H744" s="160">
        <v>41169</v>
      </c>
      <c r="I744" s="159">
        <v>37.032876000000002</v>
      </c>
      <c r="J744" s="123">
        <f t="shared" si="122"/>
        <v>-3.848031139498248E-2</v>
      </c>
      <c r="K744" s="165">
        <v>1461.1899410000001</v>
      </c>
      <c r="L744" s="124">
        <f t="shared" si="123"/>
        <v>-3.1246914164609818E-3</v>
      </c>
      <c r="N744" s="150"/>
      <c r="O744" s="154"/>
      <c r="P744" s="125"/>
      <c r="Q744" s="154"/>
      <c r="R744" s="125"/>
      <c r="S744" s="3"/>
      <c r="T744" s="150"/>
      <c r="U744" s="154"/>
      <c r="V744" s="125"/>
      <c r="W744" s="154"/>
      <c r="X744" s="125"/>
      <c r="Y744" s="3"/>
    </row>
    <row r="745" spans="8:25" x14ac:dyDescent="0.3">
      <c r="H745" s="160">
        <v>41166</v>
      </c>
      <c r="I745" s="159">
        <v>38.514943000000002</v>
      </c>
      <c r="J745" s="123">
        <f t="shared" si="122"/>
        <v>-3.5697521587488283E-2</v>
      </c>
      <c r="K745" s="165">
        <v>1465.7700199999999</v>
      </c>
      <c r="L745" s="124">
        <f t="shared" si="123"/>
        <v>3.9589518007585086E-3</v>
      </c>
      <c r="N745" s="150"/>
      <c r="O745" s="154"/>
      <c r="P745" s="125"/>
      <c r="Q745" s="154"/>
      <c r="R745" s="125"/>
      <c r="S745" s="3"/>
      <c r="T745" s="150"/>
      <c r="U745" s="154"/>
      <c r="V745" s="125"/>
      <c r="W745" s="154"/>
      <c r="X745" s="125"/>
      <c r="Y745" s="3"/>
    </row>
    <row r="746" spans="8:25" x14ac:dyDescent="0.3">
      <c r="H746" s="160">
        <v>41165</v>
      </c>
      <c r="I746" s="159">
        <v>39.940728</v>
      </c>
      <c r="J746" s="123">
        <f t="shared" si="122"/>
        <v>2.6518862981197093E-2</v>
      </c>
      <c r="K746" s="165">
        <v>1459.98999</v>
      </c>
      <c r="L746" s="124">
        <f t="shared" si="123"/>
        <v>1.6309746921621831E-2</v>
      </c>
      <c r="N746" s="150"/>
      <c r="O746" s="154"/>
      <c r="P746" s="125"/>
      <c r="Q746" s="154"/>
      <c r="R746" s="125"/>
      <c r="S746" s="3"/>
      <c r="T746" s="150"/>
      <c r="U746" s="154"/>
      <c r="V746" s="125"/>
      <c r="W746" s="154"/>
      <c r="X746" s="125"/>
      <c r="Y746" s="3"/>
    </row>
    <row r="747" spans="8:25" x14ac:dyDescent="0.3">
      <c r="H747" s="160">
        <v>41164</v>
      </c>
      <c r="I747" s="159">
        <v>38.908907999999997</v>
      </c>
      <c r="J747" s="123">
        <f t="shared" si="122"/>
        <v>-1.8224866929905555E-2</v>
      </c>
      <c r="K747" s="165">
        <v>1436.5600589999999</v>
      </c>
      <c r="L747" s="124">
        <f t="shared" si="123"/>
        <v>2.0926922322966313E-3</v>
      </c>
      <c r="N747" s="150"/>
      <c r="O747" s="154"/>
      <c r="P747" s="125"/>
      <c r="Q747" s="154"/>
      <c r="R747" s="125"/>
      <c r="S747" s="3"/>
      <c r="T747" s="150"/>
      <c r="U747" s="154"/>
      <c r="V747" s="125"/>
      <c r="W747" s="154"/>
      <c r="X747" s="125"/>
      <c r="Y747" s="3"/>
    </row>
    <row r="748" spans="8:25" x14ac:dyDescent="0.3">
      <c r="H748" s="160">
        <v>41163</v>
      </c>
      <c r="I748" s="159">
        <v>39.631180999999998</v>
      </c>
      <c r="J748" s="123">
        <f t="shared" si="122"/>
        <v>2.598348057901945E-2</v>
      </c>
      <c r="K748" s="165">
        <v>1433.5600589999999</v>
      </c>
      <c r="L748" s="124">
        <f t="shared" si="123"/>
        <v>3.1349561521663884E-3</v>
      </c>
      <c r="N748" s="150"/>
      <c r="O748" s="154"/>
      <c r="P748" s="125"/>
      <c r="Q748" s="154"/>
      <c r="R748" s="125"/>
      <c r="S748" s="3"/>
      <c r="T748" s="150"/>
      <c r="U748" s="154"/>
      <c r="V748" s="125"/>
      <c r="W748" s="154"/>
      <c r="X748" s="125"/>
      <c r="Y748" s="3"/>
    </row>
    <row r="749" spans="8:25" x14ac:dyDescent="0.3">
      <c r="H749" s="160">
        <v>41162</v>
      </c>
      <c r="I749" s="159">
        <v>38.627504000000002</v>
      </c>
      <c r="J749" s="123">
        <f t="shared" si="122"/>
        <v>-1.6244625828545235E-2</v>
      </c>
      <c r="K749" s="165">
        <v>1429.079956</v>
      </c>
      <c r="L749" s="124">
        <f t="shared" si="123"/>
        <v>-6.147830011054442E-3</v>
      </c>
      <c r="N749" s="150"/>
      <c r="O749" s="154"/>
      <c r="P749" s="125"/>
      <c r="Q749" s="154"/>
      <c r="R749" s="125"/>
      <c r="S749" s="3"/>
      <c r="T749" s="150"/>
      <c r="U749" s="154"/>
      <c r="V749" s="125"/>
      <c r="W749" s="154"/>
      <c r="X749" s="125"/>
      <c r="Y749" s="3"/>
    </row>
    <row r="750" spans="8:25" x14ac:dyDescent="0.3">
      <c r="H750" s="160">
        <v>41159</v>
      </c>
      <c r="I750" s="159">
        <v>39.265355</v>
      </c>
      <c r="J750" s="123">
        <f t="shared" si="122"/>
        <v>-2.8995588912622109E-2</v>
      </c>
      <c r="K750" s="165">
        <v>1437.920044</v>
      </c>
      <c r="L750" s="124">
        <f t="shared" si="123"/>
        <v>4.0499741783159337E-3</v>
      </c>
      <c r="N750" s="150"/>
      <c r="O750" s="154"/>
      <c r="P750" s="125"/>
      <c r="Q750" s="154"/>
      <c r="R750" s="125"/>
      <c r="S750" s="3"/>
      <c r="T750" s="150"/>
      <c r="U750" s="154"/>
      <c r="V750" s="125"/>
      <c r="W750" s="154"/>
      <c r="X750" s="125"/>
      <c r="Y750" s="3"/>
    </row>
    <row r="751" spans="8:25" x14ac:dyDescent="0.3">
      <c r="H751" s="160">
        <v>41158</v>
      </c>
      <c r="I751" s="159">
        <v>40.437874999999998</v>
      </c>
      <c r="J751" s="123">
        <f t="shared" si="122"/>
        <v>3.0353742289076002E-2</v>
      </c>
      <c r="K751" s="165">
        <v>1432.119995</v>
      </c>
      <c r="L751" s="124">
        <f t="shared" si="123"/>
        <v>2.0435540675552089E-2</v>
      </c>
      <c r="N751" s="150"/>
      <c r="O751" s="154"/>
      <c r="P751" s="125"/>
      <c r="Q751" s="154"/>
      <c r="R751" s="125"/>
      <c r="S751" s="3"/>
      <c r="T751" s="150"/>
      <c r="U751" s="154"/>
      <c r="V751" s="125"/>
      <c r="W751" s="154"/>
      <c r="X751" s="125"/>
      <c r="Y751" s="3"/>
    </row>
    <row r="752" spans="8:25" x14ac:dyDescent="0.3">
      <c r="H752" s="160">
        <v>41157</v>
      </c>
      <c r="I752" s="159">
        <v>39.246594000000002</v>
      </c>
      <c r="J752" s="123">
        <f t="shared" si="122"/>
        <v>-1.1342161676235982E-2</v>
      </c>
      <c r="K752" s="165">
        <v>1403.4399410000001</v>
      </c>
      <c r="L752" s="124">
        <f t="shared" si="123"/>
        <v>-1.0676612972739166E-3</v>
      </c>
      <c r="N752" s="150"/>
      <c r="O752" s="154"/>
      <c r="P752" s="125"/>
      <c r="Q752" s="154"/>
      <c r="R752" s="125"/>
      <c r="S752" s="3"/>
      <c r="T752" s="150"/>
      <c r="U752" s="154"/>
      <c r="V752" s="125"/>
      <c r="W752" s="154"/>
      <c r="X752" s="125"/>
      <c r="Y752" s="3"/>
    </row>
    <row r="753" spans="8:25" x14ac:dyDescent="0.3">
      <c r="H753" s="160">
        <v>41156</v>
      </c>
      <c r="I753" s="159">
        <v>39.696841999999997</v>
      </c>
      <c r="J753" s="123">
        <f t="shared" si="122"/>
        <v>1.1956000425616035E-2</v>
      </c>
      <c r="K753" s="165">
        <v>1404.9399410000001</v>
      </c>
      <c r="L753" s="124">
        <f t="shared" si="123"/>
        <v>-1.1659593135848357E-3</v>
      </c>
      <c r="N753" s="150"/>
      <c r="O753" s="154"/>
      <c r="P753" s="125"/>
      <c r="Q753" s="154"/>
      <c r="R753" s="125"/>
      <c r="S753" s="3"/>
      <c r="T753" s="150"/>
      <c r="U753" s="154"/>
      <c r="V753" s="125"/>
      <c r="W753" s="154"/>
      <c r="X753" s="125"/>
      <c r="Y753" s="3"/>
    </row>
    <row r="754" spans="8:25" x14ac:dyDescent="0.3">
      <c r="H754" s="160">
        <v>41152</v>
      </c>
      <c r="I754" s="159">
        <v>39.227834000000001</v>
      </c>
      <c r="J754" s="123">
        <f t="shared" si="122"/>
        <v>-6.6507933039146906E-3</v>
      </c>
      <c r="K754" s="165">
        <v>1406.579956</v>
      </c>
      <c r="L754" s="124">
        <f t="shared" si="123"/>
        <v>5.0732958680837787E-3</v>
      </c>
      <c r="N754" s="150"/>
      <c r="O754" s="154"/>
      <c r="P754" s="125"/>
      <c r="Q754" s="154"/>
      <c r="R754" s="125"/>
      <c r="S754" s="3"/>
      <c r="T754" s="150"/>
      <c r="U754" s="154"/>
      <c r="V754" s="125"/>
      <c r="W754" s="154"/>
      <c r="X754" s="125"/>
      <c r="Y754" s="3"/>
    </row>
    <row r="755" spans="8:25" x14ac:dyDescent="0.3">
      <c r="H755" s="160">
        <v>41151</v>
      </c>
      <c r="I755" s="159">
        <v>39.490476999999998</v>
      </c>
      <c r="J755" s="123">
        <f t="shared" si="122"/>
        <v>-3.2183943314357644E-2</v>
      </c>
      <c r="K755" s="165">
        <v>1399.4799800000001</v>
      </c>
      <c r="L755" s="124">
        <f t="shared" si="123"/>
        <v>-7.8058051301732141E-3</v>
      </c>
      <c r="N755" s="150"/>
      <c r="O755" s="154"/>
      <c r="P755" s="125"/>
      <c r="Q755" s="154"/>
      <c r="R755" s="125"/>
      <c r="S755" s="3"/>
      <c r="T755" s="150"/>
      <c r="U755" s="154"/>
      <c r="V755" s="125"/>
      <c r="W755" s="154"/>
      <c r="X755" s="125"/>
      <c r="Y755" s="3"/>
    </row>
    <row r="756" spans="8:25" x14ac:dyDescent="0.3">
      <c r="H756" s="160">
        <v>41150</v>
      </c>
      <c r="I756" s="159">
        <v>40.803700999999997</v>
      </c>
      <c r="J756" s="123">
        <f t="shared" si="122"/>
        <v>0</v>
      </c>
      <c r="K756" s="165">
        <v>1410.48999</v>
      </c>
      <c r="L756" s="124">
        <f t="shared" si="123"/>
        <v>8.4434893821542037E-4</v>
      </c>
      <c r="N756" s="150"/>
      <c r="O756" s="154"/>
      <c r="P756" s="125"/>
      <c r="Q756" s="154"/>
      <c r="R756" s="125"/>
      <c r="S756" s="3"/>
      <c r="T756" s="150"/>
      <c r="U756" s="154"/>
      <c r="V756" s="125"/>
      <c r="W756" s="154"/>
      <c r="X756" s="125"/>
      <c r="Y756" s="3"/>
    </row>
    <row r="757" spans="8:25" x14ac:dyDescent="0.3">
      <c r="H757" s="160">
        <v>41149</v>
      </c>
      <c r="I757" s="159">
        <v>40.803700999999997</v>
      </c>
      <c r="J757" s="123">
        <f t="shared" si="122"/>
        <v>-6.6225486404660316E-3</v>
      </c>
      <c r="K757" s="165">
        <v>1409.3000489999999</v>
      </c>
      <c r="L757" s="124">
        <f t="shared" si="123"/>
        <v>-8.0818187777067867E-4</v>
      </c>
      <c r="N757" s="150"/>
      <c r="O757" s="154"/>
      <c r="P757" s="125"/>
      <c r="Q757" s="154"/>
      <c r="R757" s="125"/>
      <c r="S757" s="3"/>
      <c r="T757" s="150"/>
      <c r="U757" s="154"/>
      <c r="V757" s="125"/>
      <c r="W757" s="154"/>
      <c r="X757" s="125"/>
      <c r="Y757" s="3"/>
    </row>
    <row r="758" spans="8:25" x14ac:dyDescent="0.3">
      <c r="H758" s="160">
        <v>41148</v>
      </c>
      <c r="I758" s="159">
        <v>41.075727000000001</v>
      </c>
      <c r="J758" s="123">
        <f t="shared" si="122"/>
        <v>3.6672116876157695E-3</v>
      </c>
      <c r="K758" s="165">
        <v>1410.4399410000001</v>
      </c>
      <c r="L758" s="124">
        <f t="shared" si="123"/>
        <v>-4.8901518467810699E-4</v>
      </c>
      <c r="N758" s="150"/>
      <c r="O758" s="154"/>
      <c r="P758" s="125"/>
      <c r="Q758" s="154"/>
      <c r="R758" s="125"/>
      <c r="S758" s="3"/>
      <c r="T758" s="150"/>
      <c r="U758" s="154"/>
      <c r="V758" s="125"/>
      <c r="W758" s="154"/>
      <c r="X758" s="125"/>
      <c r="Y758" s="3"/>
    </row>
    <row r="759" spans="8:25" x14ac:dyDescent="0.3">
      <c r="H759" s="160">
        <v>41145</v>
      </c>
      <c r="I759" s="159">
        <v>40.925643999999998</v>
      </c>
      <c r="J759" s="123">
        <f t="shared" si="122"/>
        <v>3.4499008702722008E-3</v>
      </c>
      <c r="K759" s="165">
        <v>1411.130005</v>
      </c>
      <c r="L759" s="124">
        <f t="shared" si="123"/>
        <v>6.4547310310453824E-3</v>
      </c>
      <c r="N759" s="150"/>
      <c r="O759" s="154"/>
      <c r="P759" s="125"/>
      <c r="Q759" s="154"/>
      <c r="R759" s="125"/>
      <c r="S759" s="3"/>
      <c r="T759" s="150"/>
      <c r="U759" s="154"/>
      <c r="V759" s="125"/>
      <c r="W759" s="154"/>
      <c r="X759" s="125"/>
      <c r="Y759" s="3"/>
    </row>
    <row r="760" spans="8:25" x14ac:dyDescent="0.3">
      <c r="H760" s="160">
        <v>41144</v>
      </c>
      <c r="I760" s="159">
        <v>40.784939999999999</v>
      </c>
      <c r="J760" s="123">
        <f t="shared" si="122"/>
        <v>-2.2921361859647566E-2</v>
      </c>
      <c r="K760" s="165">
        <v>1402.079956</v>
      </c>
      <c r="L760" s="124">
        <f t="shared" si="123"/>
        <v>-8.0722425207977559E-3</v>
      </c>
      <c r="N760" s="150"/>
      <c r="O760" s="154"/>
      <c r="P760" s="125"/>
      <c r="Q760" s="154"/>
      <c r="R760" s="125"/>
      <c r="S760" s="3"/>
      <c r="T760" s="150"/>
      <c r="U760" s="154"/>
      <c r="V760" s="125"/>
      <c r="W760" s="154"/>
      <c r="X760" s="125"/>
      <c r="Y760" s="3"/>
    </row>
    <row r="761" spans="8:25" x14ac:dyDescent="0.3">
      <c r="H761" s="160">
        <v>41143</v>
      </c>
      <c r="I761" s="159">
        <v>41.741717000000001</v>
      </c>
      <c r="J761" s="123">
        <f t="shared" si="122"/>
        <v>-3.5826343102946679E-3</v>
      </c>
      <c r="K761" s="165">
        <v>1413.48999</v>
      </c>
      <c r="L761" s="124">
        <f t="shared" si="123"/>
        <v>2.2640304424686254E-4</v>
      </c>
      <c r="N761" s="150"/>
      <c r="O761" s="154"/>
      <c r="P761" s="125"/>
      <c r="Q761" s="154"/>
      <c r="R761" s="125"/>
      <c r="S761" s="3"/>
      <c r="T761" s="150"/>
      <c r="U761" s="154"/>
      <c r="V761" s="125"/>
      <c r="W761" s="154"/>
      <c r="X761" s="125"/>
      <c r="Y761" s="3"/>
    </row>
    <row r="762" spans="8:25" x14ac:dyDescent="0.3">
      <c r="H762" s="160">
        <v>41142</v>
      </c>
      <c r="I762" s="159">
        <v>41.891800000000003</v>
      </c>
      <c r="J762" s="123">
        <f t="shared" si="122"/>
        <v>-1.4563091951262368E-2</v>
      </c>
      <c r="K762" s="165">
        <v>1413.170044</v>
      </c>
      <c r="L762" s="124">
        <f t="shared" si="123"/>
        <v>-3.4975361796960366E-3</v>
      </c>
      <c r="N762" s="150"/>
      <c r="O762" s="154"/>
      <c r="P762" s="125"/>
      <c r="Q762" s="154"/>
      <c r="R762" s="125"/>
      <c r="S762" s="3"/>
      <c r="T762" s="150"/>
      <c r="U762" s="154"/>
      <c r="V762" s="125"/>
      <c r="W762" s="154"/>
      <c r="X762" s="125"/>
      <c r="Y762" s="3"/>
    </row>
    <row r="763" spans="8:25" x14ac:dyDescent="0.3">
      <c r="H763" s="160">
        <v>41141</v>
      </c>
      <c r="I763" s="159">
        <v>42.510890000000003</v>
      </c>
      <c r="J763" s="123">
        <f t="shared" si="122"/>
        <v>-3.5180397784175033E-3</v>
      </c>
      <c r="K763" s="165">
        <v>1418.130005</v>
      </c>
      <c r="L763" s="124">
        <f t="shared" si="123"/>
        <v>-2.1174620127542803E-5</v>
      </c>
      <c r="N763" s="150"/>
      <c r="O763" s="154"/>
      <c r="P763" s="125"/>
      <c r="Q763" s="154"/>
      <c r="R763" s="125"/>
      <c r="S763" s="3"/>
      <c r="T763" s="150"/>
      <c r="U763" s="154"/>
      <c r="V763" s="125"/>
      <c r="W763" s="154"/>
      <c r="X763" s="125"/>
      <c r="Y763" s="3"/>
    </row>
    <row r="764" spans="8:25" x14ac:dyDescent="0.3">
      <c r="H764" s="160">
        <v>41138</v>
      </c>
      <c r="I764" s="159">
        <v>42.660972999999998</v>
      </c>
      <c r="J764" s="123">
        <f t="shared" si="122"/>
        <v>1.5415076663835361E-3</v>
      </c>
      <c r="K764" s="165">
        <v>1418.160034</v>
      </c>
      <c r="L764" s="124">
        <f t="shared" si="123"/>
        <v>1.8721337053632214E-3</v>
      </c>
      <c r="N764" s="150"/>
      <c r="O764" s="154"/>
      <c r="P764" s="125"/>
      <c r="Q764" s="154"/>
      <c r="R764" s="125"/>
      <c r="S764" s="3"/>
      <c r="T764" s="150"/>
      <c r="U764" s="154"/>
      <c r="V764" s="125"/>
      <c r="W764" s="154"/>
      <c r="X764" s="125"/>
      <c r="Y764" s="3"/>
    </row>
    <row r="765" spans="8:25" x14ac:dyDescent="0.3">
      <c r="H765" s="160">
        <v>41137</v>
      </c>
      <c r="I765" s="159">
        <v>42.595312</v>
      </c>
      <c r="J765" s="123">
        <f t="shared" si="122"/>
        <v>2.8073402865454563E-2</v>
      </c>
      <c r="K765" s="165">
        <v>1415.51001</v>
      </c>
      <c r="L765" s="124">
        <f t="shared" si="123"/>
        <v>7.1005106928241609E-3</v>
      </c>
      <c r="N765" s="150"/>
      <c r="O765" s="154"/>
      <c r="P765" s="125"/>
      <c r="Q765" s="154"/>
      <c r="R765" s="125"/>
      <c r="S765" s="3"/>
      <c r="T765" s="150"/>
      <c r="U765" s="154"/>
      <c r="V765" s="125"/>
      <c r="W765" s="154"/>
      <c r="X765" s="125"/>
      <c r="Y765" s="3"/>
    </row>
    <row r="766" spans="8:25" x14ac:dyDescent="0.3">
      <c r="H766" s="160">
        <v>41136</v>
      </c>
      <c r="I766" s="159">
        <v>41.432169999999999</v>
      </c>
      <c r="J766" s="123">
        <f t="shared" si="122"/>
        <v>3.8635942215472286E-3</v>
      </c>
      <c r="K766" s="165">
        <v>1405.530029</v>
      </c>
      <c r="L766" s="124">
        <f t="shared" si="123"/>
        <v>1.1396401091646449E-3</v>
      </c>
      <c r="N766" s="150"/>
      <c r="O766" s="154"/>
      <c r="P766" s="125"/>
      <c r="Q766" s="154"/>
      <c r="R766" s="125"/>
      <c r="S766" s="3"/>
      <c r="T766" s="150"/>
      <c r="U766" s="154"/>
      <c r="V766" s="125"/>
      <c r="W766" s="154"/>
      <c r="X766" s="125"/>
      <c r="Y766" s="3"/>
    </row>
    <row r="767" spans="8:25" x14ac:dyDescent="0.3">
      <c r="H767" s="160">
        <v>41135</v>
      </c>
      <c r="I767" s="159">
        <v>41.272708999999999</v>
      </c>
      <c r="J767" s="123">
        <f t="shared" si="122"/>
        <v>-7.2202128724610142E-3</v>
      </c>
      <c r="K767" s="165">
        <v>1403.9300539999999</v>
      </c>
      <c r="L767" s="124">
        <f t="shared" si="123"/>
        <v>-1.2814594435073701E-4</v>
      </c>
      <c r="N767" s="150"/>
      <c r="O767" s="154"/>
      <c r="P767" s="125"/>
      <c r="Q767" s="154"/>
      <c r="R767" s="125"/>
      <c r="S767" s="3"/>
      <c r="T767" s="150"/>
      <c r="U767" s="154"/>
      <c r="V767" s="125"/>
      <c r="W767" s="154"/>
      <c r="X767" s="125"/>
      <c r="Y767" s="3"/>
    </row>
    <row r="768" spans="8:25" x14ac:dyDescent="0.3">
      <c r="H768" s="160">
        <v>41134</v>
      </c>
      <c r="I768" s="159">
        <v>41.572873999999999</v>
      </c>
      <c r="J768" s="123">
        <f t="shared" si="122"/>
        <v>7.5016483763755745E-3</v>
      </c>
      <c r="K768" s="165">
        <v>1404.1099850000001</v>
      </c>
      <c r="L768" s="124">
        <f t="shared" si="123"/>
        <v>-1.2519009625779555E-3</v>
      </c>
      <c r="N768" s="150"/>
      <c r="O768" s="154"/>
      <c r="P768" s="125"/>
      <c r="Q768" s="154"/>
      <c r="R768" s="125"/>
      <c r="S768" s="3"/>
      <c r="T768" s="150"/>
      <c r="U768" s="154"/>
      <c r="V768" s="125"/>
      <c r="W768" s="154"/>
      <c r="X768" s="125"/>
      <c r="Y768" s="3"/>
    </row>
    <row r="769" spans="8:25" x14ac:dyDescent="0.3">
      <c r="H769" s="160">
        <v>41131</v>
      </c>
      <c r="I769" s="159">
        <v>41.263331000000001</v>
      </c>
      <c r="J769" s="123">
        <f t="shared" si="122"/>
        <v>2.2310104504064621E-2</v>
      </c>
      <c r="K769" s="165">
        <v>1405.869995</v>
      </c>
      <c r="L769" s="124">
        <f t="shared" si="123"/>
        <v>2.1884416116099473E-3</v>
      </c>
      <c r="N769" s="150"/>
      <c r="O769" s="154"/>
      <c r="P769" s="125"/>
      <c r="Q769" s="154"/>
      <c r="R769" s="125"/>
      <c r="S769" s="3"/>
      <c r="T769" s="150"/>
      <c r="U769" s="154"/>
      <c r="V769" s="125"/>
      <c r="W769" s="154"/>
      <c r="X769" s="125"/>
      <c r="Y769" s="3"/>
    </row>
    <row r="770" spans="8:25" x14ac:dyDescent="0.3">
      <c r="H770" s="160">
        <v>41130</v>
      </c>
      <c r="I770" s="159">
        <v>40.362831999999997</v>
      </c>
      <c r="J770" s="123">
        <f t="shared" si="122"/>
        <v>2.7950263024490617E-2</v>
      </c>
      <c r="K770" s="165">
        <v>1402.8000489999999</v>
      </c>
      <c r="L770" s="124">
        <f t="shared" si="123"/>
        <v>4.1368545021240301E-4</v>
      </c>
      <c r="N770" s="150"/>
      <c r="O770" s="154"/>
      <c r="P770" s="125"/>
      <c r="Q770" s="154"/>
      <c r="R770" s="125"/>
      <c r="S770" s="3"/>
      <c r="T770" s="150"/>
      <c r="U770" s="154"/>
      <c r="V770" s="125"/>
      <c r="W770" s="154"/>
      <c r="X770" s="125"/>
      <c r="Y770" s="3"/>
    </row>
    <row r="771" spans="8:25" x14ac:dyDescent="0.3">
      <c r="H771" s="160">
        <v>41129</v>
      </c>
      <c r="I771" s="159">
        <v>39.265355</v>
      </c>
      <c r="J771" s="123">
        <f t="shared" si="122"/>
        <v>2.6347363308975927E-3</v>
      </c>
      <c r="K771" s="165">
        <v>1402.219971</v>
      </c>
      <c r="L771" s="124">
        <f t="shared" si="123"/>
        <v>6.2082635665597439E-4</v>
      </c>
      <c r="N771" s="150"/>
      <c r="O771" s="154"/>
      <c r="P771" s="125"/>
      <c r="Q771" s="154"/>
      <c r="R771" s="125"/>
      <c r="S771" s="3"/>
      <c r="T771" s="150"/>
      <c r="U771" s="154"/>
      <c r="V771" s="125"/>
      <c r="W771" s="154"/>
      <c r="X771" s="125"/>
      <c r="Y771" s="3"/>
    </row>
    <row r="772" spans="8:25" x14ac:dyDescent="0.3">
      <c r="H772" s="160">
        <v>41128</v>
      </c>
      <c r="I772" s="159">
        <v>39.162173000000003</v>
      </c>
      <c r="J772" s="123">
        <f t="shared" si="122"/>
        <v>1.2121210554887466E-2</v>
      </c>
      <c r="K772" s="165">
        <v>1401.349976</v>
      </c>
      <c r="L772" s="124">
        <f t="shared" si="123"/>
        <v>5.1067586425016485E-3</v>
      </c>
      <c r="N772" s="150"/>
      <c r="O772" s="154"/>
      <c r="P772" s="125"/>
      <c r="Q772" s="154"/>
      <c r="R772" s="125"/>
      <c r="S772" s="3"/>
      <c r="T772" s="150"/>
      <c r="U772" s="154"/>
      <c r="V772" s="125"/>
      <c r="W772" s="154"/>
      <c r="X772" s="125"/>
      <c r="Y772" s="3"/>
    </row>
    <row r="773" spans="8:25" x14ac:dyDescent="0.3">
      <c r="H773" s="160">
        <v>41127</v>
      </c>
      <c r="I773" s="159">
        <v>38.693165</v>
      </c>
      <c r="J773" s="123">
        <f t="shared" si="122"/>
        <v>6.0975601828675511E-3</v>
      </c>
      <c r="K773" s="165">
        <v>1394.2299800000001</v>
      </c>
      <c r="L773" s="124">
        <f t="shared" si="123"/>
        <v>2.3292690984785839E-3</v>
      </c>
      <c r="N773" s="150"/>
      <c r="O773" s="154"/>
      <c r="P773" s="125"/>
      <c r="Q773" s="154"/>
      <c r="R773" s="125"/>
      <c r="S773" s="3"/>
      <c r="T773" s="150"/>
      <c r="U773" s="154"/>
      <c r="V773" s="125"/>
      <c r="W773" s="154"/>
      <c r="X773" s="125"/>
      <c r="Y773" s="3"/>
    </row>
    <row r="774" spans="8:25" x14ac:dyDescent="0.3">
      <c r="H774" s="160">
        <v>41124</v>
      </c>
      <c r="I774" s="159">
        <v>38.458660999999999</v>
      </c>
      <c r="J774" s="123">
        <f t="shared" si="122"/>
        <v>2.7568902149483845E-2</v>
      </c>
      <c r="K774" s="165">
        <v>1390.98999</v>
      </c>
      <c r="L774" s="124">
        <f t="shared" si="123"/>
        <v>1.9040285714285739E-2</v>
      </c>
      <c r="N774" s="150"/>
      <c r="O774" s="154"/>
      <c r="P774" s="125"/>
      <c r="Q774" s="154"/>
      <c r="R774" s="125"/>
      <c r="S774" s="3"/>
      <c r="T774" s="150"/>
      <c r="U774" s="154"/>
      <c r="V774" s="125"/>
      <c r="W774" s="154"/>
      <c r="X774" s="125"/>
      <c r="Y774" s="3"/>
    </row>
    <row r="775" spans="8:25" x14ac:dyDescent="0.3">
      <c r="H775" s="160">
        <v>41123</v>
      </c>
      <c r="I775" s="159">
        <v>37.426844000000003</v>
      </c>
      <c r="J775" s="123">
        <f t="shared" si="122"/>
        <v>1.2176621784040035E-2</v>
      </c>
      <c r="K775" s="165">
        <v>1365</v>
      </c>
      <c r="L775" s="124">
        <f t="shared" si="123"/>
        <v>-7.5036692589348026E-3</v>
      </c>
      <c r="N775" s="150"/>
      <c r="O775" s="154"/>
      <c r="P775" s="125"/>
      <c r="Q775" s="154"/>
      <c r="R775" s="125"/>
      <c r="S775" s="3"/>
      <c r="T775" s="150"/>
      <c r="U775" s="154"/>
      <c r="V775" s="125"/>
      <c r="W775" s="154"/>
      <c r="X775" s="125"/>
      <c r="Y775" s="3"/>
    </row>
    <row r="776" spans="8:25" x14ac:dyDescent="0.3">
      <c r="H776" s="160">
        <v>41122</v>
      </c>
      <c r="I776" s="159">
        <v>36.976593999999999</v>
      </c>
      <c r="J776" s="123">
        <f t="shared" si="122"/>
        <v>-8.8006398944739817E-3</v>
      </c>
      <c r="K776" s="165">
        <v>1375.3199460000001</v>
      </c>
      <c r="L776" s="124">
        <f t="shared" si="123"/>
        <v>-2.8999798136755137E-3</v>
      </c>
      <c r="N776" s="150"/>
      <c r="O776" s="154"/>
      <c r="P776" s="125"/>
      <c r="Q776" s="154"/>
      <c r="R776" s="125"/>
      <c r="S776" s="3"/>
      <c r="T776" s="150"/>
      <c r="U776" s="154"/>
      <c r="V776" s="125"/>
      <c r="W776" s="154"/>
      <c r="X776" s="125"/>
      <c r="Y776" s="3"/>
    </row>
    <row r="777" spans="8:25" x14ac:dyDescent="0.3">
      <c r="H777" s="160">
        <v>41121</v>
      </c>
      <c r="I777" s="159">
        <v>37.304901000000001</v>
      </c>
      <c r="J777" s="123">
        <f t="shared" si="122"/>
        <v>-9.9576418389056842E-3</v>
      </c>
      <c r="K777" s="165">
        <v>1379.3199460000001</v>
      </c>
      <c r="L777" s="124">
        <f t="shared" si="123"/>
        <v>-4.3168286930450198E-3</v>
      </c>
      <c r="N777" s="150"/>
      <c r="O777" s="154"/>
      <c r="P777" s="125"/>
      <c r="Q777" s="154"/>
      <c r="R777" s="125"/>
      <c r="S777" s="3"/>
      <c r="T777" s="150"/>
      <c r="U777" s="154"/>
      <c r="V777" s="125"/>
      <c r="W777" s="154"/>
      <c r="X777" s="125"/>
      <c r="Y777" s="3"/>
    </row>
    <row r="778" spans="8:25" x14ac:dyDescent="0.3">
      <c r="H778" s="160">
        <v>41120</v>
      </c>
      <c r="I778" s="159">
        <v>37.680106000000002</v>
      </c>
      <c r="J778" s="123">
        <f t="shared" ref="J778:J841" si="124">(I778-I779)/I779</f>
        <v>6.2625245015422949E-3</v>
      </c>
      <c r="K778" s="165">
        <v>1385.3000489999999</v>
      </c>
      <c r="L778" s="124">
        <f t="shared" ref="L778:L841" si="125">(K778-K779)/K779</f>
        <v>-4.8335967879353304E-4</v>
      </c>
      <c r="N778" s="150"/>
      <c r="O778" s="154"/>
      <c r="P778" s="125"/>
      <c r="Q778" s="154"/>
      <c r="R778" s="125"/>
      <c r="S778" s="3"/>
      <c r="T778" s="150"/>
      <c r="U778" s="154"/>
      <c r="V778" s="125"/>
      <c r="W778" s="154"/>
      <c r="X778" s="125"/>
      <c r="Y778" s="3"/>
    </row>
    <row r="779" spans="8:25" x14ac:dyDescent="0.3">
      <c r="H779" s="160">
        <v>41117</v>
      </c>
      <c r="I779" s="159">
        <v>37.445602000000001</v>
      </c>
      <c r="J779" s="123">
        <f t="shared" si="124"/>
        <v>1.6552035266255181E-2</v>
      </c>
      <c r="K779" s="165">
        <v>1385.969971</v>
      </c>
      <c r="L779" s="124">
        <f t="shared" si="125"/>
        <v>1.908056544638222E-2</v>
      </c>
      <c r="N779" s="150"/>
      <c r="O779" s="154"/>
      <c r="P779" s="125"/>
      <c r="Q779" s="154"/>
      <c r="R779" s="125"/>
      <c r="S779" s="3"/>
      <c r="T779" s="150"/>
      <c r="U779" s="154"/>
      <c r="V779" s="125"/>
      <c r="W779" s="154"/>
      <c r="X779" s="125"/>
      <c r="Y779" s="3"/>
    </row>
    <row r="780" spans="8:25" x14ac:dyDescent="0.3">
      <c r="H780" s="160">
        <v>41116</v>
      </c>
      <c r="I780" s="159">
        <v>36.835892999999999</v>
      </c>
      <c r="J780" s="123">
        <f t="shared" si="124"/>
        <v>0.20942405953183627</v>
      </c>
      <c r="K780" s="165">
        <v>1360.0200199999999</v>
      </c>
      <c r="L780" s="124">
        <f t="shared" si="125"/>
        <v>1.6540974782594503E-2</v>
      </c>
      <c r="N780" s="150"/>
      <c r="O780" s="154"/>
      <c r="P780" s="125"/>
      <c r="Q780" s="154"/>
      <c r="R780" s="125"/>
      <c r="S780" s="3"/>
      <c r="T780" s="150"/>
      <c r="U780" s="154"/>
      <c r="V780" s="125"/>
      <c r="W780" s="154"/>
      <c r="X780" s="125"/>
      <c r="Y780" s="3"/>
    </row>
    <row r="781" spans="8:25" x14ac:dyDescent="0.3">
      <c r="H781" s="160">
        <v>41115</v>
      </c>
      <c r="I781" s="159">
        <v>30.457384000000001</v>
      </c>
      <c r="J781" s="123">
        <f t="shared" si="124"/>
        <v>2.2033388933682747E-2</v>
      </c>
      <c r="K781" s="165">
        <v>1337.8900149999999</v>
      </c>
      <c r="L781" s="124">
        <f t="shared" si="125"/>
        <v>-3.1386149807005349E-4</v>
      </c>
      <c r="N781" s="150"/>
      <c r="O781" s="154"/>
      <c r="P781" s="125"/>
      <c r="Q781" s="154"/>
      <c r="R781" s="125"/>
      <c r="S781" s="3"/>
      <c r="T781" s="150"/>
      <c r="U781" s="154"/>
      <c r="V781" s="125"/>
      <c r="W781" s="154"/>
      <c r="X781" s="125"/>
      <c r="Y781" s="3"/>
    </row>
    <row r="782" spans="8:25" x14ac:dyDescent="0.3">
      <c r="H782" s="160">
        <v>41114</v>
      </c>
      <c r="I782" s="159">
        <v>29.800771999999998</v>
      </c>
      <c r="J782" s="123">
        <f t="shared" si="124"/>
        <v>-1.579921688049531E-2</v>
      </c>
      <c r="K782" s="165">
        <v>1338.3100589999999</v>
      </c>
      <c r="L782" s="124">
        <f t="shared" si="125"/>
        <v>-9.0409329881685294E-3</v>
      </c>
      <c r="N782" s="150"/>
      <c r="O782" s="154"/>
      <c r="P782" s="125"/>
      <c r="Q782" s="154"/>
      <c r="R782" s="125"/>
      <c r="S782" s="3"/>
      <c r="T782" s="150"/>
      <c r="U782" s="154"/>
      <c r="V782" s="125"/>
      <c r="W782" s="154"/>
      <c r="X782" s="125"/>
      <c r="Y782" s="3"/>
    </row>
    <row r="783" spans="8:25" x14ac:dyDescent="0.3">
      <c r="H783" s="160">
        <v>41113</v>
      </c>
      <c r="I783" s="159">
        <v>30.279159</v>
      </c>
      <c r="J783" s="123">
        <f t="shared" si="124"/>
        <v>6.5481298112167359E-3</v>
      </c>
      <c r="K783" s="165">
        <v>1350.5200199999999</v>
      </c>
      <c r="L783" s="124">
        <f t="shared" si="125"/>
        <v>-8.9090555950069525E-3</v>
      </c>
      <c r="N783" s="150"/>
      <c r="O783" s="154"/>
      <c r="P783" s="125"/>
      <c r="Q783" s="154"/>
      <c r="R783" s="125"/>
      <c r="S783" s="3"/>
      <c r="T783" s="150"/>
      <c r="U783" s="154"/>
      <c r="V783" s="125"/>
      <c r="W783" s="154"/>
      <c r="X783" s="125"/>
      <c r="Y783" s="3"/>
    </row>
    <row r="784" spans="8:25" x14ac:dyDescent="0.3">
      <c r="H784" s="160">
        <v>41110</v>
      </c>
      <c r="I784" s="159">
        <v>30.082177000000001</v>
      </c>
      <c r="J784" s="123">
        <f t="shared" si="124"/>
        <v>-1.9565839895867649E-2</v>
      </c>
      <c r="K784" s="165">
        <v>1362.660034</v>
      </c>
      <c r="L784" s="124">
        <f t="shared" si="125"/>
        <v>-1.0061660212699776E-2</v>
      </c>
      <c r="N784" s="150"/>
      <c r="O784" s="154"/>
      <c r="P784" s="125"/>
      <c r="Q784" s="154"/>
      <c r="R784" s="125"/>
      <c r="S784" s="3"/>
      <c r="T784" s="150"/>
      <c r="U784" s="154"/>
      <c r="V784" s="125"/>
      <c r="W784" s="154"/>
      <c r="X784" s="125"/>
      <c r="Y784" s="3"/>
    </row>
    <row r="785" spans="8:25" x14ac:dyDescent="0.3">
      <c r="H785" s="160">
        <v>41109</v>
      </c>
      <c r="I785" s="159">
        <v>30.682506</v>
      </c>
      <c r="J785" s="123">
        <f t="shared" si="124"/>
        <v>-2.065877342103704E-2</v>
      </c>
      <c r="K785" s="165">
        <v>1376.51001</v>
      </c>
      <c r="L785" s="124">
        <f t="shared" si="125"/>
        <v>2.7171002791445422E-3</v>
      </c>
      <c r="N785" s="150"/>
      <c r="O785" s="154"/>
      <c r="P785" s="125"/>
      <c r="Q785" s="154"/>
      <c r="R785" s="125"/>
      <c r="S785" s="3"/>
      <c r="T785" s="150"/>
      <c r="U785" s="154"/>
      <c r="V785" s="125"/>
      <c r="W785" s="154"/>
      <c r="X785" s="125"/>
      <c r="Y785" s="3"/>
    </row>
    <row r="786" spans="8:25" x14ac:dyDescent="0.3">
      <c r="H786" s="160">
        <v>41108</v>
      </c>
      <c r="I786" s="159">
        <v>31.329740000000001</v>
      </c>
      <c r="J786" s="123">
        <f t="shared" si="124"/>
        <v>4.4729499347663876E-2</v>
      </c>
      <c r="K786" s="165">
        <v>1372.780029</v>
      </c>
      <c r="L786" s="124">
        <f t="shared" si="125"/>
        <v>6.6804906656731189E-3</v>
      </c>
      <c r="N786" s="150"/>
      <c r="O786" s="154"/>
      <c r="P786" s="125"/>
      <c r="Q786" s="154"/>
      <c r="R786" s="125"/>
      <c r="S786" s="3"/>
      <c r="T786" s="150"/>
      <c r="U786" s="154"/>
      <c r="V786" s="125"/>
      <c r="W786" s="154"/>
      <c r="X786" s="125"/>
      <c r="Y786" s="3"/>
    </row>
    <row r="787" spans="8:25" x14ac:dyDescent="0.3">
      <c r="H787" s="160">
        <v>41107</v>
      </c>
      <c r="I787" s="159">
        <v>29.988375000000001</v>
      </c>
      <c r="J787" s="123">
        <f t="shared" si="124"/>
        <v>1.1068921954668357E-2</v>
      </c>
      <c r="K787" s="165">
        <v>1363.670044</v>
      </c>
      <c r="L787" s="124">
        <f t="shared" si="125"/>
        <v>7.4096723566494252E-3</v>
      </c>
      <c r="N787" s="150"/>
      <c r="O787" s="154"/>
      <c r="P787" s="125"/>
      <c r="Q787" s="154"/>
      <c r="R787" s="125"/>
      <c r="S787" s="3"/>
      <c r="T787" s="150"/>
      <c r="U787" s="154"/>
      <c r="V787" s="125"/>
      <c r="W787" s="154"/>
      <c r="X787" s="125"/>
      <c r="Y787" s="3"/>
    </row>
    <row r="788" spans="8:25" x14ac:dyDescent="0.3">
      <c r="H788" s="160">
        <v>41106</v>
      </c>
      <c r="I788" s="159">
        <v>29.660070000000001</v>
      </c>
      <c r="J788" s="123">
        <f t="shared" si="124"/>
        <v>1.2666364396933462E-3</v>
      </c>
      <c r="K788" s="165">
        <v>1353.6400149999999</v>
      </c>
      <c r="L788" s="124">
        <f t="shared" si="125"/>
        <v>-2.3143132511423961E-3</v>
      </c>
      <c r="N788" s="150"/>
      <c r="O788" s="154"/>
      <c r="P788" s="125"/>
      <c r="Q788" s="154"/>
      <c r="R788" s="125"/>
      <c r="S788" s="3"/>
      <c r="T788" s="150"/>
      <c r="U788" s="154"/>
      <c r="V788" s="125"/>
      <c r="W788" s="154"/>
      <c r="X788" s="125"/>
      <c r="Y788" s="3"/>
    </row>
    <row r="789" spans="8:25" x14ac:dyDescent="0.3">
      <c r="H789" s="160">
        <v>41103</v>
      </c>
      <c r="I789" s="159">
        <v>29.622548999999999</v>
      </c>
      <c r="J789" s="123">
        <f t="shared" si="124"/>
        <v>7.3364989043692742E-3</v>
      </c>
      <c r="K789" s="165">
        <v>1356.780029</v>
      </c>
      <c r="L789" s="124">
        <f t="shared" si="125"/>
        <v>1.6497361948984407E-2</v>
      </c>
      <c r="N789" s="150"/>
      <c r="O789" s="154"/>
      <c r="P789" s="125"/>
      <c r="Q789" s="154"/>
      <c r="R789" s="125"/>
      <c r="S789" s="3"/>
      <c r="T789" s="150"/>
      <c r="U789" s="154"/>
      <c r="V789" s="125"/>
      <c r="W789" s="154"/>
      <c r="X789" s="125"/>
      <c r="Y789" s="3"/>
    </row>
    <row r="790" spans="8:25" x14ac:dyDescent="0.3">
      <c r="H790" s="160">
        <v>41102</v>
      </c>
      <c r="I790" s="159">
        <v>29.406806</v>
      </c>
      <c r="J790" s="123">
        <f t="shared" si="124"/>
        <v>-4.7618905797402944E-3</v>
      </c>
      <c r="K790" s="165">
        <v>1334.76001</v>
      </c>
      <c r="L790" s="124">
        <f t="shared" si="125"/>
        <v>-4.9870969804076499E-3</v>
      </c>
      <c r="N790" s="150"/>
      <c r="O790" s="154"/>
      <c r="P790" s="125"/>
      <c r="Q790" s="154"/>
      <c r="R790" s="125"/>
      <c r="S790" s="3"/>
      <c r="T790" s="150"/>
      <c r="U790" s="154"/>
      <c r="V790" s="125"/>
      <c r="W790" s="154"/>
      <c r="X790" s="125"/>
      <c r="Y790" s="3"/>
    </row>
    <row r="791" spans="8:25" x14ac:dyDescent="0.3">
      <c r="H791" s="160">
        <v>41101</v>
      </c>
      <c r="I791" s="159">
        <v>29.547508000000001</v>
      </c>
      <c r="J791" s="123">
        <f t="shared" si="124"/>
        <v>-1.5932448172900376E-2</v>
      </c>
      <c r="K791" s="165">
        <v>1341.4499510000001</v>
      </c>
      <c r="L791" s="124">
        <f t="shared" si="125"/>
        <v>-1.4923927059662311E-5</v>
      </c>
      <c r="N791" s="150"/>
      <c r="O791" s="154"/>
      <c r="P791" s="125"/>
      <c r="Q791" s="154"/>
      <c r="R791" s="125"/>
      <c r="S791" s="3"/>
      <c r="T791" s="150"/>
      <c r="U791" s="154"/>
      <c r="V791" s="125"/>
      <c r="W791" s="154"/>
      <c r="X791" s="125"/>
      <c r="Y791" s="3"/>
    </row>
    <row r="792" spans="8:25" x14ac:dyDescent="0.3">
      <c r="H792" s="160">
        <v>41100</v>
      </c>
      <c r="I792" s="159">
        <v>30.025894000000001</v>
      </c>
      <c r="J792" s="123">
        <f t="shared" si="124"/>
        <v>1.5223503633005736E-2</v>
      </c>
      <c r="K792" s="165">
        <v>1341.469971</v>
      </c>
      <c r="L792" s="124">
        <f t="shared" si="125"/>
        <v>-8.1259263245575912E-3</v>
      </c>
      <c r="N792" s="150"/>
      <c r="O792" s="154"/>
      <c r="P792" s="125"/>
      <c r="Q792" s="154"/>
      <c r="R792" s="125"/>
      <c r="S792" s="3"/>
      <c r="T792" s="150"/>
      <c r="U792" s="154"/>
      <c r="V792" s="125"/>
      <c r="W792" s="154"/>
      <c r="X792" s="125"/>
      <c r="Y792" s="3"/>
    </row>
    <row r="793" spans="8:25" x14ac:dyDescent="0.3">
      <c r="H793" s="160">
        <v>41099</v>
      </c>
      <c r="I793" s="159">
        <v>29.575648999999999</v>
      </c>
      <c r="J793" s="123">
        <f t="shared" si="124"/>
        <v>1.6441032592072243E-2</v>
      </c>
      <c r="K793" s="165">
        <v>1352.459961</v>
      </c>
      <c r="L793" s="124">
        <f t="shared" si="125"/>
        <v>-1.6388319835702744E-3</v>
      </c>
      <c r="N793" s="150"/>
      <c r="O793" s="154"/>
      <c r="P793" s="125"/>
      <c r="Q793" s="154"/>
      <c r="R793" s="125"/>
      <c r="S793" s="3"/>
      <c r="T793" s="150"/>
      <c r="U793" s="154"/>
      <c r="V793" s="125"/>
      <c r="W793" s="154"/>
      <c r="X793" s="125"/>
      <c r="Y793" s="3"/>
    </row>
    <row r="794" spans="8:25" x14ac:dyDescent="0.3">
      <c r="H794" s="160">
        <v>41096</v>
      </c>
      <c r="I794" s="159">
        <v>29.097259999999999</v>
      </c>
      <c r="J794" s="123">
        <f t="shared" si="124"/>
        <v>1.1082121324948095E-2</v>
      </c>
      <c r="K794" s="165">
        <v>1354.6800539999999</v>
      </c>
      <c r="L794" s="124">
        <f t="shared" si="125"/>
        <v>-9.4326492161604259E-3</v>
      </c>
      <c r="N794" s="150"/>
      <c r="O794" s="154"/>
      <c r="P794" s="125"/>
      <c r="Q794" s="154"/>
      <c r="R794" s="125"/>
      <c r="S794" s="3"/>
      <c r="T794" s="150"/>
      <c r="U794" s="154"/>
      <c r="V794" s="125"/>
      <c r="W794" s="154"/>
      <c r="X794" s="125"/>
      <c r="Y794" s="3"/>
    </row>
    <row r="795" spans="8:25" x14ac:dyDescent="0.3">
      <c r="H795" s="160">
        <v>41095</v>
      </c>
      <c r="I795" s="159">
        <v>28.778334999999998</v>
      </c>
      <c r="J795" s="123">
        <f t="shared" si="124"/>
        <v>-9.6836382460283622E-3</v>
      </c>
      <c r="K795" s="165">
        <v>1367.579956</v>
      </c>
      <c r="L795" s="124">
        <f t="shared" si="125"/>
        <v>-4.6870234103283974E-3</v>
      </c>
      <c r="N795" s="150"/>
      <c r="O795" s="154"/>
      <c r="P795" s="125"/>
      <c r="Q795" s="154"/>
      <c r="R795" s="125"/>
      <c r="S795" s="3"/>
      <c r="T795" s="150"/>
      <c r="U795" s="154"/>
      <c r="V795" s="125"/>
      <c r="W795" s="154"/>
      <c r="X795" s="125"/>
      <c r="Y795" s="3"/>
    </row>
    <row r="796" spans="8:25" x14ac:dyDescent="0.3">
      <c r="H796" s="160">
        <v>41093</v>
      </c>
      <c r="I796" s="159">
        <v>29.059739</v>
      </c>
      <c r="J796" s="123">
        <f t="shared" si="124"/>
        <v>3.8203739917838334E-2</v>
      </c>
      <c r="K796" s="165">
        <v>1374.0200199999999</v>
      </c>
      <c r="L796" s="124">
        <f t="shared" si="125"/>
        <v>6.2321110337374723E-3</v>
      </c>
      <c r="N796" s="150"/>
      <c r="O796" s="154"/>
      <c r="P796" s="125"/>
      <c r="Q796" s="154"/>
      <c r="R796" s="125"/>
      <c r="S796" s="3"/>
      <c r="T796" s="150"/>
      <c r="U796" s="154"/>
      <c r="V796" s="125"/>
      <c r="W796" s="154"/>
      <c r="X796" s="125"/>
      <c r="Y796" s="3"/>
    </row>
    <row r="797" spans="8:25" x14ac:dyDescent="0.3">
      <c r="H797" s="160">
        <v>41092</v>
      </c>
      <c r="I797" s="159">
        <v>27.990400999999999</v>
      </c>
      <c r="J797" s="123">
        <f t="shared" si="124"/>
        <v>-2.099736449550741E-2</v>
      </c>
      <c r="K797" s="165">
        <v>1365.51001</v>
      </c>
      <c r="L797" s="124">
        <f t="shared" si="125"/>
        <v>2.4593116200617949E-3</v>
      </c>
      <c r="N797" s="150"/>
      <c r="O797" s="154"/>
      <c r="P797" s="125"/>
      <c r="Q797" s="154"/>
      <c r="R797" s="125"/>
      <c r="S797" s="3"/>
      <c r="T797" s="150"/>
      <c r="U797" s="154"/>
      <c r="V797" s="125"/>
      <c r="W797" s="154"/>
      <c r="X797" s="125"/>
      <c r="Y797" s="3"/>
    </row>
    <row r="798" spans="8:25" x14ac:dyDescent="0.3">
      <c r="H798" s="160">
        <v>41089</v>
      </c>
      <c r="I798" s="159">
        <v>28.590731000000002</v>
      </c>
      <c r="J798" s="123">
        <f t="shared" si="124"/>
        <v>5.8333370041521344E-2</v>
      </c>
      <c r="K798" s="165">
        <v>1362.160034</v>
      </c>
      <c r="L798" s="124">
        <f t="shared" si="125"/>
        <v>2.4920238689663751E-2</v>
      </c>
      <c r="N798" s="150"/>
      <c r="O798" s="154"/>
      <c r="P798" s="125"/>
      <c r="Q798" s="154"/>
      <c r="R798" s="125"/>
      <c r="S798" s="3"/>
      <c r="T798" s="150"/>
      <c r="U798" s="154"/>
      <c r="V798" s="125"/>
      <c r="W798" s="154"/>
      <c r="X798" s="125"/>
      <c r="Y798" s="3"/>
    </row>
    <row r="799" spans="8:25" x14ac:dyDescent="0.3">
      <c r="H799" s="160">
        <v>41088</v>
      </c>
      <c r="I799" s="159">
        <v>27.014862999999998</v>
      </c>
      <c r="J799" s="123">
        <f t="shared" si="124"/>
        <v>-3.3557078912799042E-2</v>
      </c>
      <c r="K799" s="165">
        <v>1329.040039</v>
      </c>
      <c r="L799" s="124">
        <f t="shared" si="125"/>
        <v>-2.1097999404100982E-3</v>
      </c>
      <c r="N799" s="150"/>
      <c r="O799" s="154"/>
      <c r="P799" s="125"/>
      <c r="Q799" s="154"/>
      <c r="R799" s="125"/>
      <c r="S799" s="3"/>
      <c r="T799" s="150"/>
      <c r="U799" s="154"/>
      <c r="V799" s="125"/>
      <c r="W799" s="154"/>
      <c r="X799" s="125"/>
      <c r="Y799" s="3"/>
    </row>
    <row r="800" spans="8:25" x14ac:dyDescent="0.3">
      <c r="H800" s="160">
        <v>41087</v>
      </c>
      <c r="I800" s="159">
        <v>27.95288</v>
      </c>
      <c r="J800" s="123">
        <f t="shared" si="124"/>
        <v>2.3000351078041655E-2</v>
      </c>
      <c r="K800" s="165">
        <v>1331.849976</v>
      </c>
      <c r="L800" s="124">
        <f t="shared" si="125"/>
        <v>8.9849060143251044E-3</v>
      </c>
      <c r="N800" s="150"/>
      <c r="O800" s="154"/>
      <c r="P800" s="125"/>
      <c r="Q800" s="154"/>
      <c r="R800" s="125"/>
      <c r="S800" s="3"/>
      <c r="T800" s="150"/>
      <c r="U800" s="154"/>
      <c r="V800" s="125"/>
      <c r="W800" s="154"/>
      <c r="X800" s="125"/>
      <c r="Y800" s="3"/>
    </row>
    <row r="801" spans="8:25" x14ac:dyDescent="0.3">
      <c r="H801" s="160">
        <v>41086</v>
      </c>
      <c r="I801" s="159">
        <v>27.324408999999999</v>
      </c>
      <c r="J801" s="123">
        <f t="shared" si="124"/>
        <v>6.9131935824284065E-3</v>
      </c>
      <c r="K801" s="165">
        <v>1319.98999</v>
      </c>
      <c r="L801" s="124">
        <f t="shared" si="125"/>
        <v>4.7727210809068591E-3</v>
      </c>
      <c r="N801" s="150"/>
      <c r="O801" s="154"/>
      <c r="P801" s="125"/>
      <c r="Q801" s="154"/>
      <c r="R801" s="125"/>
      <c r="S801" s="3"/>
      <c r="T801" s="150"/>
      <c r="U801" s="154"/>
      <c r="V801" s="125"/>
      <c r="W801" s="154"/>
      <c r="X801" s="125"/>
      <c r="Y801" s="3"/>
    </row>
    <row r="802" spans="8:25" x14ac:dyDescent="0.3">
      <c r="H802" s="160">
        <v>41085</v>
      </c>
      <c r="I802" s="159">
        <v>27.136807000000001</v>
      </c>
      <c r="J802" s="123">
        <f t="shared" si="124"/>
        <v>-2.592591090322836E-2</v>
      </c>
      <c r="K802" s="165">
        <v>1313.719971</v>
      </c>
      <c r="L802" s="124">
        <f t="shared" si="125"/>
        <v>-1.5954853620846785E-2</v>
      </c>
      <c r="N802" s="150"/>
      <c r="O802" s="154"/>
      <c r="P802" s="125"/>
      <c r="Q802" s="154"/>
      <c r="R802" s="125"/>
      <c r="S802" s="3"/>
      <c r="T802" s="150"/>
      <c r="U802" s="154"/>
      <c r="V802" s="125"/>
      <c r="W802" s="154"/>
      <c r="X802" s="125"/>
      <c r="Y802" s="3"/>
    </row>
    <row r="803" spans="8:25" x14ac:dyDescent="0.3">
      <c r="H803" s="160">
        <v>41082</v>
      </c>
      <c r="I803" s="159">
        <v>27.859079000000001</v>
      </c>
      <c r="J803" s="123">
        <f t="shared" si="124"/>
        <v>1.1235943228658602E-2</v>
      </c>
      <c r="K803" s="165">
        <v>1335.0200199999999</v>
      </c>
      <c r="L803" s="124">
        <f t="shared" si="125"/>
        <v>7.1746044377288152E-3</v>
      </c>
      <c r="N803" s="150"/>
      <c r="O803" s="154"/>
      <c r="P803" s="125"/>
      <c r="Q803" s="154"/>
      <c r="R803" s="125"/>
      <c r="S803" s="3"/>
      <c r="T803" s="150"/>
      <c r="U803" s="154"/>
      <c r="V803" s="125"/>
      <c r="W803" s="154"/>
      <c r="X803" s="125"/>
      <c r="Y803" s="3"/>
    </row>
    <row r="804" spans="8:25" x14ac:dyDescent="0.3">
      <c r="H804" s="160">
        <v>41081</v>
      </c>
      <c r="I804" s="159">
        <v>27.549534000000001</v>
      </c>
      <c r="J804" s="123">
        <f t="shared" si="124"/>
        <v>-4.9206812819338579E-2</v>
      </c>
      <c r="K804" s="165">
        <v>1325.51001</v>
      </c>
      <c r="L804" s="124">
        <f t="shared" si="125"/>
        <v>-2.2261676573139169E-2</v>
      </c>
      <c r="N804" s="150"/>
      <c r="O804" s="154"/>
      <c r="P804" s="125"/>
      <c r="Q804" s="154"/>
      <c r="R804" s="125"/>
      <c r="S804" s="3"/>
      <c r="T804" s="150"/>
      <c r="U804" s="154"/>
      <c r="V804" s="125"/>
      <c r="W804" s="154"/>
      <c r="X804" s="125"/>
      <c r="Y804" s="3"/>
    </row>
    <row r="805" spans="8:25" x14ac:dyDescent="0.3">
      <c r="H805" s="160">
        <v>41080</v>
      </c>
      <c r="I805" s="159">
        <v>28.975317</v>
      </c>
      <c r="J805" s="123">
        <f t="shared" si="124"/>
        <v>9.7208093997969234E-4</v>
      </c>
      <c r="K805" s="165">
        <v>1355.6899410000001</v>
      </c>
      <c r="L805" s="124">
        <f t="shared" si="125"/>
        <v>-1.6863569667646932E-3</v>
      </c>
      <c r="N805" s="150"/>
      <c r="O805" s="154"/>
      <c r="P805" s="125"/>
      <c r="Q805" s="154"/>
      <c r="R805" s="125"/>
      <c r="S805" s="3"/>
      <c r="T805" s="150"/>
      <c r="U805" s="154"/>
      <c r="V805" s="125"/>
      <c r="W805" s="154"/>
      <c r="X805" s="125"/>
      <c r="Y805" s="3"/>
    </row>
    <row r="806" spans="8:25" x14ac:dyDescent="0.3">
      <c r="H806" s="160">
        <v>41079</v>
      </c>
      <c r="I806" s="159">
        <v>28.947178000000001</v>
      </c>
      <c r="J806" s="123">
        <f t="shared" si="124"/>
        <v>1.0147334667951242E-2</v>
      </c>
      <c r="K806" s="165">
        <v>1357.9799800000001</v>
      </c>
      <c r="L806" s="124">
        <f t="shared" si="125"/>
        <v>9.8156952924232151E-3</v>
      </c>
      <c r="N806" s="150"/>
      <c r="O806" s="154"/>
      <c r="P806" s="125"/>
      <c r="Q806" s="154"/>
      <c r="R806" s="125"/>
      <c r="S806" s="3"/>
      <c r="T806" s="150"/>
      <c r="U806" s="154"/>
      <c r="V806" s="125"/>
      <c r="W806" s="154"/>
      <c r="X806" s="125"/>
      <c r="Y806" s="3"/>
    </row>
    <row r="807" spans="8:25" x14ac:dyDescent="0.3">
      <c r="H807" s="160">
        <v>41078</v>
      </c>
      <c r="I807" s="159">
        <v>28.656392</v>
      </c>
      <c r="J807" s="123">
        <f t="shared" si="124"/>
        <v>-4.5617722698726975E-3</v>
      </c>
      <c r="K807" s="165">
        <v>1344.780029</v>
      </c>
      <c r="L807" s="124">
        <f t="shared" si="125"/>
        <v>1.4447462461062983E-3</v>
      </c>
      <c r="N807" s="150"/>
      <c r="O807" s="154"/>
      <c r="P807" s="125"/>
      <c r="Q807" s="154"/>
      <c r="R807" s="125"/>
      <c r="S807" s="3"/>
      <c r="T807" s="150"/>
      <c r="U807" s="154"/>
      <c r="V807" s="125"/>
      <c r="W807" s="154"/>
      <c r="X807" s="125"/>
      <c r="Y807" s="3"/>
    </row>
    <row r="808" spans="8:25" x14ac:dyDescent="0.3">
      <c r="H808" s="160">
        <v>41075</v>
      </c>
      <c r="I808" s="159">
        <v>28.787714999999999</v>
      </c>
      <c r="J808" s="123">
        <f t="shared" si="124"/>
        <v>1.6225169034534474E-2</v>
      </c>
      <c r="K808" s="165">
        <v>1342.839966</v>
      </c>
      <c r="L808" s="124">
        <f t="shared" si="125"/>
        <v>1.0337815249497857E-2</v>
      </c>
      <c r="N808" s="150"/>
      <c r="O808" s="154"/>
      <c r="P808" s="125"/>
      <c r="Q808" s="154"/>
      <c r="R808" s="125"/>
      <c r="S808" s="3"/>
      <c r="T808" s="150"/>
      <c r="U808" s="154"/>
      <c r="V808" s="125"/>
      <c r="W808" s="154"/>
      <c r="X808" s="125"/>
      <c r="Y808" s="3"/>
    </row>
    <row r="809" spans="8:25" x14ac:dyDescent="0.3">
      <c r="H809" s="160">
        <v>41074</v>
      </c>
      <c r="I809" s="159">
        <v>28.328087</v>
      </c>
      <c r="J809" s="123">
        <f t="shared" si="124"/>
        <v>-4.6143614577520151E-3</v>
      </c>
      <c r="K809" s="165">
        <v>1329.099976</v>
      </c>
      <c r="L809" s="124">
        <f t="shared" si="125"/>
        <v>1.081465300706279E-2</v>
      </c>
      <c r="N809" s="150"/>
      <c r="O809" s="154"/>
      <c r="P809" s="125"/>
      <c r="Q809" s="154"/>
      <c r="R809" s="125"/>
      <c r="S809" s="3"/>
      <c r="T809" s="150"/>
      <c r="U809" s="154"/>
      <c r="V809" s="125"/>
      <c r="W809" s="154"/>
      <c r="X809" s="125"/>
      <c r="Y809" s="3"/>
    </row>
    <row r="810" spans="8:25" x14ac:dyDescent="0.3">
      <c r="H810" s="160">
        <v>41073</v>
      </c>
      <c r="I810" s="159">
        <v>28.459409000000001</v>
      </c>
      <c r="J810" s="123">
        <f t="shared" si="124"/>
        <v>-6.5488154035466218E-3</v>
      </c>
      <c r="K810" s="165">
        <v>1314.880005</v>
      </c>
      <c r="L810" s="124">
        <f t="shared" si="125"/>
        <v>-7.023251084251678E-3</v>
      </c>
      <c r="N810" s="150"/>
      <c r="O810" s="154"/>
      <c r="P810" s="125"/>
      <c r="Q810" s="154"/>
      <c r="R810" s="125"/>
      <c r="S810" s="3"/>
      <c r="T810" s="150"/>
      <c r="U810" s="154"/>
      <c r="V810" s="125"/>
      <c r="W810" s="154"/>
      <c r="X810" s="125"/>
      <c r="Y810" s="3"/>
    </row>
    <row r="811" spans="8:25" x14ac:dyDescent="0.3">
      <c r="H811" s="160">
        <v>41072</v>
      </c>
      <c r="I811" s="159">
        <v>28.647013000000001</v>
      </c>
      <c r="J811" s="123">
        <f t="shared" si="124"/>
        <v>-3.9138618673558749E-3</v>
      </c>
      <c r="K811" s="165">
        <v>1324.1800539999999</v>
      </c>
      <c r="L811" s="124">
        <f t="shared" si="125"/>
        <v>1.1650737144736689E-2</v>
      </c>
      <c r="N811" s="150"/>
      <c r="O811" s="154"/>
      <c r="P811" s="125"/>
      <c r="Q811" s="154"/>
      <c r="R811" s="125"/>
      <c r="S811" s="3"/>
      <c r="T811" s="150"/>
      <c r="U811" s="154"/>
      <c r="V811" s="125"/>
      <c r="W811" s="154"/>
      <c r="X811" s="125"/>
      <c r="Y811" s="3"/>
    </row>
    <row r="812" spans="8:25" x14ac:dyDescent="0.3">
      <c r="H812" s="160">
        <v>41071</v>
      </c>
      <c r="I812" s="159">
        <v>28.759574000000001</v>
      </c>
      <c r="J812" s="123">
        <f t="shared" si="124"/>
        <v>-1.8251674911005582E-2</v>
      </c>
      <c r="K812" s="165">
        <v>1308.9300539999999</v>
      </c>
      <c r="L812" s="124">
        <f t="shared" si="125"/>
        <v>-1.2620113430982464E-2</v>
      </c>
      <c r="N812" s="150"/>
      <c r="O812" s="154"/>
      <c r="P812" s="125"/>
      <c r="Q812" s="154"/>
      <c r="R812" s="125"/>
      <c r="S812" s="3"/>
      <c r="T812" s="150"/>
      <c r="U812" s="154"/>
      <c r="V812" s="125"/>
      <c r="W812" s="154"/>
      <c r="X812" s="125"/>
      <c r="Y812" s="3"/>
    </row>
    <row r="813" spans="8:25" x14ac:dyDescent="0.3">
      <c r="H813" s="160">
        <v>41068</v>
      </c>
      <c r="I813" s="159">
        <v>29.294243000000002</v>
      </c>
      <c r="J813" s="123">
        <f t="shared" si="124"/>
        <v>1.3303063862122861E-2</v>
      </c>
      <c r="K813" s="165">
        <v>1325.660034</v>
      </c>
      <c r="L813" s="124">
        <f t="shared" si="125"/>
        <v>8.1141636675119942E-3</v>
      </c>
      <c r="N813" s="150"/>
      <c r="O813" s="154"/>
      <c r="P813" s="125"/>
      <c r="Q813" s="154"/>
      <c r="R813" s="125"/>
      <c r="S813" s="3"/>
      <c r="T813" s="150"/>
      <c r="U813" s="154"/>
      <c r="V813" s="125"/>
      <c r="W813" s="154"/>
      <c r="X813" s="125"/>
      <c r="Y813" s="3"/>
    </row>
    <row r="814" spans="8:25" x14ac:dyDescent="0.3">
      <c r="H814" s="160">
        <v>41067</v>
      </c>
      <c r="I814" s="159">
        <v>28.909655999999998</v>
      </c>
      <c r="J814" s="123">
        <f t="shared" si="124"/>
        <v>-3.8785111503707391E-3</v>
      </c>
      <c r="K814" s="165">
        <v>1314.98999</v>
      </c>
      <c r="L814" s="124">
        <f t="shared" si="125"/>
        <v>-1.0646475973297293E-4</v>
      </c>
      <c r="N814" s="150"/>
      <c r="O814" s="154"/>
      <c r="P814" s="125"/>
      <c r="Q814" s="154"/>
      <c r="R814" s="125"/>
      <c r="S814" s="3"/>
      <c r="T814" s="150"/>
      <c r="U814" s="154"/>
      <c r="V814" s="125"/>
      <c r="W814" s="154"/>
      <c r="X814" s="125"/>
      <c r="Y814" s="3"/>
    </row>
    <row r="815" spans="8:25" x14ac:dyDescent="0.3">
      <c r="H815" s="160">
        <v>41066</v>
      </c>
      <c r="I815" s="159">
        <v>29.022219</v>
      </c>
      <c r="J815" s="123">
        <f t="shared" si="124"/>
        <v>3.3745395295991763E-2</v>
      </c>
      <c r="K815" s="165">
        <v>1315.130005</v>
      </c>
      <c r="L815" s="124">
        <f t="shared" si="125"/>
        <v>2.3049401011279644E-2</v>
      </c>
      <c r="N815" s="150"/>
      <c r="O815" s="154"/>
      <c r="P815" s="125"/>
      <c r="Q815" s="154"/>
      <c r="R815" s="125"/>
      <c r="S815" s="3"/>
      <c r="T815" s="150"/>
      <c r="U815" s="154"/>
      <c r="V815" s="125"/>
      <c r="W815" s="154"/>
      <c r="X815" s="125"/>
      <c r="Y815" s="3"/>
    </row>
    <row r="816" spans="8:25" x14ac:dyDescent="0.3">
      <c r="H816" s="160">
        <v>41065</v>
      </c>
      <c r="I816" s="159">
        <v>28.074822999999999</v>
      </c>
      <c r="J816" s="123">
        <f t="shared" si="124"/>
        <v>1.0033628933361163E-3</v>
      </c>
      <c r="K816" s="165">
        <v>1285.5</v>
      </c>
      <c r="L816" s="124">
        <f t="shared" si="125"/>
        <v>5.7268504363627579E-3</v>
      </c>
      <c r="N816" s="150"/>
      <c r="O816" s="154"/>
      <c r="P816" s="125"/>
      <c r="Q816" s="154"/>
      <c r="R816" s="125"/>
      <c r="S816" s="3"/>
      <c r="T816" s="150"/>
      <c r="U816" s="154"/>
      <c r="V816" s="125"/>
      <c r="W816" s="154"/>
      <c r="X816" s="125"/>
      <c r="Y816" s="3"/>
    </row>
    <row r="817" spans="8:25" x14ac:dyDescent="0.3">
      <c r="H817" s="160">
        <v>41064</v>
      </c>
      <c r="I817" s="159">
        <v>28.046682000000001</v>
      </c>
      <c r="J817" s="123">
        <f t="shared" si="124"/>
        <v>-6.9744487135629096E-3</v>
      </c>
      <c r="K817" s="165">
        <v>1278.1800539999999</v>
      </c>
      <c r="L817" s="124">
        <f t="shared" si="125"/>
        <v>1.0955447069522404E-4</v>
      </c>
      <c r="N817" s="150"/>
      <c r="O817" s="154"/>
      <c r="P817" s="125"/>
      <c r="Q817" s="154"/>
      <c r="R817" s="125"/>
      <c r="S817" s="3"/>
      <c r="T817" s="150"/>
      <c r="U817" s="154"/>
      <c r="V817" s="125"/>
      <c r="W817" s="154"/>
      <c r="X817" s="125"/>
      <c r="Y817" s="3"/>
    </row>
    <row r="818" spans="8:25" x14ac:dyDescent="0.3">
      <c r="H818" s="160">
        <v>41061</v>
      </c>
      <c r="I818" s="159">
        <v>28.243666000000001</v>
      </c>
      <c r="J818" s="123">
        <f t="shared" si="124"/>
        <v>-4.07772635304086E-2</v>
      </c>
      <c r="K818" s="165">
        <v>1278.040039</v>
      </c>
      <c r="L818" s="124">
        <f t="shared" si="125"/>
        <v>-2.4642584756720664E-2</v>
      </c>
      <c r="N818" s="150"/>
      <c r="O818" s="154"/>
      <c r="P818" s="125"/>
      <c r="Q818" s="154"/>
      <c r="R818" s="125"/>
      <c r="S818" s="3"/>
      <c r="T818" s="150"/>
      <c r="U818" s="154"/>
      <c r="V818" s="125"/>
      <c r="W818" s="154"/>
      <c r="X818" s="125"/>
      <c r="Y818" s="3"/>
    </row>
    <row r="819" spans="8:25" x14ac:dyDescent="0.3">
      <c r="H819" s="160">
        <v>41060</v>
      </c>
      <c r="I819" s="159">
        <v>29.444324999999999</v>
      </c>
      <c r="J819" s="123">
        <f t="shared" si="124"/>
        <v>-2.6062690187987604E-2</v>
      </c>
      <c r="K819" s="165">
        <v>1310.329956</v>
      </c>
      <c r="L819" s="124">
        <f t="shared" si="125"/>
        <v>-2.2766653389424988E-3</v>
      </c>
      <c r="N819" s="150"/>
      <c r="O819" s="154"/>
      <c r="P819" s="125"/>
      <c r="Q819" s="154"/>
      <c r="R819" s="125"/>
      <c r="S819" s="3"/>
      <c r="T819" s="150"/>
      <c r="U819" s="154"/>
      <c r="V819" s="125"/>
      <c r="W819" s="154"/>
      <c r="X819" s="125"/>
      <c r="Y819" s="3"/>
    </row>
    <row r="820" spans="8:25" x14ac:dyDescent="0.3">
      <c r="H820" s="160">
        <v>41059</v>
      </c>
      <c r="I820" s="159">
        <v>30.232258999999999</v>
      </c>
      <c r="J820" s="123">
        <f t="shared" si="124"/>
        <v>-2.8338824913922221E-2</v>
      </c>
      <c r="K820" s="165">
        <v>1313.3199460000001</v>
      </c>
      <c r="L820" s="124">
        <f t="shared" si="125"/>
        <v>-1.4334892428261827E-2</v>
      </c>
      <c r="N820" s="150"/>
      <c r="O820" s="154"/>
      <c r="P820" s="125"/>
      <c r="Q820" s="154"/>
      <c r="R820" s="125"/>
      <c r="S820" s="3"/>
      <c r="T820" s="150"/>
      <c r="U820" s="154"/>
      <c r="V820" s="125"/>
      <c r="W820" s="154"/>
      <c r="X820" s="125"/>
      <c r="Y820" s="3"/>
    </row>
    <row r="821" spans="8:25" x14ac:dyDescent="0.3">
      <c r="H821" s="160">
        <v>41058</v>
      </c>
      <c r="I821" s="159">
        <v>31.113993000000001</v>
      </c>
      <c r="J821" s="123">
        <f t="shared" si="124"/>
        <v>-3.0400476417074437E-2</v>
      </c>
      <c r="K821" s="165">
        <v>1332.420044</v>
      </c>
      <c r="L821" s="124">
        <f t="shared" si="125"/>
        <v>1.1078977856053704E-2</v>
      </c>
      <c r="N821" s="150"/>
      <c r="O821" s="154"/>
      <c r="P821" s="125"/>
      <c r="Q821" s="154"/>
      <c r="R821" s="125"/>
      <c r="S821" s="3"/>
      <c r="T821" s="150"/>
      <c r="U821" s="154"/>
      <c r="V821" s="125"/>
      <c r="W821" s="154"/>
      <c r="X821" s="125"/>
      <c r="Y821" s="3"/>
    </row>
    <row r="822" spans="8:25" x14ac:dyDescent="0.3">
      <c r="H822" s="160">
        <v>41054</v>
      </c>
      <c r="I822" s="159">
        <v>32.089530000000003</v>
      </c>
      <c r="J822" s="123">
        <f t="shared" si="124"/>
        <v>1.1232534672721953E-2</v>
      </c>
      <c r="K822" s="165">
        <v>1317.8199460000001</v>
      </c>
      <c r="L822" s="124">
        <f t="shared" si="125"/>
        <v>-2.1656327672529949E-3</v>
      </c>
      <c r="N822" s="150"/>
      <c r="O822" s="154"/>
      <c r="P822" s="125"/>
      <c r="Q822" s="154"/>
      <c r="R822" s="125"/>
      <c r="S822" s="3"/>
      <c r="T822" s="150"/>
      <c r="U822" s="154"/>
      <c r="V822" s="125"/>
      <c r="W822" s="154"/>
      <c r="X822" s="125"/>
      <c r="Y822" s="3"/>
    </row>
    <row r="823" spans="8:25" x14ac:dyDescent="0.3">
      <c r="H823" s="160">
        <v>41053</v>
      </c>
      <c r="I823" s="159">
        <v>31.733087000000001</v>
      </c>
      <c r="J823" s="123">
        <f t="shared" si="124"/>
        <v>-7.9177841746734708E-3</v>
      </c>
      <c r="K823" s="165">
        <v>1320.6800539999999</v>
      </c>
      <c r="L823" s="124">
        <f t="shared" si="125"/>
        <v>1.3800320130266715E-3</v>
      </c>
      <c r="N823" s="150"/>
      <c r="O823" s="154"/>
      <c r="P823" s="125"/>
      <c r="Q823" s="154"/>
      <c r="R823" s="125"/>
      <c r="S823" s="3"/>
      <c r="T823" s="150"/>
      <c r="U823" s="154"/>
      <c r="V823" s="125"/>
      <c r="W823" s="154"/>
      <c r="X823" s="125"/>
      <c r="Y823" s="3"/>
    </row>
    <row r="824" spans="8:25" x14ac:dyDescent="0.3">
      <c r="H824" s="160">
        <v>41052</v>
      </c>
      <c r="I824" s="159">
        <v>31.986348</v>
      </c>
      <c r="J824" s="123">
        <f t="shared" si="124"/>
        <v>-1.1880626864809537E-2</v>
      </c>
      <c r="K824" s="165">
        <v>1318.8599850000001</v>
      </c>
      <c r="L824" s="124">
        <f t="shared" si="125"/>
        <v>1.693702856179454E-3</v>
      </c>
      <c r="N824" s="150"/>
      <c r="O824" s="154"/>
      <c r="P824" s="125"/>
      <c r="Q824" s="154"/>
      <c r="R824" s="125"/>
      <c r="S824" s="3"/>
      <c r="T824" s="150"/>
      <c r="U824" s="154"/>
      <c r="V824" s="125"/>
      <c r="W824" s="154"/>
      <c r="X824" s="125"/>
      <c r="Y824" s="3"/>
    </row>
    <row r="825" spans="8:25" x14ac:dyDescent="0.3">
      <c r="H825" s="160">
        <v>41051</v>
      </c>
      <c r="I825" s="159">
        <v>32.370935000000003</v>
      </c>
      <c r="J825" s="123">
        <f t="shared" si="124"/>
        <v>-4.0322600010868292E-2</v>
      </c>
      <c r="K825" s="165">
        <v>1316.630005</v>
      </c>
      <c r="L825" s="124">
        <f t="shared" si="125"/>
        <v>4.8633728589375403E-4</v>
      </c>
      <c r="N825" s="150"/>
      <c r="O825" s="154"/>
      <c r="P825" s="125"/>
      <c r="Q825" s="154"/>
      <c r="R825" s="125"/>
      <c r="S825" s="3"/>
      <c r="T825" s="150"/>
      <c r="U825" s="154"/>
      <c r="V825" s="125"/>
      <c r="W825" s="154"/>
      <c r="X825" s="125"/>
      <c r="Y825" s="3"/>
    </row>
    <row r="826" spans="8:25" x14ac:dyDescent="0.3">
      <c r="H826" s="160">
        <v>41050</v>
      </c>
      <c r="I826" s="159">
        <v>33.731059000000002</v>
      </c>
      <c r="J826" s="123">
        <f t="shared" si="124"/>
        <v>3.7507215108632919E-2</v>
      </c>
      <c r="K826" s="165">
        <v>1315.98999</v>
      </c>
      <c r="L826" s="124">
        <f t="shared" si="125"/>
        <v>1.6035900823830062E-2</v>
      </c>
      <c r="N826" s="150"/>
      <c r="O826" s="154"/>
      <c r="P826" s="125"/>
      <c r="Q826" s="154"/>
      <c r="R826" s="125"/>
      <c r="S826" s="3"/>
      <c r="T826" s="150"/>
      <c r="U826" s="154"/>
      <c r="V826" s="125"/>
      <c r="W826" s="154"/>
      <c r="X826" s="125"/>
      <c r="Y826" s="3"/>
    </row>
    <row r="827" spans="8:25" x14ac:dyDescent="0.3">
      <c r="H827" s="160">
        <v>41047</v>
      </c>
      <c r="I827" s="159">
        <v>32.511637999999998</v>
      </c>
      <c r="J827" s="123">
        <f t="shared" si="124"/>
        <v>-6.5012144595618437E-2</v>
      </c>
      <c r="K827" s="165">
        <v>1295.219971</v>
      </c>
      <c r="L827" s="124">
        <f t="shared" si="125"/>
        <v>-7.3877765513669759E-3</v>
      </c>
      <c r="N827" s="150"/>
      <c r="O827" s="154"/>
      <c r="P827" s="125"/>
      <c r="Q827" s="154"/>
      <c r="R827" s="125"/>
      <c r="S827" s="3"/>
      <c r="T827" s="150"/>
      <c r="U827" s="154"/>
      <c r="V827" s="125"/>
      <c r="W827" s="154"/>
      <c r="X827" s="125"/>
      <c r="Y827" s="3"/>
    </row>
    <row r="828" spans="8:25" x14ac:dyDescent="0.3">
      <c r="H828" s="160">
        <v>41046</v>
      </c>
      <c r="I828" s="159">
        <v>34.772257000000003</v>
      </c>
      <c r="J828" s="123">
        <f t="shared" si="124"/>
        <v>-4.038317162663712E-2</v>
      </c>
      <c r="K828" s="165">
        <v>1304.8599850000001</v>
      </c>
      <c r="L828" s="124">
        <f t="shared" si="125"/>
        <v>-1.5051376254893159E-2</v>
      </c>
      <c r="N828" s="150"/>
      <c r="O828" s="154"/>
      <c r="P828" s="125"/>
      <c r="Q828" s="154"/>
      <c r="R828" s="125"/>
      <c r="S828" s="3"/>
      <c r="T828" s="150"/>
      <c r="U828" s="154"/>
      <c r="V828" s="125"/>
      <c r="W828" s="154"/>
      <c r="X828" s="125"/>
      <c r="Y828" s="3"/>
    </row>
    <row r="829" spans="8:25" x14ac:dyDescent="0.3">
      <c r="H829" s="160">
        <v>41045</v>
      </c>
      <c r="I829" s="159">
        <v>36.235563999999997</v>
      </c>
      <c r="J829" s="123">
        <f t="shared" si="124"/>
        <v>-3.3283219223755781E-2</v>
      </c>
      <c r="K829" s="165">
        <v>1324.8000489999999</v>
      </c>
      <c r="L829" s="124">
        <f t="shared" si="125"/>
        <v>-4.4038182933809006E-3</v>
      </c>
      <c r="N829" s="150"/>
      <c r="O829" s="154"/>
      <c r="P829" s="125"/>
      <c r="Q829" s="154"/>
      <c r="R829" s="125"/>
      <c r="S829" s="3"/>
      <c r="T829" s="150"/>
      <c r="U829" s="154"/>
      <c r="V829" s="125"/>
      <c r="W829" s="154"/>
      <c r="X829" s="125"/>
      <c r="Y829" s="3"/>
    </row>
    <row r="830" spans="8:25" x14ac:dyDescent="0.3">
      <c r="H830" s="160">
        <v>41044</v>
      </c>
      <c r="I830" s="159">
        <v>37.483122999999999</v>
      </c>
      <c r="J830" s="123">
        <f t="shared" si="124"/>
        <v>7.5127518409822086E-4</v>
      </c>
      <c r="K830" s="165">
        <v>1330.660034</v>
      </c>
      <c r="L830" s="124">
        <f t="shared" si="125"/>
        <v>-5.7458378883700704E-3</v>
      </c>
      <c r="N830" s="150"/>
      <c r="O830" s="154"/>
      <c r="P830" s="125"/>
      <c r="Q830" s="154"/>
      <c r="R830" s="125"/>
      <c r="S830" s="3"/>
      <c r="T830" s="150"/>
      <c r="U830" s="154"/>
      <c r="V830" s="125"/>
      <c r="W830" s="154"/>
      <c r="X830" s="125"/>
      <c r="Y830" s="3"/>
    </row>
    <row r="831" spans="8:25" x14ac:dyDescent="0.3">
      <c r="H831" s="160">
        <v>41043</v>
      </c>
      <c r="I831" s="159">
        <v>37.454984000000003</v>
      </c>
      <c r="J831" s="123">
        <f t="shared" si="124"/>
        <v>-9.1811160818291507E-3</v>
      </c>
      <c r="K831" s="165">
        <v>1338.349976</v>
      </c>
      <c r="L831" s="124">
        <f t="shared" si="125"/>
        <v>-1.1112863870212594E-2</v>
      </c>
      <c r="N831" s="150"/>
      <c r="O831" s="154"/>
      <c r="P831" s="125"/>
      <c r="Q831" s="154"/>
      <c r="R831" s="125"/>
      <c r="S831" s="3"/>
      <c r="T831" s="150"/>
      <c r="U831" s="154"/>
      <c r="V831" s="125"/>
      <c r="W831" s="154"/>
      <c r="X831" s="125"/>
      <c r="Y831" s="3"/>
    </row>
    <row r="832" spans="8:25" x14ac:dyDescent="0.3">
      <c r="H832" s="160">
        <v>41040</v>
      </c>
      <c r="I832" s="159">
        <v>37.802048999999997</v>
      </c>
      <c r="J832" s="123">
        <f t="shared" si="124"/>
        <v>-1.0800245915336886E-2</v>
      </c>
      <c r="K832" s="165">
        <v>1353.3900149999999</v>
      </c>
      <c r="L832" s="124">
        <f t="shared" si="125"/>
        <v>-3.3873408742873617E-3</v>
      </c>
      <c r="N832" s="150"/>
      <c r="O832" s="154"/>
      <c r="P832" s="125"/>
      <c r="Q832" s="154"/>
      <c r="R832" s="125"/>
      <c r="S832" s="3"/>
      <c r="T832" s="150"/>
      <c r="U832" s="154"/>
      <c r="V832" s="125"/>
      <c r="W832" s="154"/>
      <c r="X832" s="125"/>
      <c r="Y832" s="3"/>
    </row>
    <row r="833" spans="8:25" x14ac:dyDescent="0.3">
      <c r="H833" s="160">
        <v>41039</v>
      </c>
      <c r="I833" s="159">
        <v>38.214778000000003</v>
      </c>
      <c r="J833" s="123">
        <f t="shared" si="124"/>
        <v>1.97747249440909E-2</v>
      </c>
      <c r="K833" s="165">
        <v>1357.98999</v>
      </c>
      <c r="L833" s="124">
        <f t="shared" si="125"/>
        <v>2.5174106444551553E-3</v>
      </c>
      <c r="N833" s="150"/>
      <c r="O833" s="154"/>
      <c r="P833" s="125"/>
      <c r="Q833" s="154"/>
      <c r="R833" s="125"/>
      <c r="S833" s="3"/>
      <c r="T833" s="150"/>
      <c r="U833" s="154"/>
      <c r="V833" s="125"/>
      <c r="W833" s="154"/>
      <c r="X833" s="125"/>
      <c r="Y833" s="3"/>
    </row>
    <row r="834" spans="8:25" x14ac:dyDescent="0.3">
      <c r="H834" s="160">
        <v>41038</v>
      </c>
      <c r="I834" s="159">
        <v>37.473745000000001</v>
      </c>
      <c r="J834" s="123">
        <f t="shared" si="124"/>
        <v>2.0694994681858096E-2</v>
      </c>
      <c r="K834" s="165">
        <v>1354.579956</v>
      </c>
      <c r="L834" s="124">
        <f t="shared" si="125"/>
        <v>-6.7022667368416416E-3</v>
      </c>
      <c r="N834" s="150"/>
      <c r="O834" s="154"/>
      <c r="P834" s="125"/>
      <c r="Q834" s="154"/>
      <c r="R834" s="125"/>
      <c r="S834" s="3"/>
      <c r="T834" s="150"/>
      <c r="U834" s="154"/>
      <c r="V834" s="125"/>
      <c r="W834" s="154"/>
      <c r="X834" s="125"/>
      <c r="Y834" s="3"/>
    </row>
    <row r="835" spans="8:25" x14ac:dyDescent="0.3">
      <c r="H835" s="160">
        <v>41037</v>
      </c>
      <c r="I835" s="159">
        <v>36.713949999999997</v>
      </c>
      <c r="J835" s="123">
        <f t="shared" si="124"/>
        <v>-2.554779070701488E-4</v>
      </c>
      <c r="K835" s="165">
        <v>1363.719971</v>
      </c>
      <c r="L835" s="124">
        <f t="shared" si="125"/>
        <v>-4.2786731613061449E-3</v>
      </c>
      <c r="N835" s="150"/>
      <c r="O835" s="154"/>
      <c r="P835" s="125"/>
      <c r="Q835" s="154"/>
      <c r="R835" s="125"/>
      <c r="S835" s="3"/>
      <c r="T835" s="150"/>
      <c r="U835" s="154"/>
      <c r="V835" s="125"/>
      <c r="W835" s="154"/>
      <c r="X835" s="125"/>
      <c r="Y835" s="3"/>
    </row>
    <row r="836" spans="8:25" x14ac:dyDescent="0.3">
      <c r="H836" s="160">
        <v>41036</v>
      </c>
      <c r="I836" s="159">
        <v>36.723331999999999</v>
      </c>
      <c r="J836" s="123">
        <f t="shared" si="124"/>
        <v>6.9444345428695525E-3</v>
      </c>
      <c r="K836" s="165">
        <v>1369.579956</v>
      </c>
      <c r="L836" s="124">
        <f t="shared" si="125"/>
        <v>3.5058067958075015E-4</v>
      </c>
      <c r="N836" s="150"/>
      <c r="O836" s="154"/>
      <c r="P836" s="125"/>
      <c r="Q836" s="154"/>
      <c r="R836" s="125"/>
      <c r="S836" s="3"/>
      <c r="T836" s="150"/>
      <c r="U836" s="154"/>
      <c r="V836" s="125"/>
      <c r="W836" s="154"/>
      <c r="X836" s="125"/>
      <c r="Y836" s="3"/>
    </row>
    <row r="837" spans="8:25" x14ac:dyDescent="0.3">
      <c r="H837" s="160">
        <v>41033</v>
      </c>
      <c r="I837" s="159">
        <v>36.470067999999998</v>
      </c>
      <c r="J837" s="123">
        <f t="shared" si="124"/>
        <v>-9.1743169115943608E-3</v>
      </c>
      <c r="K837" s="165">
        <v>1369.099976</v>
      </c>
      <c r="L837" s="124">
        <f t="shared" si="125"/>
        <v>-1.6147208456598918E-2</v>
      </c>
      <c r="N837" s="150"/>
      <c r="O837" s="154"/>
      <c r="P837" s="125"/>
      <c r="Q837" s="154"/>
      <c r="R837" s="125"/>
      <c r="S837" s="3"/>
      <c r="T837" s="150"/>
      <c r="U837" s="154"/>
      <c r="V837" s="125"/>
      <c r="W837" s="154"/>
      <c r="X837" s="125"/>
      <c r="Y837" s="3"/>
    </row>
    <row r="838" spans="8:25" x14ac:dyDescent="0.3">
      <c r="H838" s="160">
        <v>41032</v>
      </c>
      <c r="I838" s="159">
        <v>36.807754000000003</v>
      </c>
      <c r="J838" s="123">
        <f t="shared" si="124"/>
        <v>-3.1828202963496602E-2</v>
      </c>
      <c r="K838" s="165">
        <v>1391.5699460000001</v>
      </c>
      <c r="L838" s="124">
        <f t="shared" si="125"/>
        <v>-7.6588718244371074E-3</v>
      </c>
      <c r="N838" s="150"/>
      <c r="O838" s="154"/>
      <c r="P838" s="125"/>
      <c r="Q838" s="154"/>
      <c r="R838" s="125"/>
      <c r="S838" s="3"/>
      <c r="T838" s="150"/>
      <c r="U838" s="154"/>
      <c r="V838" s="125"/>
      <c r="W838" s="154"/>
      <c r="X838" s="125"/>
      <c r="Y838" s="3"/>
    </row>
    <row r="839" spans="8:25" x14ac:dyDescent="0.3">
      <c r="H839" s="160">
        <v>41031</v>
      </c>
      <c r="I839" s="159">
        <v>38.017792</v>
      </c>
      <c r="J839" s="123">
        <f t="shared" si="124"/>
        <v>1.2237711500609484E-2</v>
      </c>
      <c r="K839" s="165">
        <v>1402.3100589999999</v>
      </c>
      <c r="L839" s="124">
        <f t="shared" si="125"/>
        <v>-2.4966831705488992E-3</v>
      </c>
      <c r="N839" s="150"/>
      <c r="O839" s="154"/>
      <c r="P839" s="125"/>
      <c r="Q839" s="154"/>
      <c r="R839" s="125"/>
      <c r="S839" s="3"/>
      <c r="T839" s="150"/>
      <c r="U839" s="154"/>
      <c r="V839" s="125"/>
      <c r="W839" s="154"/>
      <c r="X839" s="125"/>
      <c r="Y839" s="3"/>
    </row>
    <row r="840" spans="8:25" x14ac:dyDescent="0.3">
      <c r="H840" s="160">
        <v>41030</v>
      </c>
      <c r="I840" s="159">
        <v>37.558166</v>
      </c>
      <c r="J840" s="123">
        <f t="shared" si="124"/>
        <v>3.1692838726915695E-2</v>
      </c>
      <c r="K840" s="165">
        <v>1405.8199460000001</v>
      </c>
      <c r="L840" s="124">
        <f t="shared" si="125"/>
        <v>5.6583841646565339E-3</v>
      </c>
      <c r="N840" s="150"/>
      <c r="O840" s="154"/>
      <c r="P840" s="125"/>
      <c r="Q840" s="154"/>
      <c r="R840" s="125"/>
      <c r="S840" s="3"/>
      <c r="T840" s="150"/>
      <c r="U840" s="154"/>
      <c r="V840" s="125"/>
      <c r="W840" s="154"/>
      <c r="X840" s="125"/>
      <c r="Y840" s="3"/>
    </row>
    <row r="841" spans="8:25" x14ac:dyDescent="0.3">
      <c r="H841" s="160">
        <v>41029</v>
      </c>
      <c r="I841" s="159">
        <v>36.404406999999999</v>
      </c>
      <c r="J841" s="123">
        <f t="shared" si="124"/>
        <v>2.320065526381997E-2</v>
      </c>
      <c r="K841" s="165">
        <v>1397.910034</v>
      </c>
      <c r="L841" s="124">
        <f t="shared" si="125"/>
        <v>-3.883501780193665E-3</v>
      </c>
      <c r="N841" s="150"/>
      <c r="O841" s="154"/>
      <c r="P841" s="125"/>
      <c r="Q841" s="154"/>
      <c r="R841" s="125"/>
      <c r="S841" s="3"/>
      <c r="T841" s="150"/>
      <c r="U841" s="154"/>
      <c r="V841" s="125"/>
      <c r="W841" s="154"/>
      <c r="X841" s="125"/>
      <c r="Y841" s="3"/>
    </row>
    <row r="842" spans="8:25" x14ac:dyDescent="0.3">
      <c r="H842" s="160">
        <v>41026</v>
      </c>
      <c r="I842" s="159">
        <v>35.578952000000001</v>
      </c>
      <c r="J842" s="123">
        <f t="shared" ref="J842:J905" si="126">(I842-I843)/I843</f>
        <v>-0.13990924397318613</v>
      </c>
      <c r="K842" s="165">
        <v>1403.3599850000001</v>
      </c>
      <c r="L842" s="124">
        <f t="shared" ref="L842:L905" si="127">(K842-K843)/K843</f>
        <v>2.414323810544764E-3</v>
      </c>
      <c r="N842" s="150"/>
      <c r="O842" s="154"/>
      <c r="P842" s="125"/>
      <c r="Q842" s="154"/>
      <c r="R842" s="125"/>
      <c r="S842" s="3"/>
      <c r="T842" s="150"/>
      <c r="U842" s="154"/>
      <c r="V842" s="125"/>
      <c r="W842" s="154"/>
      <c r="X842" s="125"/>
      <c r="Y842" s="3"/>
    </row>
    <row r="843" spans="8:25" x14ac:dyDescent="0.3">
      <c r="H843" s="160">
        <v>41025</v>
      </c>
      <c r="I843" s="159">
        <v>41.366509000000001</v>
      </c>
      <c r="J843" s="123">
        <f t="shared" si="126"/>
        <v>2.2253093120239341E-2</v>
      </c>
      <c r="K843" s="165">
        <v>1399.9799800000001</v>
      </c>
      <c r="L843" s="124">
        <f t="shared" si="127"/>
        <v>6.6801655251204394E-3</v>
      </c>
      <c r="N843" s="150"/>
      <c r="O843" s="154"/>
      <c r="P843" s="125"/>
      <c r="Q843" s="154"/>
      <c r="R843" s="125"/>
      <c r="S843" s="3"/>
      <c r="T843" s="150"/>
      <c r="U843" s="154"/>
      <c r="V843" s="125"/>
      <c r="W843" s="154"/>
      <c r="X843" s="125"/>
      <c r="Y843" s="3"/>
    </row>
    <row r="844" spans="8:25" x14ac:dyDescent="0.3">
      <c r="H844" s="160">
        <v>41024</v>
      </c>
      <c r="I844" s="159">
        <v>40.466014999999999</v>
      </c>
      <c r="J844" s="123">
        <f t="shared" si="126"/>
        <v>4.1023182424645671E-2</v>
      </c>
      <c r="K844" s="165">
        <v>1390.6899410000001</v>
      </c>
      <c r="L844" s="124">
        <f t="shared" si="127"/>
        <v>1.3644591642450826E-2</v>
      </c>
      <c r="N844" s="150"/>
      <c r="O844" s="154"/>
      <c r="P844" s="125"/>
      <c r="Q844" s="154"/>
      <c r="R844" s="125"/>
      <c r="S844" s="3"/>
      <c r="T844" s="150"/>
      <c r="U844" s="154"/>
      <c r="V844" s="125"/>
      <c r="W844" s="154"/>
      <c r="X844" s="125"/>
      <c r="Y844" s="3"/>
    </row>
    <row r="845" spans="8:25" x14ac:dyDescent="0.3">
      <c r="H845" s="160">
        <v>41023</v>
      </c>
      <c r="I845" s="159">
        <v>38.871386999999999</v>
      </c>
      <c r="J845" s="123">
        <f t="shared" si="126"/>
        <v>4.8287598372366922E-4</v>
      </c>
      <c r="K845" s="165">
        <v>1371.969971</v>
      </c>
      <c r="L845" s="124">
        <f t="shared" si="127"/>
        <v>3.6797739601639868E-3</v>
      </c>
      <c r="N845" s="150"/>
      <c r="O845" s="154"/>
      <c r="P845" s="125"/>
      <c r="Q845" s="154"/>
      <c r="R845" s="125"/>
      <c r="S845" s="3"/>
      <c r="T845" s="150"/>
      <c r="U845" s="154"/>
      <c r="V845" s="125"/>
      <c r="W845" s="154"/>
      <c r="X845" s="125"/>
      <c r="Y845" s="3"/>
    </row>
    <row r="846" spans="8:25" x14ac:dyDescent="0.3">
      <c r="H846" s="160">
        <v>41022</v>
      </c>
      <c r="I846" s="159">
        <v>38.852626000000001</v>
      </c>
      <c r="J846" s="123">
        <f t="shared" si="126"/>
        <v>-4.8264292704548484E-4</v>
      </c>
      <c r="K846" s="165">
        <v>1366.9399410000001</v>
      </c>
      <c r="L846" s="124">
        <f t="shared" si="127"/>
        <v>-8.4075702060748669E-3</v>
      </c>
      <c r="N846" s="150"/>
      <c r="O846" s="154"/>
      <c r="P846" s="125"/>
      <c r="Q846" s="154"/>
      <c r="R846" s="125"/>
      <c r="S846" s="3"/>
      <c r="T846" s="150"/>
      <c r="U846" s="154"/>
      <c r="V846" s="125"/>
      <c r="W846" s="154"/>
      <c r="X846" s="125"/>
      <c r="Y846" s="3"/>
    </row>
    <row r="847" spans="8:25" x14ac:dyDescent="0.3">
      <c r="H847" s="160">
        <v>41019</v>
      </c>
      <c r="I847" s="159">
        <v>38.871386999999999</v>
      </c>
      <c r="J847" s="123">
        <f t="shared" si="126"/>
        <v>-1.4506544373498355E-2</v>
      </c>
      <c r="K847" s="165">
        <v>1378.530029</v>
      </c>
      <c r="L847" s="124">
        <f t="shared" si="127"/>
        <v>1.1692654246814433E-3</v>
      </c>
      <c r="N847" s="150"/>
      <c r="O847" s="154"/>
      <c r="P847" s="125"/>
      <c r="Q847" s="154"/>
      <c r="R847" s="125"/>
      <c r="S847" s="3"/>
      <c r="T847" s="150"/>
      <c r="U847" s="154"/>
      <c r="V847" s="125"/>
      <c r="W847" s="154"/>
      <c r="X847" s="125"/>
      <c r="Y847" s="3"/>
    </row>
    <row r="848" spans="8:25" x14ac:dyDescent="0.3">
      <c r="H848" s="160">
        <v>41018</v>
      </c>
      <c r="I848" s="159">
        <v>39.443576999999998</v>
      </c>
      <c r="J848" s="123">
        <f t="shared" si="126"/>
        <v>1.1790133842513812E-2</v>
      </c>
      <c r="K848" s="165">
        <v>1376.920044</v>
      </c>
      <c r="L848" s="124">
        <f t="shared" si="127"/>
        <v>-5.9343971807788599E-3</v>
      </c>
      <c r="N848" s="150"/>
      <c r="O848" s="154"/>
      <c r="P848" s="125"/>
      <c r="Q848" s="154"/>
      <c r="R848" s="125"/>
      <c r="S848" s="3"/>
      <c r="T848" s="150"/>
      <c r="U848" s="154"/>
      <c r="V848" s="125"/>
      <c r="W848" s="154"/>
      <c r="X848" s="125"/>
      <c r="Y848" s="3"/>
    </row>
    <row r="849" spans="8:25" x14ac:dyDescent="0.3">
      <c r="H849" s="160">
        <v>41017</v>
      </c>
      <c r="I849" s="159">
        <v>38.983950999999998</v>
      </c>
      <c r="J849" s="123">
        <f t="shared" si="126"/>
        <v>5.18856809507241E-2</v>
      </c>
      <c r="K849" s="165">
        <v>1385.1400149999999</v>
      </c>
      <c r="L849" s="124">
        <f t="shared" si="127"/>
        <v>-4.0552883147562547E-3</v>
      </c>
      <c r="N849" s="150"/>
      <c r="O849" s="154"/>
      <c r="P849" s="125"/>
      <c r="Q849" s="154"/>
      <c r="R849" s="125"/>
      <c r="S849" s="3"/>
      <c r="T849" s="150"/>
      <c r="U849" s="154"/>
      <c r="V849" s="125"/>
      <c r="W849" s="154"/>
      <c r="X849" s="125"/>
      <c r="Y849" s="3"/>
    </row>
    <row r="850" spans="8:25" x14ac:dyDescent="0.3">
      <c r="H850" s="160">
        <v>41016</v>
      </c>
      <c r="I850" s="159">
        <v>37.061014999999998</v>
      </c>
      <c r="J850" s="123">
        <f t="shared" si="126"/>
        <v>-1.5163280882226702E-3</v>
      </c>
      <c r="K850" s="165">
        <v>1390.780029</v>
      </c>
      <c r="L850" s="124">
        <f t="shared" si="127"/>
        <v>1.5486673800010458E-2</v>
      </c>
      <c r="N850" s="150"/>
      <c r="O850" s="154"/>
      <c r="P850" s="125"/>
      <c r="Q850" s="154"/>
      <c r="R850" s="125"/>
      <c r="S850" s="3"/>
      <c r="T850" s="150"/>
      <c r="U850" s="154"/>
      <c r="V850" s="125"/>
      <c r="W850" s="154"/>
      <c r="X850" s="125"/>
      <c r="Y850" s="3"/>
    </row>
    <row r="851" spans="8:25" x14ac:dyDescent="0.3">
      <c r="H851" s="160">
        <v>41015</v>
      </c>
      <c r="I851" s="159">
        <v>37.117297000000001</v>
      </c>
      <c r="J851" s="123">
        <f t="shared" si="126"/>
        <v>1.4095312065889171E-2</v>
      </c>
      <c r="K851" s="165">
        <v>1369.5699460000001</v>
      </c>
      <c r="L851" s="124">
        <f t="shared" si="127"/>
        <v>-5.0360077281967315E-4</v>
      </c>
      <c r="N851" s="150"/>
      <c r="O851" s="154"/>
      <c r="P851" s="125"/>
      <c r="Q851" s="154"/>
      <c r="R851" s="125"/>
      <c r="S851" s="3"/>
      <c r="T851" s="150"/>
      <c r="U851" s="154"/>
      <c r="V851" s="125"/>
      <c r="W851" s="154"/>
      <c r="X851" s="125"/>
      <c r="Y851" s="3"/>
    </row>
    <row r="852" spans="8:25" x14ac:dyDescent="0.3">
      <c r="H852" s="160">
        <v>41012</v>
      </c>
      <c r="I852" s="159">
        <v>36.601388999999998</v>
      </c>
      <c r="J852" s="123">
        <f t="shared" si="126"/>
        <v>-4.3377941478502345E-3</v>
      </c>
      <c r="K852" s="165">
        <v>1370.26001</v>
      </c>
      <c r="L852" s="124">
        <f t="shared" si="127"/>
        <v>-1.2475000665660213E-2</v>
      </c>
      <c r="N852" s="150"/>
      <c r="O852" s="154"/>
      <c r="P852" s="125"/>
      <c r="Q852" s="154"/>
      <c r="R852" s="125"/>
      <c r="S852" s="3"/>
      <c r="T852" s="150"/>
      <c r="U852" s="154"/>
      <c r="V852" s="125"/>
      <c r="W852" s="154"/>
      <c r="X852" s="125"/>
      <c r="Y852" s="3"/>
    </row>
    <row r="853" spans="8:25" x14ac:dyDescent="0.3">
      <c r="H853" s="160">
        <v>41011</v>
      </c>
      <c r="I853" s="159">
        <v>36.760849999999998</v>
      </c>
      <c r="J853" s="123">
        <f t="shared" si="126"/>
        <v>2.5379308351903423E-2</v>
      </c>
      <c r="K853" s="165">
        <v>1387.5699460000001</v>
      </c>
      <c r="L853" s="124">
        <f t="shared" si="127"/>
        <v>1.3779387552802395E-2</v>
      </c>
      <c r="N853" s="150"/>
      <c r="O853" s="154"/>
      <c r="P853" s="125"/>
      <c r="Q853" s="154"/>
      <c r="R853" s="125"/>
      <c r="S853" s="3"/>
      <c r="T853" s="150"/>
      <c r="U853" s="154"/>
      <c r="V853" s="125"/>
      <c r="W853" s="154"/>
      <c r="X853" s="125"/>
      <c r="Y853" s="3"/>
    </row>
    <row r="854" spans="8:25" x14ac:dyDescent="0.3">
      <c r="H854" s="160">
        <v>41010</v>
      </c>
      <c r="I854" s="159">
        <v>35.850977</v>
      </c>
      <c r="J854" s="123">
        <f t="shared" si="126"/>
        <v>-1.3064839461119338E-3</v>
      </c>
      <c r="K854" s="165">
        <v>1368.709961</v>
      </c>
      <c r="L854" s="124">
        <f t="shared" si="127"/>
        <v>7.4488957325333409E-3</v>
      </c>
      <c r="N854" s="150"/>
      <c r="O854" s="154"/>
      <c r="P854" s="125"/>
      <c r="Q854" s="154"/>
      <c r="R854" s="125"/>
      <c r="S854" s="3"/>
      <c r="T854" s="150"/>
      <c r="U854" s="154"/>
      <c r="V854" s="125"/>
      <c r="W854" s="154"/>
      <c r="X854" s="125"/>
      <c r="Y854" s="3"/>
    </row>
    <row r="855" spans="8:25" x14ac:dyDescent="0.3">
      <c r="H855" s="160">
        <v>41009</v>
      </c>
      <c r="I855" s="159">
        <v>35.897877000000001</v>
      </c>
      <c r="J855" s="123">
        <f t="shared" si="126"/>
        <v>-3.5777224828523357E-2</v>
      </c>
      <c r="K855" s="165">
        <v>1358.589966</v>
      </c>
      <c r="L855" s="124">
        <f t="shared" si="127"/>
        <v>-1.708145408550955E-2</v>
      </c>
      <c r="N855" s="150"/>
      <c r="O855" s="154"/>
      <c r="P855" s="125"/>
      <c r="Q855" s="154"/>
      <c r="R855" s="125"/>
      <c r="S855" s="3"/>
      <c r="T855" s="150"/>
      <c r="U855" s="154"/>
      <c r="V855" s="125"/>
      <c r="W855" s="154"/>
      <c r="X855" s="125"/>
      <c r="Y855" s="3"/>
    </row>
    <row r="856" spans="8:25" x14ac:dyDescent="0.3">
      <c r="H856" s="160">
        <v>41008</v>
      </c>
      <c r="I856" s="159">
        <v>37.229858</v>
      </c>
      <c r="J856" s="123">
        <f t="shared" si="126"/>
        <v>-1.2582637944786577E-3</v>
      </c>
      <c r="K856" s="165">
        <v>1382.1999510000001</v>
      </c>
      <c r="L856" s="124">
        <f t="shared" si="127"/>
        <v>-1.1358438358156378E-2</v>
      </c>
      <c r="N856" s="150"/>
      <c r="O856" s="154"/>
      <c r="P856" s="125"/>
      <c r="Q856" s="154"/>
      <c r="R856" s="125"/>
      <c r="S856" s="3"/>
      <c r="T856" s="150"/>
      <c r="U856" s="154"/>
      <c r="V856" s="125"/>
      <c r="W856" s="154"/>
      <c r="X856" s="125"/>
      <c r="Y856" s="3"/>
    </row>
    <row r="857" spans="8:25" x14ac:dyDescent="0.3">
      <c r="H857" s="160">
        <v>41004</v>
      </c>
      <c r="I857" s="159">
        <v>37.276761999999998</v>
      </c>
      <c r="J857" s="123">
        <f t="shared" si="126"/>
        <v>-3.7306129979507031E-2</v>
      </c>
      <c r="K857" s="165">
        <v>1398.079956</v>
      </c>
      <c r="L857" s="124">
        <f t="shared" si="127"/>
        <v>-6.2904230609355004E-4</v>
      </c>
      <c r="N857" s="150"/>
      <c r="O857" s="154"/>
      <c r="P857" s="125"/>
      <c r="Q857" s="154"/>
      <c r="R857" s="125"/>
      <c r="S857" s="3"/>
      <c r="T857" s="150"/>
      <c r="U857" s="154"/>
      <c r="V857" s="125"/>
      <c r="W857" s="154"/>
      <c r="X857" s="125"/>
      <c r="Y857" s="3"/>
    </row>
    <row r="858" spans="8:25" x14ac:dyDescent="0.3">
      <c r="H858" s="160">
        <v>41003</v>
      </c>
      <c r="I858" s="159">
        <v>38.721304000000003</v>
      </c>
      <c r="J858" s="123">
        <f t="shared" si="126"/>
        <v>-8.4074586963885783E-3</v>
      </c>
      <c r="K858" s="165">
        <v>1398.959961</v>
      </c>
      <c r="L858" s="124">
        <f t="shared" si="127"/>
        <v>-1.0202524408854901E-2</v>
      </c>
      <c r="N858" s="150"/>
      <c r="O858" s="154"/>
      <c r="P858" s="125"/>
      <c r="Q858" s="154"/>
      <c r="R858" s="125"/>
      <c r="S858" s="3"/>
      <c r="T858" s="150"/>
      <c r="U858" s="154"/>
      <c r="V858" s="125"/>
      <c r="W858" s="154"/>
      <c r="X858" s="125"/>
      <c r="Y858" s="3"/>
    </row>
    <row r="859" spans="8:25" x14ac:dyDescent="0.3">
      <c r="H859" s="160">
        <v>41002</v>
      </c>
      <c r="I859" s="159">
        <v>39.049612000000003</v>
      </c>
      <c r="J859" s="123">
        <f t="shared" si="126"/>
        <v>-6.6809446570795057E-3</v>
      </c>
      <c r="K859" s="165">
        <v>1413.380005</v>
      </c>
      <c r="L859" s="124">
        <f t="shared" si="127"/>
        <v>-3.9886358696324259E-3</v>
      </c>
      <c r="N859" s="150"/>
      <c r="O859" s="154"/>
      <c r="P859" s="125"/>
      <c r="Q859" s="154"/>
      <c r="R859" s="125"/>
      <c r="S859" s="3"/>
      <c r="T859" s="150"/>
      <c r="U859" s="154"/>
      <c r="V859" s="125"/>
      <c r="W859" s="154"/>
      <c r="X859" s="125"/>
      <c r="Y859" s="3"/>
    </row>
    <row r="860" spans="8:25" x14ac:dyDescent="0.3">
      <c r="H860" s="160">
        <v>41001</v>
      </c>
      <c r="I860" s="159">
        <v>39.312255</v>
      </c>
      <c r="J860" s="123">
        <f t="shared" si="126"/>
        <v>1.2563437414213291E-2</v>
      </c>
      <c r="K860" s="165">
        <v>1419.040039</v>
      </c>
      <c r="L860" s="124">
        <f t="shared" si="127"/>
        <v>7.5046456208756416E-3</v>
      </c>
      <c r="N860" s="150"/>
      <c r="O860" s="154"/>
      <c r="P860" s="125"/>
      <c r="Q860" s="154"/>
      <c r="R860" s="125"/>
      <c r="S860" s="3"/>
      <c r="T860" s="150"/>
      <c r="U860" s="154"/>
      <c r="V860" s="125"/>
      <c r="W860" s="154"/>
      <c r="X860" s="125"/>
      <c r="Y860" s="3"/>
    </row>
    <row r="861" spans="8:25" x14ac:dyDescent="0.3">
      <c r="H861" s="160">
        <v>40998</v>
      </c>
      <c r="I861" s="159">
        <v>38.824486</v>
      </c>
      <c r="J861" s="123">
        <f t="shared" si="126"/>
        <v>-1.4758366449014034E-2</v>
      </c>
      <c r="K861" s="165">
        <v>1408.469971</v>
      </c>
      <c r="L861" s="124">
        <f t="shared" si="127"/>
        <v>3.6984364437213646E-3</v>
      </c>
      <c r="N861" s="150"/>
      <c r="O861" s="154"/>
      <c r="P861" s="125"/>
      <c r="Q861" s="154"/>
      <c r="R861" s="125"/>
      <c r="S861" s="3"/>
      <c r="T861" s="150"/>
      <c r="U861" s="154"/>
      <c r="V861" s="125"/>
      <c r="W861" s="154"/>
      <c r="X861" s="125"/>
      <c r="Y861" s="3"/>
    </row>
    <row r="862" spans="8:25" x14ac:dyDescent="0.3">
      <c r="H862" s="160">
        <v>40997</v>
      </c>
      <c r="I862" s="159">
        <v>39.406055000000002</v>
      </c>
      <c r="J862" s="123">
        <f t="shared" si="126"/>
        <v>-3.7941772778726551E-3</v>
      </c>
      <c r="K862" s="165">
        <v>1403.280029</v>
      </c>
      <c r="L862" s="124">
        <f t="shared" si="127"/>
        <v>-1.6079300036218789E-3</v>
      </c>
      <c r="N862" s="150"/>
      <c r="O862" s="154"/>
      <c r="P862" s="125"/>
      <c r="Q862" s="154"/>
      <c r="R862" s="125"/>
      <c r="S862" s="3"/>
      <c r="T862" s="150"/>
      <c r="U862" s="154"/>
      <c r="V862" s="125"/>
      <c r="W862" s="154"/>
      <c r="X862" s="125"/>
      <c r="Y862" s="3"/>
    </row>
    <row r="863" spans="8:25" x14ac:dyDescent="0.3">
      <c r="H863" s="160">
        <v>40996</v>
      </c>
      <c r="I863" s="159">
        <v>39.556137999999997</v>
      </c>
      <c r="J863" s="123">
        <f t="shared" si="126"/>
        <v>-6.8299660217822841E-3</v>
      </c>
      <c r="K863" s="165">
        <v>1405.540039</v>
      </c>
      <c r="L863" s="124">
        <f t="shared" si="127"/>
        <v>-4.9415094307831142E-3</v>
      </c>
      <c r="N863" s="150"/>
      <c r="O863" s="154"/>
      <c r="P863" s="125"/>
      <c r="Q863" s="154"/>
      <c r="R863" s="125"/>
      <c r="S863" s="3"/>
      <c r="T863" s="150"/>
      <c r="U863" s="154"/>
      <c r="V863" s="125"/>
      <c r="W863" s="154"/>
      <c r="X863" s="125"/>
      <c r="Y863" s="3"/>
    </row>
    <row r="864" spans="8:25" x14ac:dyDescent="0.3">
      <c r="H864" s="160">
        <v>40995</v>
      </c>
      <c r="I864" s="159">
        <v>39.828163000000004</v>
      </c>
      <c r="J864" s="123">
        <f t="shared" si="126"/>
        <v>-3.2863786908163923E-3</v>
      </c>
      <c r="K864" s="165">
        <v>1412.5200199999999</v>
      </c>
      <c r="L864" s="124">
        <f t="shared" si="127"/>
        <v>-2.8167750117064363E-3</v>
      </c>
      <c r="N864" s="150"/>
      <c r="O864" s="154"/>
      <c r="P864" s="125"/>
      <c r="Q864" s="154"/>
      <c r="R864" s="125"/>
      <c r="S864" s="3"/>
      <c r="T864" s="150"/>
      <c r="U864" s="154"/>
      <c r="V864" s="125"/>
      <c r="W864" s="154"/>
      <c r="X864" s="125"/>
      <c r="Y864" s="3"/>
    </row>
    <row r="865" spans="8:25" x14ac:dyDescent="0.3">
      <c r="H865" s="160">
        <v>40994</v>
      </c>
      <c r="I865" s="159">
        <v>39.959485000000001</v>
      </c>
      <c r="J865" s="123">
        <f t="shared" si="126"/>
        <v>3.7700138331639285E-3</v>
      </c>
      <c r="K865" s="165">
        <v>1416.51001</v>
      </c>
      <c r="L865" s="124">
        <f t="shared" si="127"/>
        <v>1.388582517359928E-2</v>
      </c>
      <c r="N865" s="150"/>
      <c r="O865" s="154"/>
      <c r="P865" s="125"/>
      <c r="Q865" s="154"/>
      <c r="R865" s="125"/>
      <c r="S865" s="3"/>
      <c r="T865" s="150"/>
      <c r="U865" s="154"/>
      <c r="V865" s="125"/>
      <c r="W865" s="154"/>
      <c r="X865" s="125"/>
      <c r="Y865" s="3"/>
    </row>
    <row r="866" spans="8:25" x14ac:dyDescent="0.3">
      <c r="H866" s="160">
        <v>40991</v>
      </c>
      <c r="I866" s="159">
        <v>39.809403000000003</v>
      </c>
      <c r="J866" s="123">
        <f t="shared" si="126"/>
        <v>9.0346582115679412E-3</v>
      </c>
      <c r="K866" s="165">
        <v>1397.1099850000001</v>
      </c>
      <c r="L866" s="124">
        <f t="shared" si="127"/>
        <v>3.1088584771774026E-3</v>
      </c>
      <c r="N866" s="150"/>
      <c r="O866" s="154"/>
      <c r="P866" s="125"/>
      <c r="Q866" s="154"/>
      <c r="R866" s="125"/>
      <c r="S866" s="3"/>
      <c r="T866" s="150"/>
      <c r="U866" s="154"/>
      <c r="V866" s="125"/>
      <c r="W866" s="154"/>
      <c r="X866" s="125"/>
      <c r="Y866" s="3"/>
    </row>
    <row r="867" spans="8:25" x14ac:dyDescent="0.3">
      <c r="H867" s="160">
        <v>40990</v>
      </c>
      <c r="I867" s="159">
        <v>39.452959</v>
      </c>
      <c r="J867" s="123">
        <f t="shared" si="126"/>
        <v>6.6159691933494927E-2</v>
      </c>
      <c r="K867" s="165">
        <v>1392.780029</v>
      </c>
      <c r="L867" s="124">
        <f t="shared" si="127"/>
        <v>-7.2065421322425873E-3</v>
      </c>
      <c r="N867" s="150"/>
      <c r="O867" s="154"/>
      <c r="P867" s="125"/>
      <c r="Q867" s="154"/>
      <c r="R867" s="125"/>
      <c r="S867" s="3"/>
      <c r="T867" s="150"/>
      <c r="U867" s="154"/>
      <c r="V867" s="125"/>
      <c r="W867" s="154"/>
      <c r="X867" s="125"/>
      <c r="Y867" s="3"/>
    </row>
    <row r="868" spans="8:25" x14ac:dyDescent="0.3">
      <c r="H868" s="160">
        <v>40989</v>
      </c>
      <c r="I868" s="159">
        <v>37.004736999999999</v>
      </c>
      <c r="J868" s="123">
        <f t="shared" si="126"/>
        <v>9.4677316115437081E-3</v>
      </c>
      <c r="K868" s="165">
        <v>1402.8900149999999</v>
      </c>
      <c r="L868" s="124">
        <f t="shared" si="127"/>
        <v>-1.8711971103762598E-3</v>
      </c>
      <c r="N868" s="150"/>
      <c r="O868" s="154"/>
      <c r="P868" s="125"/>
      <c r="Q868" s="154"/>
      <c r="R868" s="125"/>
      <c r="S868" s="3"/>
      <c r="T868" s="150"/>
      <c r="U868" s="154"/>
      <c r="V868" s="125"/>
      <c r="W868" s="154"/>
      <c r="X868" s="125"/>
      <c r="Y868" s="3"/>
    </row>
    <row r="869" spans="8:25" x14ac:dyDescent="0.3">
      <c r="H869" s="160">
        <v>40988</v>
      </c>
      <c r="I869" s="159">
        <v>36.657671999999998</v>
      </c>
      <c r="J869" s="123">
        <f t="shared" si="126"/>
        <v>2.3304633017030358E-2</v>
      </c>
      <c r="K869" s="165">
        <v>1405.5200199999999</v>
      </c>
      <c r="L869" s="124">
        <f t="shared" si="127"/>
        <v>-3.0005178223089686E-3</v>
      </c>
      <c r="N869" s="150"/>
      <c r="O869" s="154"/>
      <c r="P869" s="125"/>
      <c r="Q869" s="154"/>
      <c r="R869" s="125"/>
      <c r="S869" s="3"/>
      <c r="T869" s="150"/>
      <c r="U869" s="154"/>
      <c r="V869" s="125"/>
      <c r="W869" s="154"/>
      <c r="X869" s="125"/>
      <c r="Y869" s="3"/>
    </row>
    <row r="870" spans="8:25" x14ac:dyDescent="0.3">
      <c r="H870" s="160">
        <v>40987</v>
      </c>
      <c r="I870" s="159">
        <v>35.822834</v>
      </c>
      <c r="J870" s="123">
        <f t="shared" si="126"/>
        <v>-1.829583547596483E-3</v>
      </c>
      <c r="K870" s="165">
        <v>1409.75</v>
      </c>
      <c r="L870" s="124">
        <f t="shared" si="127"/>
        <v>3.9738463470596862E-3</v>
      </c>
      <c r="N870" s="150"/>
      <c r="O870" s="154"/>
      <c r="P870" s="125"/>
      <c r="Q870" s="154"/>
      <c r="R870" s="125"/>
      <c r="S870" s="3"/>
      <c r="T870" s="150"/>
      <c r="U870" s="154"/>
      <c r="V870" s="125"/>
      <c r="W870" s="154"/>
      <c r="X870" s="125"/>
      <c r="Y870" s="3"/>
    </row>
    <row r="871" spans="8:25" x14ac:dyDescent="0.3">
      <c r="H871" s="160">
        <v>40984</v>
      </c>
      <c r="I871" s="159">
        <v>35.888494999999999</v>
      </c>
      <c r="J871" s="123">
        <f t="shared" si="126"/>
        <v>-1.5693342020315831E-2</v>
      </c>
      <c r="K871" s="165">
        <v>1404.170044</v>
      </c>
      <c r="L871" s="124">
        <f t="shared" si="127"/>
        <v>1.1193982795276991E-3</v>
      </c>
      <c r="N871" s="150"/>
      <c r="O871" s="154"/>
      <c r="P871" s="125"/>
      <c r="Q871" s="154"/>
      <c r="R871" s="125"/>
      <c r="S871" s="3"/>
      <c r="T871" s="150"/>
      <c r="U871" s="154"/>
      <c r="V871" s="125"/>
      <c r="W871" s="154"/>
      <c r="X871" s="125"/>
      <c r="Y871" s="3"/>
    </row>
    <row r="872" spans="8:25" x14ac:dyDescent="0.3">
      <c r="H872" s="160">
        <v>40983</v>
      </c>
      <c r="I872" s="159">
        <v>36.460684999999998</v>
      </c>
      <c r="J872" s="123">
        <f t="shared" si="126"/>
        <v>-1.9177464209796397E-2</v>
      </c>
      <c r="K872" s="165">
        <v>1402.599976</v>
      </c>
      <c r="L872" s="124">
        <f t="shared" si="127"/>
        <v>5.9671994340815132E-3</v>
      </c>
      <c r="N872" s="150"/>
      <c r="O872" s="154"/>
      <c r="P872" s="125"/>
      <c r="Q872" s="154"/>
      <c r="R872" s="125"/>
      <c r="S872" s="3"/>
      <c r="T872" s="150"/>
      <c r="U872" s="154"/>
      <c r="V872" s="125"/>
      <c r="W872" s="154"/>
      <c r="X872" s="125"/>
      <c r="Y872" s="3"/>
    </row>
    <row r="873" spans="8:25" x14ac:dyDescent="0.3">
      <c r="H873" s="160">
        <v>40982</v>
      </c>
      <c r="I873" s="159">
        <v>37.173580000000001</v>
      </c>
      <c r="J873" s="123">
        <f t="shared" si="126"/>
        <v>-1.29514479154743E-2</v>
      </c>
      <c r="K873" s="165">
        <v>1394.280029</v>
      </c>
      <c r="L873" s="124">
        <f t="shared" si="127"/>
        <v>-1.1962620857601523E-3</v>
      </c>
      <c r="N873" s="150"/>
      <c r="O873" s="154"/>
      <c r="P873" s="125"/>
      <c r="Q873" s="154"/>
      <c r="R873" s="125"/>
      <c r="S873" s="3"/>
      <c r="T873" s="150"/>
      <c r="U873" s="154"/>
      <c r="V873" s="125"/>
      <c r="W873" s="154"/>
      <c r="X873" s="125"/>
      <c r="Y873" s="3"/>
    </row>
    <row r="874" spans="8:25" x14ac:dyDescent="0.3">
      <c r="H874" s="160">
        <v>40981</v>
      </c>
      <c r="I874" s="159">
        <v>37.661349000000001</v>
      </c>
      <c r="J874" s="123">
        <f t="shared" si="126"/>
        <v>1.3121388900396467E-2</v>
      </c>
      <c r="K874" s="165">
        <v>1395.9499510000001</v>
      </c>
      <c r="L874" s="124">
        <f t="shared" si="127"/>
        <v>1.8131549071521723E-2</v>
      </c>
      <c r="N874" s="150"/>
      <c r="O874" s="154"/>
      <c r="P874" s="125"/>
      <c r="Q874" s="154"/>
      <c r="R874" s="125"/>
      <c r="S874" s="3"/>
      <c r="T874" s="150"/>
      <c r="U874" s="154"/>
      <c r="V874" s="125"/>
      <c r="W874" s="154"/>
      <c r="X874" s="125"/>
      <c r="Y874" s="3"/>
    </row>
    <row r="875" spans="8:25" x14ac:dyDescent="0.3">
      <c r="H875" s="160">
        <v>40980</v>
      </c>
      <c r="I875" s="159">
        <v>37.173580000000001</v>
      </c>
      <c r="J875" s="123">
        <f t="shared" si="126"/>
        <v>-1.7113065531912202E-2</v>
      </c>
      <c r="K875" s="165">
        <v>1371.089966</v>
      </c>
      <c r="L875" s="124">
        <f t="shared" si="127"/>
        <v>1.6046087579587502E-4</v>
      </c>
      <c r="N875" s="150"/>
      <c r="O875" s="154"/>
      <c r="P875" s="125"/>
      <c r="Q875" s="154"/>
      <c r="R875" s="125"/>
      <c r="S875" s="3"/>
      <c r="T875" s="150"/>
      <c r="U875" s="154"/>
      <c r="V875" s="125"/>
      <c r="W875" s="154"/>
      <c r="X875" s="125"/>
      <c r="Y875" s="3"/>
    </row>
    <row r="876" spans="8:25" x14ac:dyDescent="0.3">
      <c r="H876" s="160">
        <v>40977</v>
      </c>
      <c r="I876" s="159">
        <v>37.820810000000002</v>
      </c>
      <c r="J876" s="123">
        <f t="shared" si="126"/>
        <v>3.4376614640442373E-2</v>
      </c>
      <c r="K876" s="165">
        <v>1370.869995</v>
      </c>
      <c r="L876" s="124">
        <f t="shared" si="127"/>
        <v>3.6312501383967584E-3</v>
      </c>
      <c r="N876" s="150"/>
      <c r="O876" s="154"/>
      <c r="P876" s="125"/>
      <c r="Q876" s="154"/>
      <c r="R876" s="125"/>
      <c r="S876" s="3"/>
      <c r="T876" s="150"/>
      <c r="U876" s="154"/>
      <c r="V876" s="125"/>
      <c r="W876" s="154"/>
      <c r="X876" s="125"/>
      <c r="Y876" s="3"/>
    </row>
    <row r="877" spans="8:25" x14ac:dyDescent="0.3">
      <c r="H877" s="160">
        <v>40976</v>
      </c>
      <c r="I877" s="159">
        <v>36.563867999999999</v>
      </c>
      <c r="J877" s="123">
        <f t="shared" si="126"/>
        <v>2.9310832471512737E-2</v>
      </c>
      <c r="K877" s="165">
        <v>1365.910034</v>
      </c>
      <c r="L877" s="124">
        <f t="shared" si="127"/>
        <v>9.817931696702243E-3</v>
      </c>
      <c r="N877" s="150"/>
      <c r="O877" s="154"/>
      <c r="P877" s="125"/>
      <c r="Q877" s="154"/>
      <c r="R877" s="125"/>
      <c r="S877" s="3"/>
      <c r="T877" s="150"/>
      <c r="U877" s="154"/>
      <c r="V877" s="125"/>
      <c r="W877" s="154"/>
      <c r="X877" s="125"/>
      <c r="Y877" s="3"/>
    </row>
    <row r="878" spans="8:25" x14ac:dyDescent="0.3">
      <c r="H878" s="160">
        <v>40975</v>
      </c>
      <c r="I878" s="159">
        <v>35.522669</v>
      </c>
      <c r="J878" s="123">
        <f t="shared" si="126"/>
        <v>1.7463657694344447E-2</v>
      </c>
      <c r="K878" s="165">
        <v>1352.630005</v>
      </c>
      <c r="L878" s="124">
        <f t="shared" si="127"/>
        <v>6.9006223972049689E-3</v>
      </c>
      <c r="N878" s="150"/>
      <c r="O878" s="154"/>
      <c r="P878" s="125"/>
      <c r="Q878" s="154"/>
      <c r="R878" s="125"/>
      <c r="S878" s="3"/>
      <c r="T878" s="150"/>
      <c r="U878" s="154"/>
      <c r="V878" s="125"/>
      <c r="W878" s="154"/>
      <c r="X878" s="125"/>
      <c r="Y878" s="3"/>
    </row>
    <row r="879" spans="8:25" x14ac:dyDescent="0.3">
      <c r="H879" s="160">
        <v>40974</v>
      </c>
      <c r="I879" s="159">
        <v>34.912961000000003</v>
      </c>
      <c r="J879" s="123">
        <f t="shared" si="126"/>
        <v>-3.2492846638236546E-2</v>
      </c>
      <c r="K879" s="165">
        <v>1343.3599850000001</v>
      </c>
      <c r="L879" s="124">
        <f t="shared" si="127"/>
        <v>-1.5370160940745324E-2</v>
      </c>
      <c r="N879" s="150"/>
      <c r="O879" s="154"/>
      <c r="P879" s="125"/>
      <c r="Q879" s="154"/>
      <c r="R879" s="125"/>
      <c r="S879" s="3"/>
      <c r="T879" s="150"/>
      <c r="U879" s="154"/>
      <c r="V879" s="125"/>
      <c r="W879" s="154"/>
      <c r="X879" s="125"/>
      <c r="Y879" s="3"/>
    </row>
    <row r="880" spans="8:25" x14ac:dyDescent="0.3">
      <c r="H880" s="160">
        <v>40973</v>
      </c>
      <c r="I880" s="159">
        <v>36.085481000000001</v>
      </c>
      <c r="J880" s="123">
        <f t="shared" si="126"/>
        <v>-1.1816068628698776E-2</v>
      </c>
      <c r="K880" s="165">
        <v>1364.329956</v>
      </c>
      <c r="L880" s="124">
        <f t="shared" si="127"/>
        <v>-3.8696939908234155E-3</v>
      </c>
      <c r="N880" s="150"/>
      <c r="O880" s="154"/>
      <c r="P880" s="125"/>
      <c r="Q880" s="154"/>
      <c r="R880" s="125"/>
      <c r="S880" s="3"/>
      <c r="T880" s="150"/>
      <c r="U880" s="154"/>
      <c r="V880" s="125"/>
      <c r="W880" s="154"/>
      <c r="X880" s="125"/>
      <c r="Y880" s="3"/>
    </row>
    <row r="881" spans="8:25" x14ac:dyDescent="0.3">
      <c r="H881" s="160">
        <v>40970</v>
      </c>
      <c r="I881" s="159">
        <v>36.516967999999999</v>
      </c>
      <c r="J881" s="123">
        <f t="shared" si="126"/>
        <v>-2.3331660752455959E-2</v>
      </c>
      <c r="K881" s="165">
        <v>1369.630005</v>
      </c>
      <c r="L881" s="124">
        <f t="shared" si="127"/>
        <v>-3.2457561807128581E-3</v>
      </c>
      <c r="N881" s="150"/>
      <c r="O881" s="154"/>
      <c r="P881" s="125"/>
      <c r="Q881" s="154"/>
      <c r="R881" s="125"/>
      <c r="S881" s="3"/>
      <c r="T881" s="150"/>
      <c r="U881" s="154"/>
      <c r="V881" s="125"/>
      <c r="W881" s="154"/>
      <c r="X881" s="125"/>
      <c r="Y881" s="3"/>
    </row>
    <row r="882" spans="8:25" x14ac:dyDescent="0.3">
      <c r="H882" s="160">
        <v>40969</v>
      </c>
      <c r="I882" s="159">
        <v>37.389322999999997</v>
      </c>
      <c r="J882" s="123">
        <f t="shared" si="126"/>
        <v>1.5541405681968748E-2</v>
      </c>
      <c r="K882" s="165">
        <v>1374.089966</v>
      </c>
      <c r="L882" s="124">
        <f t="shared" si="127"/>
        <v>6.158039707300343E-3</v>
      </c>
      <c r="N882" s="150"/>
      <c r="O882" s="154"/>
      <c r="P882" s="125"/>
      <c r="Q882" s="154"/>
      <c r="R882" s="125"/>
      <c r="S882" s="3"/>
      <c r="T882" s="150"/>
      <c r="U882" s="154"/>
      <c r="V882" s="125"/>
      <c r="W882" s="154"/>
      <c r="X882" s="125"/>
      <c r="Y882" s="3"/>
    </row>
    <row r="883" spans="8:25" x14ac:dyDescent="0.3">
      <c r="H883" s="160">
        <v>40968</v>
      </c>
      <c r="I883" s="159">
        <v>36.817132999999998</v>
      </c>
      <c r="J883" s="123">
        <f t="shared" si="126"/>
        <v>-3.3011924824541275E-3</v>
      </c>
      <c r="K883" s="165">
        <v>1365.6800539999999</v>
      </c>
      <c r="L883" s="124">
        <f t="shared" si="127"/>
        <v>-4.7369876723189859E-3</v>
      </c>
      <c r="N883" s="150"/>
      <c r="O883" s="154"/>
      <c r="P883" s="125"/>
      <c r="Q883" s="154"/>
      <c r="R883" s="125"/>
      <c r="S883" s="3"/>
      <c r="T883" s="150"/>
      <c r="U883" s="154"/>
      <c r="V883" s="125"/>
      <c r="W883" s="154"/>
      <c r="X883" s="125"/>
      <c r="Y883" s="3"/>
    </row>
    <row r="884" spans="8:25" x14ac:dyDescent="0.3">
      <c r="H884" s="160">
        <v>40967</v>
      </c>
      <c r="I884" s="159">
        <v>36.939076</v>
      </c>
      <c r="J884" s="123">
        <f t="shared" si="126"/>
        <v>1.5210118847415785E-2</v>
      </c>
      <c r="K884" s="165">
        <v>1372.1800539999999</v>
      </c>
      <c r="L884" s="124">
        <f t="shared" si="127"/>
        <v>3.3563334874598832E-3</v>
      </c>
      <c r="N884" s="150"/>
      <c r="O884" s="154"/>
      <c r="P884" s="125"/>
      <c r="Q884" s="154"/>
      <c r="R884" s="125"/>
      <c r="S884" s="3"/>
      <c r="T884" s="150"/>
      <c r="U884" s="154"/>
      <c r="V884" s="125"/>
      <c r="W884" s="154"/>
      <c r="X884" s="125"/>
      <c r="Y884" s="3"/>
    </row>
    <row r="885" spans="8:25" x14ac:dyDescent="0.3">
      <c r="H885" s="160">
        <v>40966</v>
      </c>
      <c r="I885" s="159">
        <v>36.385646000000001</v>
      </c>
      <c r="J885" s="123">
        <f t="shared" si="126"/>
        <v>-2.4886826169498524E-2</v>
      </c>
      <c r="K885" s="165">
        <v>1367.589966</v>
      </c>
      <c r="L885" s="124">
        <f t="shared" si="127"/>
        <v>1.3545594428995007E-3</v>
      </c>
      <c r="N885" s="150"/>
      <c r="O885" s="154"/>
      <c r="P885" s="125"/>
      <c r="Q885" s="154"/>
      <c r="R885" s="125"/>
      <c r="S885" s="3"/>
      <c r="T885" s="150"/>
      <c r="U885" s="154"/>
      <c r="V885" s="125"/>
      <c r="W885" s="154"/>
      <c r="X885" s="125"/>
      <c r="Y885" s="3"/>
    </row>
    <row r="886" spans="8:25" x14ac:dyDescent="0.3">
      <c r="H886" s="160">
        <v>40963</v>
      </c>
      <c r="I886" s="159">
        <v>37.314279999999997</v>
      </c>
      <c r="J886" s="123">
        <f t="shared" si="126"/>
        <v>2.0150518105349342E-3</v>
      </c>
      <c r="K886" s="165">
        <v>1365.73999</v>
      </c>
      <c r="L886" s="124">
        <f t="shared" si="127"/>
        <v>1.6722375905543832E-3</v>
      </c>
      <c r="N886" s="150"/>
      <c r="O886" s="154"/>
      <c r="P886" s="125"/>
      <c r="Q886" s="154"/>
      <c r="R886" s="125"/>
      <c r="S886" s="3"/>
      <c r="T886" s="150"/>
      <c r="U886" s="154"/>
      <c r="V886" s="125"/>
      <c r="W886" s="154"/>
      <c r="X886" s="125"/>
      <c r="Y886" s="3"/>
    </row>
    <row r="887" spans="8:25" x14ac:dyDescent="0.3">
      <c r="H887" s="160">
        <v>40962</v>
      </c>
      <c r="I887" s="159">
        <v>37.239241</v>
      </c>
      <c r="J887" s="123">
        <f t="shared" si="126"/>
        <v>3.5389211666651873E-3</v>
      </c>
      <c r="K887" s="165">
        <v>1363.459961</v>
      </c>
      <c r="L887" s="124">
        <f t="shared" si="127"/>
        <v>4.2720024562496808E-3</v>
      </c>
      <c r="N887" s="150"/>
      <c r="O887" s="154"/>
      <c r="P887" s="125"/>
      <c r="Q887" s="154"/>
      <c r="R887" s="125"/>
      <c r="S887" s="3"/>
      <c r="T887" s="150"/>
      <c r="U887" s="154"/>
      <c r="V887" s="125"/>
      <c r="W887" s="154"/>
      <c r="X887" s="125"/>
      <c r="Y887" s="3"/>
    </row>
    <row r="888" spans="8:25" x14ac:dyDescent="0.3">
      <c r="H888" s="160">
        <v>40961</v>
      </c>
      <c r="I888" s="159">
        <v>37.107919000000003</v>
      </c>
      <c r="J888" s="123">
        <f t="shared" si="126"/>
        <v>-1.6898608771260933E-2</v>
      </c>
      <c r="K888" s="165">
        <v>1357.660034</v>
      </c>
      <c r="L888" s="124">
        <f t="shared" si="127"/>
        <v>-3.3401069807622889E-3</v>
      </c>
      <c r="N888" s="150"/>
      <c r="O888" s="154"/>
      <c r="P888" s="125"/>
      <c r="Q888" s="154"/>
      <c r="R888" s="125"/>
      <c r="S888" s="3"/>
      <c r="T888" s="150"/>
      <c r="U888" s="154"/>
      <c r="V888" s="125"/>
      <c r="W888" s="154"/>
      <c r="X888" s="125"/>
      <c r="Y888" s="3"/>
    </row>
    <row r="889" spans="8:25" x14ac:dyDescent="0.3">
      <c r="H889" s="160">
        <v>40960</v>
      </c>
      <c r="I889" s="159">
        <v>37.74577</v>
      </c>
      <c r="J889" s="123">
        <f t="shared" si="126"/>
        <v>-5.1915842796120514E-3</v>
      </c>
      <c r="K889" s="165">
        <v>1362.209961</v>
      </c>
      <c r="L889" s="124">
        <f t="shared" si="127"/>
        <v>7.1992316830984905E-4</v>
      </c>
      <c r="N889" s="150"/>
      <c r="O889" s="154"/>
      <c r="P889" s="125"/>
      <c r="Q889" s="154"/>
      <c r="R889" s="125"/>
      <c r="S889" s="3"/>
      <c r="T889" s="150"/>
      <c r="U889" s="154"/>
      <c r="V889" s="125"/>
      <c r="W889" s="154"/>
      <c r="X889" s="125"/>
      <c r="Y889" s="3"/>
    </row>
    <row r="890" spans="8:25" x14ac:dyDescent="0.3">
      <c r="H890" s="160">
        <v>40956</v>
      </c>
      <c r="I890" s="159">
        <v>37.942753000000003</v>
      </c>
      <c r="J890" s="123">
        <f t="shared" si="126"/>
        <v>-3.4490924191616528E-3</v>
      </c>
      <c r="K890" s="165">
        <v>1361.2299800000001</v>
      </c>
      <c r="L890" s="124">
        <f t="shared" si="127"/>
        <v>2.348930008241156E-3</v>
      </c>
      <c r="N890" s="150"/>
      <c r="O890" s="154"/>
      <c r="P890" s="125"/>
      <c r="Q890" s="154"/>
      <c r="R890" s="125"/>
      <c r="S890" s="3"/>
      <c r="T890" s="150"/>
      <c r="U890" s="154"/>
      <c r="V890" s="125"/>
      <c r="W890" s="154"/>
      <c r="X890" s="125"/>
      <c r="Y890" s="3"/>
    </row>
    <row r="891" spans="8:25" x14ac:dyDescent="0.3">
      <c r="H891" s="160">
        <v>40955</v>
      </c>
      <c r="I891" s="159">
        <v>38.074074000000003</v>
      </c>
      <c r="J891" s="123">
        <f t="shared" si="126"/>
        <v>5.9791125746001886E-2</v>
      </c>
      <c r="K891" s="165">
        <v>1358.040039</v>
      </c>
      <c r="L891" s="124">
        <f t="shared" si="127"/>
        <v>1.1025706111770905E-2</v>
      </c>
      <c r="N891" s="150"/>
      <c r="O891" s="154"/>
      <c r="P891" s="125"/>
      <c r="Q891" s="154"/>
      <c r="R891" s="125"/>
      <c r="S891" s="3"/>
      <c r="T891" s="150"/>
      <c r="U891" s="154"/>
      <c r="V891" s="125"/>
      <c r="W891" s="154"/>
      <c r="X891" s="125"/>
      <c r="Y891" s="3"/>
    </row>
    <row r="892" spans="8:25" x14ac:dyDescent="0.3">
      <c r="H892" s="160">
        <v>40954</v>
      </c>
      <c r="I892" s="159">
        <v>35.926017000000002</v>
      </c>
      <c r="J892" s="123">
        <f t="shared" si="126"/>
        <v>-2.146140635916308E-2</v>
      </c>
      <c r="K892" s="165">
        <v>1343.2299800000001</v>
      </c>
      <c r="L892" s="124">
        <f t="shared" si="127"/>
        <v>-5.3832062199184981E-3</v>
      </c>
      <c r="N892" s="150"/>
      <c r="O892" s="154"/>
      <c r="P892" s="125"/>
      <c r="Q892" s="154"/>
      <c r="R892" s="125"/>
      <c r="S892" s="3"/>
      <c r="T892" s="150"/>
      <c r="U892" s="154"/>
      <c r="V892" s="125"/>
      <c r="W892" s="154"/>
      <c r="X892" s="125"/>
      <c r="Y892" s="3"/>
    </row>
    <row r="893" spans="8:25" x14ac:dyDescent="0.3">
      <c r="H893" s="160">
        <v>40953</v>
      </c>
      <c r="I893" s="159">
        <v>36.713949999999997</v>
      </c>
      <c r="J893" s="123">
        <f t="shared" si="126"/>
        <v>2.5412667435908604E-2</v>
      </c>
      <c r="K893" s="165">
        <v>1350.5</v>
      </c>
      <c r="L893" s="124">
        <f t="shared" si="127"/>
        <v>-9.3952372164603215E-4</v>
      </c>
      <c r="N893" s="150"/>
      <c r="O893" s="154"/>
      <c r="P893" s="125"/>
      <c r="Q893" s="154"/>
      <c r="R893" s="125"/>
      <c r="S893" s="3"/>
      <c r="T893" s="150"/>
      <c r="U893" s="154"/>
      <c r="V893" s="125"/>
      <c r="W893" s="154"/>
      <c r="X893" s="125"/>
      <c r="Y893" s="3"/>
    </row>
    <row r="894" spans="8:25" x14ac:dyDescent="0.3">
      <c r="H894" s="160">
        <v>40952</v>
      </c>
      <c r="I894" s="159">
        <v>35.804073000000002</v>
      </c>
      <c r="J894" s="123">
        <f t="shared" si="126"/>
        <v>-1.0370797584396456E-2</v>
      </c>
      <c r="K894" s="165">
        <v>1351.7700199999999</v>
      </c>
      <c r="L894" s="124">
        <f t="shared" si="127"/>
        <v>6.8000393984980279E-3</v>
      </c>
      <c r="N894" s="150"/>
      <c r="O894" s="154"/>
      <c r="P894" s="125"/>
      <c r="Q894" s="154"/>
      <c r="R894" s="125"/>
      <c r="S894" s="3"/>
      <c r="T894" s="150"/>
      <c r="U894" s="154"/>
      <c r="V894" s="125"/>
      <c r="W894" s="154"/>
      <c r="X894" s="125"/>
      <c r="Y894" s="3"/>
    </row>
    <row r="895" spans="8:25" x14ac:dyDescent="0.3">
      <c r="H895" s="160">
        <v>40949</v>
      </c>
      <c r="I895" s="159">
        <v>36.179281000000003</v>
      </c>
      <c r="J895" s="123">
        <f t="shared" si="126"/>
        <v>-1.5820336036843401E-2</v>
      </c>
      <c r="K895" s="165">
        <v>1342.6400149999999</v>
      </c>
      <c r="L895" s="124">
        <f t="shared" si="127"/>
        <v>-6.8863022577971946E-3</v>
      </c>
      <c r="N895" s="150"/>
      <c r="O895" s="154"/>
      <c r="P895" s="125"/>
      <c r="Q895" s="154"/>
      <c r="R895" s="125"/>
      <c r="S895" s="3"/>
      <c r="T895" s="150"/>
      <c r="U895" s="154"/>
      <c r="V895" s="125"/>
      <c r="W895" s="154"/>
      <c r="X895" s="125"/>
      <c r="Y895" s="3"/>
    </row>
    <row r="896" spans="8:25" x14ac:dyDescent="0.3">
      <c r="H896" s="160">
        <v>40948</v>
      </c>
      <c r="I896" s="159">
        <v>36.760849999999998</v>
      </c>
      <c r="J896" s="123">
        <f t="shared" si="126"/>
        <v>-1.4583901455736424E-2</v>
      </c>
      <c r="K896" s="165">
        <v>1351.9499510000001</v>
      </c>
      <c r="L896" s="124">
        <f t="shared" si="127"/>
        <v>1.4741103865968913E-3</v>
      </c>
      <c r="N896" s="150"/>
      <c r="O896" s="154"/>
      <c r="P896" s="125"/>
      <c r="Q896" s="154"/>
      <c r="R896" s="125"/>
      <c r="S896" s="3"/>
      <c r="T896" s="150"/>
      <c r="U896" s="154"/>
      <c r="V896" s="125"/>
      <c r="W896" s="154"/>
      <c r="X896" s="125"/>
      <c r="Y896" s="3"/>
    </row>
    <row r="897" spans="8:25" x14ac:dyDescent="0.3">
      <c r="H897" s="160">
        <v>40947</v>
      </c>
      <c r="I897" s="159">
        <v>37.304901000000001</v>
      </c>
      <c r="J897" s="123">
        <f t="shared" si="126"/>
        <v>2.2890908785802192E-2</v>
      </c>
      <c r="K897" s="165">
        <v>1349.959961</v>
      </c>
      <c r="L897" s="124">
        <f t="shared" si="127"/>
        <v>2.1602107524960096E-3</v>
      </c>
      <c r="N897" s="150"/>
      <c r="O897" s="154"/>
      <c r="P897" s="125"/>
      <c r="Q897" s="154"/>
      <c r="R897" s="125"/>
      <c r="S897" s="3"/>
      <c r="T897" s="150"/>
      <c r="U897" s="154"/>
      <c r="V897" s="125"/>
      <c r="W897" s="154"/>
      <c r="X897" s="125"/>
      <c r="Y897" s="3"/>
    </row>
    <row r="898" spans="8:25" x14ac:dyDescent="0.3">
      <c r="H898" s="160">
        <v>40946</v>
      </c>
      <c r="I898" s="159">
        <v>36.470067999999998</v>
      </c>
      <c r="J898" s="123">
        <f t="shared" si="126"/>
        <v>4.1322428960252891E-3</v>
      </c>
      <c r="K898" s="165">
        <v>1347.0500489999999</v>
      </c>
      <c r="L898" s="124">
        <f t="shared" si="127"/>
        <v>2.0233819739414525E-3</v>
      </c>
      <c r="N898" s="150"/>
      <c r="O898" s="154"/>
      <c r="P898" s="125"/>
      <c r="Q898" s="154"/>
      <c r="R898" s="125"/>
      <c r="S898" s="3"/>
      <c r="T898" s="150"/>
      <c r="U898" s="154"/>
      <c r="V898" s="125"/>
      <c r="W898" s="154"/>
      <c r="X898" s="125"/>
      <c r="Y898" s="3"/>
    </row>
    <row r="899" spans="8:25" x14ac:dyDescent="0.3">
      <c r="H899" s="160">
        <v>40945</v>
      </c>
      <c r="I899" s="159">
        <v>36.319985000000003</v>
      </c>
      <c r="J899" s="123">
        <f t="shared" si="126"/>
        <v>3.628816018983746E-3</v>
      </c>
      <c r="K899" s="165">
        <v>1344.329956</v>
      </c>
      <c r="L899" s="124">
        <f t="shared" si="127"/>
        <v>-4.2387388640569468E-4</v>
      </c>
      <c r="N899" s="150"/>
      <c r="O899" s="154"/>
      <c r="P899" s="125"/>
      <c r="Q899" s="154"/>
      <c r="R899" s="125"/>
      <c r="S899" s="3"/>
      <c r="T899" s="150"/>
      <c r="U899" s="154"/>
      <c r="V899" s="125"/>
      <c r="W899" s="154"/>
      <c r="X899" s="125"/>
      <c r="Y899" s="3"/>
    </row>
    <row r="900" spans="8:25" x14ac:dyDescent="0.3">
      <c r="H900" s="160">
        <v>40942</v>
      </c>
      <c r="I900" s="159">
        <v>36.188662999999998</v>
      </c>
      <c r="J900" s="123">
        <f t="shared" si="126"/>
        <v>2.6883200702358435E-2</v>
      </c>
      <c r="K900" s="165">
        <v>1344.900024</v>
      </c>
      <c r="L900" s="124">
        <f t="shared" si="127"/>
        <v>1.4605356632309205E-2</v>
      </c>
      <c r="N900" s="150"/>
      <c r="O900" s="154"/>
      <c r="P900" s="125"/>
      <c r="Q900" s="154"/>
      <c r="R900" s="125"/>
      <c r="S900" s="3"/>
      <c r="T900" s="150"/>
      <c r="U900" s="154"/>
      <c r="V900" s="125"/>
      <c r="W900" s="154"/>
      <c r="X900" s="125"/>
      <c r="Y900" s="3"/>
    </row>
    <row r="901" spans="8:25" x14ac:dyDescent="0.3">
      <c r="H901" s="160">
        <v>40941</v>
      </c>
      <c r="I901" s="159">
        <v>35.241264999999999</v>
      </c>
      <c r="J901" s="123">
        <f t="shared" si="126"/>
        <v>-1.2095702624793404E-2</v>
      </c>
      <c r="K901" s="165">
        <v>1325.540039</v>
      </c>
      <c r="L901" s="124">
        <f t="shared" si="127"/>
        <v>1.0951468836974594E-3</v>
      </c>
      <c r="N901" s="150"/>
      <c r="O901" s="154"/>
      <c r="P901" s="125"/>
      <c r="Q901" s="154"/>
      <c r="R901" s="125"/>
      <c r="S901" s="3"/>
      <c r="T901" s="150"/>
      <c r="U901" s="154"/>
      <c r="V901" s="125"/>
      <c r="W901" s="154"/>
      <c r="X901" s="125"/>
      <c r="Y901" s="3"/>
    </row>
    <row r="902" spans="8:25" x14ac:dyDescent="0.3">
      <c r="H902" s="160">
        <v>40940</v>
      </c>
      <c r="I902" s="159">
        <v>35.672752000000003</v>
      </c>
      <c r="J902" s="123">
        <f t="shared" si="126"/>
        <v>4.621736109375859E-2</v>
      </c>
      <c r="K902" s="165">
        <v>1324.089966</v>
      </c>
      <c r="L902" s="124">
        <f t="shared" si="127"/>
        <v>8.8996058376676571E-3</v>
      </c>
      <c r="N902" s="150"/>
      <c r="O902" s="154"/>
      <c r="P902" s="125"/>
      <c r="Q902" s="154"/>
      <c r="R902" s="125"/>
      <c r="S902" s="3"/>
      <c r="T902" s="150"/>
      <c r="U902" s="154"/>
      <c r="V902" s="125"/>
      <c r="W902" s="154"/>
      <c r="X902" s="125"/>
      <c r="Y902" s="3"/>
    </row>
    <row r="903" spans="8:25" x14ac:dyDescent="0.3">
      <c r="H903" s="160">
        <v>40939</v>
      </c>
      <c r="I903" s="159">
        <v>34.096884000000003</v>
      </c>
      <c r="J903" s="123">
        <f t="shared" si="126"/>
        <v>-1.41036256746598E-2</v>
      </c>
      <c r="K903" s="165">
        <v>1312.410034</v>
      </c>
      <c r="L903" s="124">
        <f t="shared" si="127"/>
        <v>-4.5694701139404844E-4</v>
      </c>
      <c r="N903" s="150"/>
      <c r="O903" s="154"/>
      <c r="P903" s="125"/>
      <c r="Q903" s="154"/>
      <c r="R903" s="125"/>
      <c r="S903" s="3"/>
      <c r="T903" s="150"/>
      <c r="U903" s="154"/>
      <c r="V903" s="125"/>
      <c r="W903" s="154"/>
      <c r="X903" s="125"/>
      <c r="Y903" s="3"/>
    </row>
    <row r="904" spans="8:25" x14ac:dyDescent="0.3">
      <c r="H904" s="160">
        <v>40938</v>
      </c>
      <c r="I904" s="159">
        <v>34.584653000000003</v>
      </c>
      <c r="J904" s="123">
        <f t="shared" si="126"/>
        <v>-4.8583026006936226E-3</v>
      </c>
      <c r="K904" s="165">
        <v>1313.01001</v>
      </c>
      <c r="L904" s="124">
        <f t="shared" si="127"/>
        <v>-2.5221229562294276E-3</v>
      </c>
      <c r="N904" s="150"/>
      <c r="O904" s="154"/>
      <c r="P904" s="125"/>
      <c r="Q904" s="154"/>
      <c r="R904" s="125"/>
      <c r="S904" s="3"/>
      <c r="T904" s="150"/>
      <c r="U904" s="154"/>
      <c r="V904" s="125"/>
      <c r="W904" s="154"/>
      <c r="X904" s="125"/>
      <c r="Y904" s="3"/>
    </row>
    <row r="905" spans="8:25" x14ac:dyDescent="0.3">
      <c r="H905" s="160">
        <v>40935</v>
      </c>
      <c r="I905" s="159">
        <v>34.753495999999998</v>
      </c>
      <c r="J905" s="123">
        <f t="shared" si="126"/>
        <v>1.0807992574023383E-3</v>
      </c>
      <c r="K905" s="165">
        <v>1316.329956</v>
      </c>
      <c r="L905" s="124">
        <f t="shared" si="127"/>
        <v>-1.592877827404175E-3</v>
      </c>
      <c r="N905" s="150"/>
      <c r="O905" s="154"/>
      <c r="P905" s="125"/>
      <c r="Q905" s="154"/>
      <c r="R905" s="125"/>
      <c r="S905" s="3"/>
      <c r="T905" s="150"/>
      <c r="U905" s="154"/>
      <c r="V905" s="125"/>
      <c r="W905" s="154"/>
      <c r="X905" s="125"/>
      <c r="Y905" s="3"/>
    </row>
    <row r="906" spans="8:25" x14ac:dyDescent="0.3">
      <c r="H906" s="160">
        <v>40934</v>
      </c>
      <c r="I906" s="159">
        <v>34.715975</v>
      </c>
      <c r="J906" s="123">
        <f t="shared" ref="J906:J969" si="128">(I906-I907)/I907</f>
        <v>-1.0427884495335472E-2</v>
      </c>
      <c r="K906" s="165">
        <v>1318.4300539999999</v>
      </c>
      <c r="L906" s="124">
        <f t="shared" ref="L906:L969" si="129">(K906-K907)/K907</f>
        <v>-5.7538909706351263E-3</v>
      </c>
      <c r="N906" s="150"/>
      <c r="O906" s="154"/>
      <c r="P906" s="125"/>
      <c r="Q906" s="154"/>
      <c r="R906" s="125"/>
      <c r="S906" s="3"/>
      <c r="T906" s="150"/>
      <c r="U906" s="154"/>
      <c r="V906" s="125"/>
      <c r="W906" s="154"/>
      <c r="X906" s="125"/>
      <c r="Y906" s="3"/>
    </row>
    <row r="907" spans="8:25" x14ac:dyDescent="0.3">
      <c r="H907" s="160">
        <v>40933</v>
      </c>
      <c r="I907" s="159">
        <v>35.081803999999998</v>
      </c>
      <c r="J907" s="123">
        <f t="shared" si="128"/>
        <v>1.4099800731542307E-2</v>
      </c>
      <c r="K907" s="165">
        <v>1326.0600589999999</v>
      </c>
      <c r="L907" s="124">
        <f t="shared" si="129"/>
        <v>8.6791425791659053E-3</v>
      </c>
      <c r="N907" s="150"/>
      <c r="O907" s="154"/>
      <c r="P907" s="125"/>
      <c r="Q907" s="154"/>
      <c r="R907" s="125"/>
      <c r="S907" s="3"/>
      <c r="T907" s="150"/>
      <c r="U907" s="154"/>
      <c r="V907" s="125"/>
      <c r="W907" s="154"/>
      <c r="X907" s="125"/>
      <c r="Y907" s="3"/>
    </row>
    <row r="908" spans="8:25" x14ac:dyDescent="0.3">
      <c r="H908" s="160">
        <v>40932</v>
      </c>
      <c r="I908" s="159">
        <v>34.594034999999998</v>
      </c>
      <c r="J908" s="123">
        <f t="shared" si="128"/>
        <v>6.2518038662606898E-2</v>
      </c>
      <c r="K908" s="165">
        <v>1314.650024</v>
      </c>
      <c r="L908" s="124">
        <f t="shared" si="129"/>
        <v>-1.0258176291793083E-3</v>
      </c>
      <c r="N908" s="150"/>
      <c r="O908" s="154"/>
      <c r="P908" s="125"/>
      <c r="Q908" s="154"/>
      <c r="R908" s="125"/>
      <c r="S908" s="3"/>
      <c r="T908" s="150"/>
      <c r="U908" s="154"/>
      <c r="V908" s="125"/>
      <c r="W908" s="154"/>
      <c r="X908" s="125"/>
      <c r="Y908" s="3"/>
    </row>
    <row r="909" spans="8:25" x14ac:dyDescent="0.3">
      <c r="H909" s="160">
        <v>40931</v>
      </c>
      <c r="I909" s="159">
        <v>32.558539000000003</v>
      </c>
      <c r="J909" s="123">
        <f t="shared" si="128"/>
        <v>1.7315411297553931E-3</v>
      </c>
      <c r="K909" s="165">
        <v>1316</v>
      </c>
      <c r="L909" s="124">
        <f t="shared" si="129"/>
        <v>4.7134288011320131E-4</v>
      </c>
      <c r="N909" s="150"/>
      <c r="O909" s="154"/>
      <c r="P909" s="125"/>
      <c r="Q909" s="154"/>
      <c r="R909" s="125"/>
      <c r="S909" s="3"/>
      <c r="T909" s="150"/>
      <c r="U909" s="154"/>
      <c r="V909" s="125"/>
      <c r="W909" s="154"/>
      <c r="X909" s="125"/>
      <c r="Y909" s="3"/>
    </row>
    <row r="910" spans="8:25" x14ac:dyDescent="0.3">
      <c r="H910" s="160">
        <v>40928</v>
      </c>
      <c r="I910" s="159">
        <v>32.50226</v>
      </c>
      <c r="J910" s="123">
        <f t="shared" si="128"/>
        <v>2.0618578714429018E-2</v>
      </c>
      <c r="K910" s="165">
        <v>1315.380005</v>
      </c>
      <c r="L910" s="124">
        <f t="shared" si="129"/>
        <v>6.6945987067324668E-4</v>
      </c>
      <c r="N910" s="150"/>
      <c r="O910" s="154"/>
      <c r="P910" s="125"/>
      <c r="Q910" s="154"/>
      <c r="R910" s="125"/>
      <c r="S910" s="3"/>
      <c r="T910" s="150"/>
      <c r="U910" s="154"/>
      <c r="V910" s="125"/>
      <c r="W910" s="154"/>
      <c r="X910" s="125"/>
      <c r="Y910" s="3"/>
    </row>
    <row r="911" spans="8:25" x14ac:dyDescent="0.3">
      <c r="H911" s="160">
        <v>40927</v>
      </c>
      <c r="I911" s="159">
        <v>31.845648000000001</v>
      </c>
      <c r="J911" s="123">
        <f t="shared" si="128"/>
        <v>8.6156095743465961E-3</v>
      </c>
      <c r="K911" s="165">
        <v>1314.5</v>
      </c>
      <c r="L911" s="124">
        <f t="shared" si="129"/>
        <v>4.9386569274581828E-3</v>
      </c>
      <c r="N911" s="150"/>
      <c r="O911" s="154"/>
      <c r="P911" s="125"/>
      <c r="Q911" s="154"/>
      <c r="R911" s="125"/>
      <c r="S911" s="3"/>
      <c r="T911" s="150"/>
      <c r="U911" s="154"/>
      <c r="V911" s="125"/>
      <c r="W911" s="154"/>
      <c r="X911" s="125"/>
      <c r="Y911" s="3"/>
    </row>
    <row r="912" spans="8:25" x14ac:dyDescent="0.3">
      <c r="H912" s="160">
        <v>40926</v>
      </c>
      <c r="I912" s="159">
        <v>31.573622</v>
      </c>
      <c r="J912" s="123">
        <f t="shared" si="128"/>
        <v>1.7225742118298932E-2</v>
      </c>
      <c r="K912" s="165">
        <v>1308.040039</v>
      </c>
      <c r="L912" s="124">
        <f t="shared" si="129"/>
        <v>1.1107929001407732E-2</v>
      </c>
      <c r="N912" s="150"/>
      <c r="O912" s="154"/>
      <c r="P912" s="125"/>
      <c r="Q912" s="154"/>
      <c r="R912" s="125"/>
      <c r="S912" s="3"/>
      <c r="T912" s="150"/>
      <c r="U912" s="154"/>
      <c r="V912" s="125"/>
      <c r="W912" s="154"/>
      <c r="X912" s="125"/>
      <c r="Y912" s="3"/>
    </row>
    <row r="913" spans="8:25" x14ac:dyDescent="0.3">
      <c r="H913" s="160">
        <v>40925</v>
      </c>
      <c r="I913" s="159">
        <v>31.038952999999999</v>
      </c>
      <c r="J913" s="123">
        <f t="shared" si="128"/>
        <v>-7.7960642698763081E-3</v>
      </c>
      <c r="K913" s="165">
        <v>1293.670044</v>
      </c>
      <c r="L913" s="124">
        <f t="shared" si="129"/>
        <v>3.5529545034097003E-3</v>
      </c>
      <c r="N913" s="150"/>
      <c r="O913" s="154"/>
      <c r="P913" s="125"/>
      <c r="Q913" s="154"/>
      <c r="R913" s="125"/>
      <c r="S913" s="3"/>
      <c r="T913" s="150"/>
      <c r="U913" s="154"/>
      <c r="V913" s="125"/>
      <c r="W913" s="154"/>
      <c r="X913" s="125"/>
      <c r="Y913" s="3"/>
    </row>
    <row r="914" spans="8:25" x14ac:dyDescent="0.3">
      <c r="H914" s="160">
        <v>40921</v>
      </c>
      <c r="I914" s="159">
        <v>31.282836</v>
      </c>
      <c r="J914" s="123">
        <f t="shared" si="128"/>
        <v>-1.5062076004244956E-2</v>
      </c>
      <c r="K914" s="165">
        <v>1289.089966</v>
      </c>
      <c r="L914" s="124">
        <f t="shared" si="129"/>
        <v>-4.9479228097259716E-3</v>
      </c>
      <c r="N914" s="150"/>
      <c r="O914" s="154"/>
      <c r="P914" s="125"/>
      <c r="Q914" s="154"/>
      <c r="R914" s="125"/>
      <c r="S914" s="3"/>
      <c r="T914" s="150"/>
      <c r="U914" s="154"/>
      <c r="V914" s="125"/>
      <c r="W914" s="154"/>
      <c r="X914" s="125"/>
      <c r="Y914" s="3"/>
    </row>
    <row r="915" spans="8:25" x14ac:dyDescent="0.3">
      <c r="H915" s="160">
        <v>40920</v>
      </c>
      <c r="I915" s="159">
        <v>31.761226000000001</v>
      </c>
      <c r="J915" s="123">
        <f t="shared" si="128"/>
        <v>1.4988007561496675E-2</v>
      </c>
      <c r="K915" s="165">
        <v>1295.5</v>
      </c>
      <c r="L915" s="124">
        <f t="shared" si="129"/>
        <v>2.3366087264267963E-3</v>
      </c>
      <c r="N915" s="150"/>
      <c r="O915" s="154"/>
      <c r="P915" s="125"/>
      <c r="Q915" s="154"/>
      <c r="R915" s="125"/>
      <c r="S915" s="3"/>
      <c r="T915" s="150"/>
      <c r="U915" s="154"/>
      <c r="V915" s="125"/>
      <c r="W915" s="154"/>
      <c r="X915" s="125"/>
      <c r="Y915" s="3"/>
    </row>
    <row r="916" spans="8:25" x14ac:dyDescent="0.3">
      <c r="H916" s="160">
        <v>40919</v>
      </c>
      <c r="I916" s="159">
        <v>31.292217999999998</v>
      </c>
      <c r="J916" s="123">
        <f t="shared" si="128"/>
        <v>-5.0700313964160805E-3</v>
      </c>
      <c r="K916" s="165">
        <v>1292.4799800000001</v>
      </c>
      <c r="L916" s="124">
        <f t="shared" si="129"/>
        <v>3.095969395256452E-4</v>
      </c>
      <c r="N916" s="150"/>
      <c r="O916" s="154"/>
      <c r="P916" s="125"/>
      <c r="Q916" s="154"/>
      <c r="R916" s="125"/>
      <c r="S916" s="3"/>
      <c r="T916" s="150"/>
      <c r="U916" s="154"/>
      <c r="V916" s="125"/>
      <c r="W916" s="154"/>
      <c r="X916" s="125"/>
      <c r="Y916" s="3"/>
    </row>
    <row r="917" spans="8:25" x14ac:dyDescent="0.3">
      <c r="H917" s="160">
        <v>40918</v>
      </c>
      <c r="I917" s="159">
        <v>31.451678999999999</v>
      </c>
      <c r="J917" s="123">
        <f t="shared" si="128"/>
        <v>-6.5185644444742605E-3</v>
      </c>
      <c r="K917" s="165">
        <v>1292.079956</v>
      </c>
      <c r="L917" s="124">
        <f t="shared" si="129"/>
        <v>8.8857698410265522E-3</v>
      </c>
      <c r="N917" s="150"/>
      <c r="O917" s="154"/>
      <c r="P917" s="125"/>
      <c r="Q917" s="154"/>
      <c r="R917" s="125"/>
      <c r="S917" s="3"/>
      <c r="T917" s="150"/>
      <c r="U917" s="154"/>
      <c r="V917" s="125"/>
      <c r="W917" s="154"/>
      <c r="X917" s="125"/>
      <c r="Y917" s="3"/>
    </row>
    <row r="918" spans="8:25" x14ac:dyDescent="0.3">
      <c r="H918" s="160">
        <v>40917</v>
      </c>
      <c r="I918" s="159">
        <v>31.658044</v>
      </c>
      <c r="J918" s="123">
        <f t="shared" si="128"/>
        <v>7.7634732947348267E-3</v>
      </c>
      <c r="K918" s="165">
        <v>1280.6999510000001</v>
      </c>
      <c r="L918" s="124">
        <f t="shared" si="129"/>
        <v>2.2615974726805195E-3</v>
      </c>
      <c r="N918" s="150"/>
      <c r="O918" s="154"/>
      <c r="P918" s="125"/>
      <c r="Q918" s="154"/>
      <c r="R918" s="125"/>
      <c r="S918" s="3"/>
      <c r="T918" s="150"/>
      <c r="U918" s="154"/>
      <c r="V918" s="125"/>
      <c r="W918" s="154"/>
      <c r="X918" s="125"/>
      <c r="Y918" s="3"/>
    </row>
    <row r="919" spans="8:25" x14ac:dyDescent="0.3">
      <c r="H919" s="160">
        <v>40914</v>
      </c>
      <c r="I919" s="159">
        <v>31.414161</v>
      </c>
      <c r="J919" s="123">
        <f t="shared" si="128"/>
        <v>2.2283378988842122E-2</v>
      </c>
      <c r="K919" s="165">
        <v>1277.8100589999999</v>
      </c>
      <c r="L919" s="124">
        <f t="shared" si="129"/>
        <v>-2.536961461851337E-3</v>
      </c>
      <c r="N919" s="150"/>
      <c r="O919" s="154"/>
      <c r="P919" s="125"/>
      <c r="Q919" s="154"/>
      <c r="R919" s="125"/>
      <c r="S919" s="3"/>
      <c r="T919" s="150"/>
      <c r="U919" s="154"/>
      <c r="V919" s="125"/>
      <c r="W919" s="154"/>
      <c r="X919" s="125"/>
      <c r="Y919" s="3"/>
    </row>
    <row r="920" spans="8:25" x14ac:dyDescent="0.3">
      <c r="H920" s="160">
        <v>40913</v>
      </c>
      <c r="I920" s="159">
        <v>30.729406000000001</v>
      </c>
      <c r="J920" s="123">
        <f t="shared" si="128"/>
        <v>4.6645316006482876E-2</v>
      </c>
      <c r="K920" s="165">
        <v>1281.0600589999999</v>
      </c>
      <c r="L920" s="124">
        <f t="shared" si="129"/>
        <v>2.943717103075102E-3</v>
      </c>
      <c r="N920" s="150"/>
      <c r="O920" s="154"/>
      <c r="P920" s="125"/>
      <c r="Q920" s="154"/>
      <c r="R920" s="125"/>
      <c r="S920" s="3"/>
      <c r="T920" s="150"/>
      <c r="U920" s="154"/>
      <c r="V920" s="125"/>
      <c r="W920" s="154"/>
      <c r="X920" s="125"/>
      <c r="Y920" s="3"/>
    </row>
    <row r="921" spans="8:25" x14ac:dyDescent="0.3">
      <c r="H921" s="160">
        <v>40912</v>
      </c>
      <c r="I921" s="159">
        <v>29.359904</v>
      </c>
      <c r="J921" s="123">
        <f t="shared" si="128"/>
        <v>1.0329239364469164E-2</v>
      </c>
      <c r="K921" s="165">
        <v>1277.3000489999999</v>
      </c>
      <c r="L921" s="124">
        <f t="shared" si="129"/>
        <v>1.879238163536006E-4</v>
      </c>
      <c r="N921" s="150"/>
      <c r="O921" s="154"/>
      <c r="P921" s="125"/>
      <c r="Q921" s="154"/>
      <c r="R921" s="125"/>
      <c r="S921" s="3"/>
      <c r="T921" s="150"/>
      <c r="U921" s="154"/>
      <c r="V921" s="125"/>
      <c r="W921" s="154"/>
      <c r="X921" s="125"/>
      <c r="Y921" s="3"/>
    </row>
    <row r="922" spans="8:25" x14ac:dyDescent="0.3">
      <c r="H922" s="160">
        <v>40911</v>
      </c>
      <c r="I922" s="159">
        <v>29.059739</v>
      </c>
      <c r="J922" s="123">
        <f t="shared" si="128"/>
        <v>9.6925419198388887E-4</v>
      </c>
      <c r="K922" s="165">
        <v>1277.0600589999999</v>
      </c>
      <c r="L922" s="124">
        <f t="shared" si="129"/>
        <v>1.5473984869096357E-2</v>
      </c>
      <c r="N922" s="150"/>
      <c r="O922" s="154"/>
      <c r="P922" s="125"/>
      <c r="Q922" s="154"/>
      <c r="R922" s="125"/>
      <c r="S922" s="3"/>
      <c r="T922" s="150"/>
      <c r="U922" s="154"/>
      <c r="V922" s="125"/>
      <c r="W922" s="154"/>
      <c r="X922" s="125"/>
      <c r="Y922" s="3"/>
    </row>
    <row r="923" spans="8:25" x14ac:dyDescent="0.3">
      <c r="H923" s="160">
        <v>40907</v>
      </c>
      <c r="I923" s="159">
        <v>29.031600000000001</v>
      </c>
      <c r="J923" s="123">
        <f t="shared" si="128"/>
        <v>-4.8231366862991291E-3</v>
      </c>
      <c r="K923" s="165">
        <v>1257.599976</v>
      </c>
      <c r="L923" s="124">
        <f t="shared" si="129"/>
        <v>-4.2913365696293252E-3</v>
      </c>
      <c r="N923" s="150"/>
      <c r="O923" s="154"/>
      <c r="P923" s="125"/>
      <c r="Q923" s="154"/>
      <c r="R923" s="125"/>
      <c r="S923" s="3"/>
      <c r="T923" s="150"/>
      <c r="U923" s="154"/>
      <c r="V923" s="125"/>
      <c r="W923" s="154"/>
      <c r="X923" s="125"/>
      <c r="Y923" s="3"/>
    </row>
    <row r="924" spans="8:25" x14ac:dyDescent="0.3">
      <c r="H924" s="160">
        <v>40906</v>
      </c>
      <c r="I924" s="159">
        <v>29.172301999999998</v>
      </c>
      <c r="J924" s="123">
        <f t="shared" si="128"/>
        <v>1.1053333932223307E-2</v>
      </c>
      <c r="K924" s="165">
        <v>1263.0200199999999</v>
      </c>
      <c r="L924" s="124">
        <f t="shared" si="129"/>
        <v>1.0707087512718599E-2</v>
      </c>
      <c r="N924" s="150"/>
      <c r="O924" s="154"/>
      <c r="P924" s="125"/>
      <c r="Q924" s="154"/>
      <c r="R924" s="125"/>
      <c r="S924" s="3"/>
      <c r="T924" s="150"/>
      <c r="U924" s="154"/>
      <c r="V924" s="125"/>
      <c r="W924" s="154"/>
      <c r="X924" s="125"/>
      <c r="Y924" s="3"/>
    </row>
    <row r="925" spans="8:25" x14ac:dyDescent="0.3">
      <c r="H925" s="160">
        <v>40905</v>
      </c>
      <c r="I925" s="159">
        <v>28.853376000000001</v>
      </c>
      <c r="J925" s="123">
        <f t="shared" si="128"/>
        <v>-1.5049612307783504E-2</v>
      </c>
      <c r="K925" s="165">
        <v>1249.6400149999999</v>
      </c>
      <c r="L925" s="124">
        <f t="shared" si="129"/>
        <v>-1.247800220177162E-2</v>
      </c>
      <c r="N925" s="150"/>
      <c r="O925" s="154"/>
      <c r="P925" s="125"/>
      <c r="Q925" s="154"/>
      <c r="R925" s="125"/>
      <c r="S925" s="3"/>
      <c r="T925" s="150"/>
      <c r="U925" s="154"/>
      <c r="V925" s="125"/>
      <c r="W925" s="154"/>
      <c r="X925" s="125"/>
      <c r="Y925" s="3"/>
    </row>
    <row r="926" spans="8:25" x14ac:dyDescent="0.3">
      <c r="H926" s="160">
        <v>40904</v>
      </c>
      <c r="I926" s="159">
        <v>29.294243000000002</v>
      </c>
      <c r="J926" s="123">
        <f t="shared" si="128"/>
        <v>-2.8313606710822985E-2</v>
      </c>
      <c r="K926" s="165">
        <v>1265.4300539999999</v>
      </c>
      <c r="L926" s="124">
        <f t="shared" si="129"/>
        <v>7.9108219579596356E-5</v>
      </c>
      <c r="N926" s="150"/>
      <c r="O926" s="154"/>
      <c r="P926" s="125"/>
      <c r="Q926" s="154"/>
      <c r="R926" s="125"/>
      <c r="S926" s="3"/>
      <c r="T926" s="150"/>
      <c r="U926" s="154"/>
      <c r="V926" s="125"/>
      <c r="W926" s="154"/>
      <c r="X926" s="125"/>
      <c r="Y926" s="3"/>
    </row>
    <row r="927" spans="8:25" x14ac:dyDescent="0.3">
      <c r="H927" s="160">
        <v>40900</v>
      </c>
      <c r="I927" s="159">
        <v>30.147836999999999</v>
      </c>
      <c r="J927" s="123">
        <f t="shared" si="128"/>
        <v>1.356039387463023E-2</v>
      </c>
      <c r="K927" s="165">
        <v>1265.329956</v>
      </c>
      <c r="L927" s="124">
        <f t="shared" si="129"/>
        <v>9.0350526315789784E-3</v>
      </c>
      <c r="N927" s="150"/>
      <c r="O927" s="154"/>
      <c r="P927" s="125"/>
      <c r="Q927" s="154"/>
      <c r="R927" s="125"/>
      <c r="S927" s="3"/>
      <c r="T927" s="150"/>
      <c r="U927" s="154"/>
      <c r="V927" s="125"/>
      <c r="W927" s="154"/>
      <c r="X927" s="125"/>
      <c r="Y927" s="3"/>
    </row>
    <row r="928" spans="8:25" x14ac:dyDescent="0.3">
      <c r="H928" s="160">
        <v>40899</v>
      </c>
      <c r="I928" s="159">
        <v>29.744489999999999</v>
      </c>
      <c r="J928" s="123">
        <f t="shared" si="128"/>
        <v>9.8725776647596939E-3</v>
      </c>
      <c r="K928" s="165">
        <v>1254</v>
      </c>
      <c r="L928" s="124">
        <f t="shared" si="129"/>
        <v>8.265549512511617E-3</v>
      </c>
      <c r="N928" s="150"/>
      <c r="O928" s="154"/>
      <c r="P928" s="125"/>
      <c r="Q928" s="154"/>
      <c r="R928" s="125"/>
      <c r="S928" s="3"/>
      <c r="T928" s="150"/>
      <c r="U928" s="154"/>
      <c r="V928" s="125"/>
      <c r="W928" s="154"/>
      <c r="X928" s="125"/>
      <c r="Y928" s="3"/>
    </row>
    <row r="929" spans="8:25" x14ac:dyDescent="0.3">
      <c r="H929" s="160">
        <v>40898</v>
      </c>
      <c r="I929" s="159">
        <v>29.453706</v>
      </c>
      <c r="J929" s="123">
        <f t="shared" si="128"/>
        <v>-1.5365288782764564E-2</v>
      </c>
      <c r="K929" s="165">
        <v>1243.719971</v>
      </c>
      <c r="L929" s="124">
        <f t="shared" si="129"/>
        <v>1.9495060859375205E-3</v>
      </c>
      <c r="N929" s="150"/>
      <c r="O929" s="154"/>
      <c r="P929" s="125"/>
      <c r="Q929" s="154"/>
      <c r="R929" s="125"/>
      <c r="S929" s="3"/>
      <c r="T929" s="150"/>
      <c r="U929" s="154"/>
      <c r="V929" s="125"/>
      <c r="W929" s="154"/>
      <c r="X929" s="125"/>
      <c r="Y929" s="3"/>
    </row>
    <row r="930" spans="8:25" x14ac:dyDescent="0.3">
      <c r="H930" s="160">
        <v>40897</v>
      </c>
      <c r="I930" s="159">
        <v>29.913333000000002</v>
      </c>
      <c r="J930" s="123">
        <f t="shared" si="128"/>
        <v>4.0796340729818685E-2</v>
      </c>
      <c r="K930" s="165">
        <v>1241.3000489999999</v>
      </c>
      <c r="L930" s="124">
        <f t="shared" si="129"/>
        <v>2.9825423085253353E-2</v>
      </c>
      <c r="N930" s="150"/>
      <c r="O930" s="154"/>
      <c r="P930" s="125"/>
      <c r="Q930" s="154"/>
      <c r="R930" s="125"/>
      <c r="S930" s="3"/>
      <c r="T930" s="150"/>
      <c r="U930" s="154"/>
      <c r="V930" s="125"/>
      <c r="W930" s="154"/>
      <c r="X930" s="125"/>
      <c r="Y930" s="3"/>
    </row>
    <row r="931" spans="8:25" x14ac:dyDescent="0.3">
      <c r="H931" s="160">
        <v>40896</v>
      </c>
      <c r="I931" s="159">
        <v>28.740812999999999</v>
      </c>
      <c r="J931" s="123">
        <f t="shared" si="128"/>
        <v>-1.0016223701070616E-2</v>
      </c>
      <c r="K931" s="165">
        <v>1205.349976</v>
      </c>
      <c r="L931" s="124">
        <f t="shared" si="129"/>
        <v>-1.173282521447286E-2</v>
      </c>
      <c r="N931" s="150"/>
      <c r="O931" s="154"/>
      <c r="P931" s="125"/>
      <c r="Q931" s="154"/>
      <c r="R931" s="125"/>
      <c r="S931" s="3"/>
      <c r="T931" s="150"/>
      <c r="U931" s="154"/>
      <c r="V931" s="125"/>
      <c r="W931" s="154"/>
      <c r="X931" s="125"/>
      <c r="Y931" s="3"/>
    </row>
    <row r="932" spans="8:25" x14ac:dyDescent="0.3">
      <c r="H932" s="160">
        <v>40893</v>
      </c>
      <c r="I932" s="159">
        <v>29.031600000000001</v>
      </c>
      <c r="J932" s="123">
        <f t="shared" si="128"/>
        <v>9.1294942457761982E-3</v>
      </c>
      <c r="K932" s="165">
        <v>1219.660034</v>
      </c>
      <c r="L932" s="124">
        <f t="shared" si="129"/>
        <v>3.2161497018301428E-3</v>
      </c>
      <c r="N932" s="150"/>
      <c r="O932" s="154"/>
      <c r="P932" s="125"/>
      <c r="Q932" s="154"/>
      <c r="R932" s="125"/>
      <c r="S932" s="3"/>
      <c r="T932" s="150"/>
      <c r="U932" s="154"/>
      <c r="V932" s="125"/>
      <c r="W932" s="154"/>
      <c r="X932" s="125"/>
      <c r="Y932" s="3"/>
    </row>
    <row r="933" spans="8:25" x14ac:dyDescent="0.3">
      <c r="H933" s="160">
        <v>40892</v>
      </c>
      <c r="I933" s="159">
        <v>28.768954000000001</v>
      </c>
      <c r="J933" s="123">
        <f t="shared" si="128"/>
        <v>5.244161964175288E-3</v>
      </c>
      <c r="K933" s="165">
        <v>1215.75</v>
      </c>
      <c r="L933" s="124">
        <f t="shared" si="129"/>
        <v>3.2431006049804096E-3</v>
      </c>
      <c r="N933" s="150"/>
      <c r="O933" s="154"/>
      <c r="P933" s="125"/>
      <c r="Q933" s="154"/>
      <c r="R933" s="125"/>
      <c r="S933" s="3"/>
      <c r="T933" s="150"/>
      <c r="U933" s="154"/>
      <c r="V933" s="125"/>
      <c r="W933" s="154"/>
      <c r="X933" s="125"/>
      <c r="Y933" s="3"/>
    </row>
    <row r="934" spans="8:25" x14ac:dyDescent="0.3">
      <c r="H934" s="160">
        <v>40891</v>
      </c>
      <c r="I934" s="159">
        <v>28.618872</v>
      </c>
      <c r="J934" s="123">
        <f t="shared" si="128"/>
        <v>-1.7707633282283222E-2</v>
      </c>
      <c r="K934" s="165">
        <v>1211.8199460000001</v>
      </c>
      <c r="L934" s="124">
        <f t="shared" si="129"/>
        <v>-1.1348367280695864E-2</v>
      </c>
      <c r="N934" s="150"/>
      <c r="O934" s="154"/>
      <c r="P934" s="125"/>
      <c r="Q934" s="154"/>
      <c r="R934" s="125"/>
      <c r="S934" s="3"/>
      <c r="T934" s="150"/>
      <c r="U934" s="154"/>
      <c r="V934" s="125"/>
      <c r="W934" s="154"/>
      <c r="X934" s="125"/>
      <c r="Y934" s="3"/>
    </row>
    <row r="935" spans="8:25" x14ac:dyDescent="0.3">
      <c r="H935" s="160">
        <v>40890</v>
      </c>
      <c r="I935" s="159">
        <v>29.134779999999999</v>
      </c>
      <c r="J935" s="123">
        <f t="shared" si="128"/>
        <v>-2.7551686427025743E-2</v>
      </c>
      <c r="K935" s="165">
        <v>1225.7299800000001</v>
      </c>
      <c r="L935" s="124">
        <f t="shared" si="129"/>
        <v>-8.686010377845171E-3</v>
      </c>
      <c r="N935" s="150"/>
      <c r="O935" s="154"/>
      <c r="P935" s="125"/>
      <c r="Q935" s="154"/>
      <c r="R935" s="125"/>
      <c r="S935" s="3"/>
      <c r="T935" s="150"/>
      <c r="U935" s="154"/>
      <c r="V935" s="125"/>
      <c r="W935" s="154"/>
      <c r="X935" s="125"/>
      <c r="Y935" s="3"/>
    </row>
    <row r="936" spans="8:25" x14ac:dyDescent="0.3">
      <c r="H936" s="160">
        <v>40889</v>
      </c>
      <c r="I936" s="159">
        <v>29.960235000000001</v>
      </c>
      <c r="J936" s="123">
        <f t="shared" si="128"/>
        <v>-1.3588664365738627E-2</v>
      </c>
      <c r="K936" s="165">
        <v>1236.469971</v>
      </c>
      <c r="L936" s="124">
        <f t="shared" si="129"/>
        <v>-1.4914053553588907E-2</v>
      </c>
      <c r="N936" s="150"/>
      <c r="O936" s="154"/>
      <c r="P936" s="125"/>
      <c r="Q936" s="154"/>
      <c r="R936" s="125"/>
      <c r="S936" s="3"/>
      <c r="T936" s="150"/>
      <c r="U936" s="154"/>
      <c r="V936" s="125"/>
      <c r="W936" s="154"/>
      <c r="X936" s="125"/>
      <c r="Y936" s="3"/>
    </row>
    <row r="937" spans="8:25" x14ac:dyDescent="0.3">
      <c r="H937" s="160">
        <v>40886</v>
      </c>
      <c r="I937" s="159">
        <v>30.372962999999999</v>
      </c>
      <c r="J937" s="123">
        <f t="shared" si="128"/>
        <v>2.6958461672303459E-2</v>
      </c>
      <c r="K937" s="165">
        <v>1255.1899410000001</v>
      </c>
      <c r="L937" s="124">
        <f t="shared" si="129"/>
        <v>1.6883351889821013E-2</v>
      </c>
      <c r="N937" s="150"/>
      <c r="O937" s="154"/>
      <c r="P937" s="125"/>
      <c r="Q937" s="154"/>
      <c r="R937" s="125"/>
      <c r="S937" s="3"/>
      <c r="T937" s="150"/>
      <c r="U937" s="154"/>
      <c r="V937" s="125"/>
      <c r="W937" s="154"/>
      <c r="X937" s="125"/>
      <c r="Y937" s="3"/>
    </row>
    <row r="938" spans="8:25" x14ac:dyDescent="0.3">
      <c r="H938" s="160">
        <v>40885</v>
      </c>
      <c r="I938" s="159">
        <v>29.575648999999999</v>
      </c>
      <c r="J938" s="123">
        <f t="shared" si="128"/>
        <v>-9.1137423007817669E-3</v>
      </c>
      <c r="K938" s="165">
        <v>1234.349976</v>
      </c>
      <c r="L938" s="124">
        <f t="shared" si="129"/>
        <v>-2.1141809968661548E-2</v>
      </c>
      <c r="N938" s="150"/>
      <c r="O938" s="154"/>
      <c r="P938" s="125"/>
      <c r="Q938" s="154"/>
      <c r="R938" s="125"/>
      <c r="S938" s="3"/>
      <c r="T938" s="150"/>
      <c r="U938" s="154"/>
      <c r="V938" s="125"/>
      <c r="W938" s="154"/>
      <c r="X938" s="125"/>
      <c r="Y938" s="3"/>
    </row>
    <row r="939" spans="8:25" x14ac:dyDescent="0.3">
      <c r="H939" s="160">
        <v>40884</v>
      </c>
      <c r="I939" s="159">
        <v>29.847673</v>
      </c>
      <c r="J939" s="123">
        <f t="shared" si="128"/>
        <v>4.4191832301348453E-3</v>
      </c>
      <c r="K939" s="165">
        <v>1261.01001</v>
      </c>
      <c r="L939" s="124">
        <f t="shared" si="129"/>
        <v>2.0183548741982489E-3</v>
      </c>
      <c r="N939" s="150"/>
      <c r="O939" s="154"/>
      <c r="P939" s="125"/>
      <c r="Q939" s="154"/>
      <c r="R939" s="125"/>
      <c r="S939" s="3"/>
      <c r="T939" s="150"/>
      <c r="U939" s="154"/>
      <c r="V939" s="125"/>
      <c r="W939" s="154"/>
      <c r="X939" s="125"/>
      <c r="Y939" s="3"/>
    </row>
    <row r="940" spans="8:25" x14ac:dyDescent="0.3">
      <c r="H940" s="160">
        <v>40883</v>
      </c>
      <c r="I940" s="159">
        <v>29.716351</v>
      </c>
      <c r="J940" s="123">
        <f t="shared" si="128"/>
        <v>-1.0309201784299959E-2</v>
      </c>
      <c r="K940" s="165">
        <v>1258.469971</v>
      </c>
      <c r="L940" s="124">
        <f t="shared" si="129"/>
        <v>1.1057490761549845E-3</v>
      </c>
      <c r="N940" s="150"/>
      <c r="O940" s="154"/>
      <c r="P940" s="125"/>
      <c r="Q940" s="154"/>
      <c r="R940" s="125"/>
      <c r="S940" s="3"/>
      <c r="T940" s="150"/>
      <c r="U940" s="154"/>
      <c r="V940" s="125"/>
      <c r="W940" s="154"/>
      <c r="X940" s="125"/>
      <c r="Y940" s="3"/>
    </row>
    <row r="941" spans="8:25" x14ac:dyDescent="0.3">
      <c r="H941" s="160">
        <v>40882</v>
      </c>
      <c r="I941" s="159">
        <v>30.025894000000001</v>
      </c>
      <c r="J941" s="123">
        <f t="shared" si="128"/>
        <v>1.8129696672166351E-2</v>
      </c>
      <c r="K941" s="165">
        <v>1257.079956</v>
      </c>
      <c r="L941" s="124">
        <f t="shared" si="129"/>
        <v>1.0287014740795157E-2</v>
      </c>
      <c r="N941" s="150"/>
      <c r="O941" s="154"/>
      <c r="P941" s="125"/>
      <c r="Q941" s="154"/>
      <c r="R941" s="125"/>
      <c r="S941" s="3"/>
      <c r="T941" s="150"/>
      <c r="U941" s="154"/>
      <c r="V941" s="125"/>
      <c r="W941" s="154"/>
      <c r="X941" s="125"/>
      <c r="Y941" s="3"/>
    </row>
    <row r="942" spans="8:25" x14ac:dyDescent="0.3">
      <c r="H942" s="160">
        <v>40879</v>
      </c>
      <c r="I942" s="159">
        <v>29.491226999999999</v>
      </c>
      <c r="J942" s="123">
        <f t="shared" si="128"/>
        <v>7.4871821674484362E-2</v>
      </c>
      <c r="K942" s="165">
        <v>1244.280029</v>
      </c>
      <c r="L942" s="124">
        <f t="shared" si="129"/>
        <v>-2.4098652605974085E-4</v>
      </c>
      <c r="N942" s="150"/>
      <c r="O942" s="154"/>
      <c r="P942" s="125"/>
      <c r="Q942" s="154"/>
      <c r="R942" s="125"/>
      <c r="S942" s="3"/>
      <c r="T942" s="150"/>
      <c r="U942" s="154"/>
      <c r="V942" s="125"/>
      <c r="W942" s="154"/>
      <c r="X942" s="125"/>
      <c r="Y942" s="3"/>
    </row>
    <row r="943" spans="8:25" x14ac:dyDescent="0.3">
      <c r="H943" s="160">
        <v>40878</v>
      </c>
      <c r="I943" s="159">
        <v>27.436971</v>
      </c>
      <c r="J943" s="123">
        <f t="shared" si="128"/>
        <v>6.1919542111581313E-3</v>
      </c>
      <c r="K943" s="165">
        <v>1244.579956</v>
      </c>
      <c r="L943" s="124">
        <f t="shared" si="129"/>
        <v>-1.9086458863453296E-3</v>
      </c>
      <c r="N943" s="150"/>
      <c r="O943" s="154"/>
      <c r="P943" s="125"/>
      <c r="Q943" s="154"/>
      <c r="R943" s="125"/>
      <c r="S943" s="3"/>
      <c r="T943" s="150"/>
      <c r="U943" s="154"/>
      <c r="V943" s="125"/>
      <c r="W943" s="154"/>
      <c r="X943" s="125"/>
      <c r="Y943" s="3"/>
    </row>
    <row r="944" spans="8:25" x14ac:dyDescent="0.3">
      <c r="H944" s="160">
        <v>40877</v>
      </c>
      <c r="I944" s="159">
        <v>27.268128000000001</v>
      </c>
      <c r="J944" s="123">
        <f t="shared" si="128"/>
        <v>5.6706606485671086E-2</v>
      </c>
      <c r="K944" s="165">
        <v>1246.959961</v>
      </c>
      <c r="L944" s="124">
        <f t="shared" si="129"/>
        <v>4.3315307654517757E-2</v>
      </c>
      <c r="N944" s="150"/>
      <c r="O944" s="154"/>
      <c r="P944" s="125"/>
      <c r="Q944" s="154"/>
      <c r="R944" s="125"/>
      <c r="S944" s="3"/>
      <c r="T944" s="150"/>
      <c r="U944" s="154"/>
      <c r="V944" s="125"/>
      <c r="W944" s="154"/>
      <c r="X944" s="125"/>
      <c r="Y944" s="3"/>
    </row>
    <row r="945" spans="8:25" x14ac:dyDescent="0.3">
      <c r="H945" s="160">
        <v>40876</v>
      </c>
      <c r="I945" s="159">
        <v>25.804824</v>
      </c>
      <c r="J945" s="123">
        <f t="shared" si="128"/>
        <v>3.5768100035530652E-2</v>
      </c>
      <c r="K945" s="165">
        <v>1195.1899410000001</v>
      </c>
      <c r="L945" s="124">
        <f t="shared" si="129"/>
        <v>2.2136530053508434E-3</v>
      </c>
      <c r="N945" s="150"/>
      <c r="O945" s="154"/>
      <c r="P945" s="125"/>
      <c r="Q945" s="154"/>
      <c r="R945" s="125"/>
      <c r="S945" s="3"/>
      <c r="T945" s="150"/>
      <c r="U945" s="154"/>
      <c r="V945" s="125"/>
      <c r="W945" s="154"/>
      <c r="X945" s="125"/>
      <c r="Y945" s="3"/>
    </row>
    <row r="946" spans="8:25" x14ac:dyDescent="0.3">
      <c r="H946" s="160">
        <v>40875</v>
      </c>
      <c r="I946" s="159">
        <v>24.913708</v>
      </c>
      <c r="J946" s="123">
        <f t="shared" si="128"/>
        <v>6.2399993722922299E-2</v>
      </c>
      <c r="K946" s="165">
        <v>1192.5500489999999</v>
      </c>
      <c r="L946" s="124">
        <f t="shared" si="129"/>
        <v>2.9240425413121308E-2</v>
      </c>
      <c r="N946" s="150"/>
      <c r="O946" s="154"/>
      <c r="P946" s="125"/>
      <c r="Q946" s="154"/>
      <c r="R946" s="125"/>
      <c r="S946" s="3"/>
      <c r="T946" s="150"/>
      <c r="U946" s="154"/>
      <c r="V946" s="125"/>
      <c r="W946" s="154"/>
      <c r="X946" s="125"/>
      <c r="Y946" s="3"/>
    </row>
    <row r="947" spans="8:25" x14ac:dyDescent="0.3">
      <c r="H947" s="160">
        <v>40872</v>
      </c>
      <c r="I947" s="159">
        <v>23.450403000000001</v>
      </c>
      <c r="J947" s="123">
        <f t="shared" si="128"/>
        <v>-2.3055901113792899E-2</v>
      </c>
      <c r="K947" s="165">
        <v>1158.670044</v>
      </c>
      <c r="L947" s="124">
        <f t="shared" si="129"/>
        <v>-2.6855067570432296E-3</v>
      </c>
      <c r="N947" s="150"/>
      <c r="O947" s="154"/>
      <c r="P947" s="125"/>
      <c r="Q947" s="154"/>
      <c r="R947" s="125"/>
      <c r="S947" s="3"/>
      <c r="T947" s="150"/>
      <c r="U947" s="154"/>
      <c r="V947" s="125"/>
      <c r="W947" s="154"/>
      <c r="X947" s="125"/>
      <c r="Y947" s="3"/>
    </row>
    <row r="948" spans="8:25" x14ac:dyDescent="0.3">
      <c r="H948" s="160">
        <v>40870</v>
      </c>
      <c r="I948" s="159">
        <v>24.003833</v>
      </c>
      <c r="J948" s="123">
        <f t="shared" si="128"/>
        <v>-7.3700515787408294E-3</v>
      </c>
      <c r="K948" s="165">
        <v>1161.790039</v>
      </c>
      <c r="L948" s="124">
        <f t="shared" si="129"/>
        <v>-2.2095214923981196E-2</v>
      </c>
      <c r="N948" s="150"/>
      <c r="O948" s="154"/>
      <c r="P948" s="125"/>
      <c r="Q948" s="154"/>
      <c r="R948" s="125"/>
      <c r="S948" s="3"/>
      <c r="T948" s="150"/>
      <c r="U948" s="154"/>
      <c r="V948" s="125"/>
      <c r="W948" s="154"/>
      <c r="X948" s="125"/>
      <c r="Y948" s="3"/>
    </row>
    <row r="949" spans="8:25" x14ac:dyDescent="0.3">
      <c r="H949" s="160">
        <v>40869</v>
      </c>
      <c r="I949" s="159">
        <v>24.182055999999999</v>
      </c>
      <c r="J949" s="123">
        <f t="shared" si="128"/>
        <v>-1.2638822590650564E-2</v>
      </c>
      <c r="K949" s="165">
        <v>1188.040039</v>
      </c>
      <c r="L949" s="124">
        <f t="shared" si="129"/>
        <v>-4.1408414917407828E-3</v>
      </c>
      <c r="N949" s="150"/>
      <c r="O949" s="154"/>
      <c r="P949" s="125"/>
      <c r="Q949" s="154"/>
      <c r="R949" s="125"/>
      <c r="S949" s="3"/>
      <c r="T949" s="150"/>
      <c r="U949" s="154"/>
      <c r="V949" s="125"/>
      <c r="W949" s="154"/>
      <c r="X949" s="125"/>
      <c r="Y949" s="3"/>
    </row>
    <row r="950" spans="8:25" x14ac:dyDescent="0.3">
      <c r="H950" s="160">
        <v>40868</v>
      </c>
      <c r="I950" s="159">
        <v>24.491600999999999</v>
      </c>
      <c r="J950" s="123">
        <f t="shared" si="128"/>
        <v>2.6881257102847177E-3</v>
      </c>
      <c r="K950" s="165">
        <v>1192.9799800000001</v>
      </c>
      <c r="L950" s="124">
        <f t="shared" si="129"/>
        <v>-1.8648495498240505E-2</v>
      </c>
      <c r="N950" s="150"/>
      <c r="O950" s="154"/>
      <c r="P950" s="125"/>
      <c r="Q950" s="154"/>
      <c r="R950" s="125"/>
      <c r="S950" s="3"/>
      <c r="T950" s="150"/>
      <c r="U950" s="154"/>
      <c r="V950" s="125"/>
      <c r="W950" s="154"/>
      <c r="X950" s="125"/>
      <c r="Y950" s="3"/>
    </row>
    <row r="951" spans="8:25" x14ac:dyDescent="0.3">
      <c r="H951" s="160">
        <v>40865</v>
      </c>
      <c r="I951" s="159">
        <v>24.425941000000002</v>
      </c>
      <c r="J951" s="123">
        <f t="shared" si="128"/>
        <v>3.0878920306823432E-2</v>
      </c>
      <c r="K951" s="165">
        <v>1215.650024</v>
      </c>
      <c r="L951" s="124">
        <f t="shared" si="129"/>
        <v>-3.946790211791152E-4</v>
      </c>
      <c r="N951" s="150"/>
      <c r="O951" s="154"/>
      <c r="P951" s="125"/>
      <c r="Q951" s="154"/>
      <c r="R951" s="125"/>
      <c r="S951" s="3"/>
      <c r="T951" s="150"/>
      <c r="U951" s="154"/>
      <c r="V951" s="125"/>
      <c r="W951" s="154"/>
      <c r="X951" s="125"/>
      <c r="Y951" s="3"/>
    </row>
    <row r="952" spans="8:25" x14ac:dyDescent="0.3">
      <c r="H952" s="160">
        <v>40864</v>
      </c>
      <c r="I952" s="159">
        <v>23.694286999999999</v>
      </c>
      <c r="J952" s="123">
        <f t="shared" si="128"/>
        <v>-5.8165543029714523E-2</v>
      </c>
      <c r="K952" s="165">
        <v>1216.130005</v>
      </c>
      <c r="L952" s="124">
        <f t="shared" si="129"/>
        <v>-1.6799951838696148E-2</v>
      </c>
      <c r="N952" s="150"/>
      <c r="O952" s="154"/>
      <c r="P952" s="125"/>
      <c r="Q952" s="154"/>
      <c r="R952" s="125"/>
      <c r="S952" s="3"/>
      <c r="T952" s="150"/>
      <c r="U952" s="154"/>
      <c r="V952" s="125"/>
      <c r="W952" s="154"/>
      <c r="X952" s="125"/>
      <c r="Y952" s="3"/>
    </row>
    <row r="953" spans="8:25" x14ac:dyDescent="0.3">
      <c r="H953" s="160">
        <v>40863</v>
      </c>
      <c r="I953" s="159">
        <v>25.157592000000001</v>
      </c>
      <c r="J953" s="123">
        <f t="shared" si="128"/>
        <v>7.0658704958607488E-2</v>
      </c>
      <c r="K953" s="165">
        <v>1236.910034</v>
      </c>
      <c r="L953" s="124">
        <f t="shared" si="129"/>
        <v>-1.6616201190675892E-2</v>
      </c>
      <c r="N953" s="150"/>
      <c r="O953" s="154"/>
      <c r="P953" s="125"/>
      <c r="Q953" s="154"/>
      <c r="R953" s="125"/>
      <c r="S953" s="3"/>
      <c r="T953" s="150"/>
      <c r="U953" s="154"/>
      <c r="V953" s="125"/>
      <c r="W953" s="154"/>
      <c r="X953" s="125"/>
      <c r="Y953" s="3"/>
    </row>
    <row r="954" spans="8:25" x14ac:dyDescent="0.3">
      <c r="H954" s="160">
        <v>40862</v>
      </c>
      <c r="I954" s="159">
        <v>23.497302999999999</v>
      </c>
      <c r="J954" s="123">
        <f t="shared" si="128"/>
        <v>-4.8974991040113838E-2</v>
      </c>
      <c r="K954" s="165">
        <v>1257.8100589999999</v>
      </c>
      <c r="L954" s="124">
        <f t="shared" si="129"/>
        <v>4.8171642463548979E-3</v>
      </c>
      <c r="N954" s="150"/>
      <c r="O954" s="154"/>
      <c r="P954" s="125"/>
      <c r="Q954" s="154"/>
      <c r="R954" s="125"/>
      <c r="S954" s="3"/>
      <c r="T954" s="150"/>
      <c r="U954" s="154"/>
      <c r="V954" s="125"/>
      <c r="W954" s="154"/>
      <c r="X954" s="125"/>
      <c r="Y954" s="3"/>
    </row>
    <row r="955" spans="8:25" x14ac:dyDescent="0.3">
      <c r="H955" s="160">
        <v>40861</v>
      </c>
      <c r="I955" s="159">
        <v>24.707345</v>
      </c>
      <c r="J955" s="123">
        <f t="shared" si="128"/>
        <v>-1.0518426318953236E-2</v>
      </c>
      <c r="K955" s="165">
        <v>1251.780029</v>
      </c>
      <c r="L955" s="124">
        <f t="shared" si="129"/>
        <v>-9.5501422077013641E-3</v>
      </c>
      <c r="N955" s="150"/>
      <c r="O955" s="154"/>
      <c r="P955" s="125"/>
      <c r="Q955" s="154"/>
      <c r="R955" s="125"/>
      <c r="S955" s="3"/>
      <c r="T955" s="150"/>
      <c r="U955" s="154"/>
      <c r="V955" s="125"/>
      <c r="W955" s="154"/>
      <c r="X955" s="125"/>
      <c r="Y955" s="3"/>
    </row>
    <row r="956" spans="8:25" x14ac:dyDescent="0.3">
      <c r="H956" s="160">
        <v>40858</v>
      </c>
      <c r="I956" s="159">
        <v>24.969989999999999</v>
      </c>
      <c r="J956" s="123">
        <f t="shared" si="128"/>
        <v>3.2182999298470724E-2</v>
      </c>
      <c r="K956" s="165">
        <v>1263.849976</v>
      </c>
      <c r="L956" s="124">
        <f t="shared" si="129"/>
        <v>1.948054041667048E-2</v>
      </c>
      <c r="N956" s="150"/>
      <c r="O956" s="154"/>
      <c r="P956" s="125"/>
      <c r="Q956" s="154"/>
      <c r="R956" s="125"/>
      <c r="S956" s="3"/>
      <c r="T956" s="150"/>
      <c r="U956" s="154"/>
      <c r="V956" s="125"/>
      <c r="W956" s="154"/>
      <c r="X956" s="125"/>
      <c r="Y956" s="3"/>
    </row>
    <row r="957" spans="8:25" x14ac:dyDescent="0.3">
      <c r="H957" s="160">
        <v>40857</v>
      </c>
      <c r="I957" s="159">
        <v>24.191437000000001</v>
      </c>
      <c r="J957" s="123">
        <f t="shared" si="128"/>
        <v>-8.4582219896146612E-3</v>
      </c>
      <c r="K957" s="165">
        <v>1239.6999510000001</v>
      </c>
      <c r="L957" s="124">
        <f t="shared" si="129"/>
        <v>8.6241763949071026E-3</v>
      </c>
      <c r="N957" s="150"/>
      <c r="O957" s="154"/>
      <c r="P957" s="125"/>
      <c r="Q957" s="154"/>
      <c r="R957" s="125"/>
      <c r="S957" s="3"/>
      <c r="T957" s="150"/>
      <c r="U957" s="154"/>
      <c r="V957" s="125"/>
      <c r="W957" s="154"/>
      <c r="X957" s="125"/>
      <c r="Y957" s="3"/>
    </row>
    <row r="958" spans="8:25" x14ac:dyDescent="0.3">
      <c r="H958" s="160">
        <v>40856</v>
      </c>
      <c r="I958" s="159">
        <v>24.397798999999999</v>
      </c>
      <c r="J958" s="123">
        <f t="shared" si="128"/>
        <v>-6.4051864797460778E-2</v>
      </c>
      <c r="K958" s="165">
        <v>1229.099976</v>
      </c>
      <c r="L958" s="124">
        <f t="shared" si="129"/>
        <v>-3.6695142630739953E-2</v>
      </c>
      <c r="N958" s="150"/>
      <c r="O958" s="154"/>
      <c r="P958" s="125"/>
      <c r="Q958" s="154"/>
      <c r="R958" s="125"/>
      <c r="S958" s="3"/>
      <c r="T958" s="150"/>
      <c r="U958" s="154"/>
      <c r="V958" s="125"/>
      <c r="W958" s="154"/>
      <c r="X958" s="125"/>
      <c r="Y958" s="3"/>
    </row>
    <row r="959" spans="8:25" x14ac:dyDescent="0.3">
      <c r="H959" s="160">
        <v>40855</v>
      </c>
      <c r="I959" s="159">
        <v>26.067468999999999</v>
      </c>
      <c r="J959" s="123">
        <f t="shared" si="128"/>
        <v>3.9740357196804028E-3</v>
      </c>
      <c r="K959" s="165">
        <v>1275.920044</v>
      </c>
      <c r="L959" s="124">
        <f t="shared" si="129"/>
        <v>1.1735639002377363E-2</v>
      </c>
      <c r="N959" s="150"/>
      <c r="O959" s="154"/>
      <c r="P959" s="125"/>
      <c r="Q959" s="154"/>
      <c r="R959" s="125"/>
      <c r="S959" s="3"/>
      <c r="T959" s="150"/>
      <c r="U959" s="154"/>
      <c r="V959" s="125"/>
      <c r="W959" s="154"/>
      <c r="X959" s="125"/>
      <c r="Y959" s="3"/>
    </row>
    <row r="960" spans="8:25" x14ac:dyDescent="0.3">
      <c r="H960" s="160">
        <v>40854</v>
      </c>
      <c r="I960" s="159">
        <v>25.964286000000001</v>
      </c>
      <c r="J960" s="123">
        <f t="shared" si="128"/>
        <v>-9.6601318712033393E-3</v>
      </c>
      <c r="K960" s="165">
        <v>1261.119995</v>
      </c>
      <c r="L960" s="124">
        <f t="shared" si="129"/>
        <v>6.2957438984981417E-3</v>
      </c>
      <c r="N960" s="150"/>
      <c r="O960" s="154"/>
      <c r="P960" s="125"/>
      <c r="Q960" s="154"/>
      <c r="R960" s="125"/>
      <c r="S960" s="3"/>
      <c r="T960" s="150"/>
      <c r="U960" s="154"/>
      <c r="V960" s="125"/>
      <c r="W960" s="154"/>
      <c r="X960" s="125"/>
      <c r="Y960" s="3"/>
    </row>
    <row r="961" spans="8:25" x14ac:dyDescent="0.3">
      <c r="H961" s="160">
        <v>40851</v>
      </c>
      <c r="I961" s="159">
        <v>26.217551</v>
      </c>
      <c r="J961" s="123">
        <f t="shared" si="128"/>
        <v>-1.7229258011126236E-2</v>
      </c>
      <c r="K961" s="165">
        <v>1253.2299800000001</v>
      </c>
      <c r="L961" s="124">
        <f t="shared" si="129"/>
        <v>-6.2800173248856563E-3</v>
      </c>
      <c r="N961" s="150"/>
      <c r="O961" s="154"/>
      <c r="P961" s="125"/>
      <c r="Q961" s="154"/>
      <c r="R961" s="125"/>
      <c r="S961" s="3"/>
      <c r="T961" s="150"/>
      <c r="U961" s="154"/>
      <c r="V961" s="125"/>
      <c r="W961" s="154"/>
      <c r="X961" s="125"/>
      <c r="Y961" s="3"/>
    </row>
    <row r="962" spans="8:25" x14ac:dyDescent="0.3">
      <c r="H962" s="160">
        <v>40850</v>
      </c>
      <c r="I962" s="159">
        <v>26.677178999999999</v>
      </c>
      <c r="J962" s="123">
        <f t="shared" si="128"/>
        <v>4.1376816063569709E-2</v>
      </c>
      <c r="K962" s="165">
        <v>1261.150024</v>
      </c>
      <c r="L962" s="124">
        <f t="shared" si="129"/>
        <v>1.8781807536341077E-2</v>
      </c>
      <c r="N962" s="150"/>
      <c r="O962" s="154"/>
      <c r="P962" s="125"/>
      <c r="Q962" s="154"/>
      <c r="R962" s="125"/>
      <c r="S962" s="3"/>
      <c r="T962" s="150"/>
      <c r="U962" s="154"/>
      <c r="V962" s="125"/>
      <c r="W962" s="154"/>
      <c r="X962" s="125"/>
      <c r="Y962" s="3"/>
    </row>
    <row r="963" spans="8:25" x14ac:dyDescent="0.3">
      <c r="H963" s="160">
        <v>40849</v>
      </c>
      <c r="I963" s="159">
        <v>25.61722</v>
      </c>
      <c r="J963" s="123">
        <f t="shared" si="128"/>
        <v>3.0566035656063612E-2</v>
      </c>
      <c r="K963" s="165">
        <v>1237.900024</v>
      </c>
      <c r="L963" s="124">
        <f t="shared" si="129"/>
        <v>1.6104667673248068E-2</v>
      </c>
      <c r="N963" s="150"/>
      <c r="O963" s="154"/>
      <c r="P963" s="125"/>
      <c r="Q963" s="154"/>
      <c r="R963" s="125"/>
      <c r="S963" s="3"/>
      <c r="T963" s="150"/>
      <c r="U963" s="154"/>
      <c r="V963" s="125"/>
      <c r="W963" s="154"/>
      <c r="X963" s="125"/>
      <c r="Y963" s="3"/>
    </row>
    <row r="964" spans="8:25" x14ac:dyDescent="0.3">
      <c r="H964" s="160">
        <v>40848</v>
      </c>
      <c r="I964" s="159">
        <v>24.857427000000001</v>
      </c>
      <c r="J964" s="123">
        <f t="shared" si="128"/>
        <v>-5.2552450704914152E-3</v>
      </c>
      <c r="K964" s="165">
        <v>1218.280029</v>
      </c>
      <c r="L964" s="124">
        <f t="shared" si="129"/>
        <v>-2.7942247371602818E-2</v>
      </c>
      <c r="N964" s="150"/>
      <c r="O964" s="154"/>
      <c r="P964" s="125"/>
      <c r="Q964" s="154"/>
      <c r="R964" s="125"/>
      <c r="S964" s="3"/>
      <c r="T964" s="150"/>
      <c r="U964" s="154"/>
      <c r="V964" s="125"/>
      <c r="W964" s="154"/>
      <c r="X964" s="125"/>
      <c r="Y964" s="3"/>
    </row>
    <row r="965" spans="8:25" x14ac:dyDescent="0.3">
      <c r="H965" s="160">
        <v>40847</v>
      </c>
      <c r="I965" s="159">
        <v>24.988748999999999</v>
      </c>
      <c r="J965" s="123">
        <f t="shared" si="128"/>
        <v>-2.417580023054659E-2</v>
      </c>
      <c r="K965" s="165">
        <v>1253.3000489999999</v>
      </c>
      <c r="L965" s="124">
        <f t="shared" si="129"/>
        <v>-2.4737503086223661E-2</v>
      </c>
      <c r="N965" s="150"/>
      <c r="O965" s="154"/>
      <c r="P965" s="125"/>
      <c r="Q965" s="154"/>
      <c r="R965" s="125"/>
      <c r="S965" s="3"/>
      <c r="T965" s="150"/>
      <c r="U965" s="154"/>
      <c r="V965" s="125"/>
      <c r="W965" s="154"/>
      <c r="X965" s="125"/>
      <c r="Y965" s="3"/>
    </row>
    <row r="966" spans="8:25" x14ac:dyDescent="0.3">
      <c r="H966" s="160">
        <v>40844</v>
      </c>
      <c r="I966" s="159">
        <v>25.607838999999998</v>
      </c>
      <c r="J966" s="123">
        <f t="shared" si="128"/>
        <v>-4.3764090467948956E-3</v>
      </c>
      <c r="K966" s="165">
        <v>1285.089966</v>
      </c>
      <c r="L966" s="124">
        <f t="shared" si="129"/>
        <v>3.8922925854458992E-4</v>
      </c>
      <c r="N966" s="150"/>
      <c r="O966" s="154"/>
      <c r="P966" s="125"/>
      <c r="Q966" s="154"/>
      <c r="R966" s="125"/>
      <c r="S966" s="3"/>
      <c r="T966" s="150"/>
      <c r="U966" s="154"/>
      <c r="V966" s="125"/>
      <c r="W966" s="154"/>
      <c r="X966" s="125"/>
      <c r="Y966" s="3"/>
    </row>
    <row r="967" spans="8:25" x14ac:dyDescent="0.3">
      <c r="H967" s="160">
        <v>40843</v>
      </c>
      <c r="I967" s="159">
        <v>25.720402</v>
      </c>
      <c r="J967" s="123">
        <f t="shared" si="128"/>
        <v>-1.7556435191250684E-2</v>
      </c>
      <c r="K967" s="165">
        <v>1284.589966</v>
      </c>
      <c r="L967" s="124">
        <f t="shared" si="129"/>
        <v>3.4291438003220612E-2</v>
      </c>
      <c r="N967" s="150"/>
      <c r="O967" s="154"/>
      <c r="P967" s="125"/>
      <c r="Q967" s="154"/>
      <c r="R967" s="125"/>
      <c r="S967" s="3"/>
      <c r="T967" s="150"/>
      <c r="U967" s="154"/>
      <c r="V967" s="125"/>
      <c r="W967" s="154"/>
      <c r="X967" s="125"/>
      <c r="Y967" s="3"/>
    </row>
    <row r="968" spans="8:25" x14ac:dyDescent="0.3">
      <c r="H968" s="160">
        <v>40842</v>
      </c>
      <c r="I968" s="159">
        <v>26.180029999999999</v>
      </c>
      <c r="J968" s="123">
        <f t="shared" si="128"/>
        <v>5.880121434411114E-2</v>
      </c>
      <c r="K968" s="165">
        <v>1242</v>
      </c>
      <c r="L968" s="124">
        <f t="shared" si="129"/>
        <v>1.0536553015507065E-2</v>
      </c>
      <c r="N968" s="150"/>
      <c r="O968" s="154"/>
      <c r="P968" s="125"/>
      <c r="Q968" s="154"/>
      <c r="R968" s="125"/>
      <c r="S968" s="3"/>
      <c r="T968" s="150"/>
      <c r="U968" s="154"/>
      <c r="V968" s="125"/>
      <c r="W968" s="154"/>
      <c r="X968" s="125"/>
      <c r="Y968" s="3"/>
    </row>
    <row r="969" spans="8:25" x14ac:dyDescent="0.3">
      <c r="H969" s="160">
        <v>40841</v>
      </c>
      <c r="I969" s="159">
        <v>24.726105</v>
      </c>
      <c r="J969" s="123">
        <f t="shared" si="128"/>
        <v>-3.2660537236132083E-2</v>
      </c>
      <c r="K969" s="165">
        <v>1229.0500489999999</v>
      </c>
      <c r="L969" s="124">
        <f t="shared" si="129"/>
        <v>-2.0044724629154194E-2</v>
      </c>
      <c r="N969" s="150"/>
      <c r="O969" s="154"/>
      <c r="P969" s="125"/>
      <c r="Q969" s="154"/>
      <c r="R969" s="125"/>
      <c r="S969" s="3"/>
      <c r="T969" s="150"/>
      <c r="U969" s="154"/>
      <c r="V969" s="125"/>
      <c r="W969" s="154"/>
      <c r="X969" s="125"/>
      <c r="Y969" s="3"/>
    </row>
    <row r="970" spans="8:25" x14ac:dyDescent="0.3">
      <c r="H970" s="160">
        <v>40840</v>
      </c>
      <c r="I970" s="159">
        <v>25.560939000000001</v>
      </c>
      <c r="J970" s="123">
        <f t="shared" ref="J970:J1033" si="130">(I970-I971)/I971</f>
        <v>4.9287655912629576E-2</v>
      </c>
      <c r="K970" s="165">
        <v>1254.1899410000001</v>
      </c>
      <c r="L970" s="124">
        <f t="shared" ref="L970:L1033" si="131">(K970-K971)/K971</f>
        <v>1.2872958610942935E-2</v>
      </c>
      <c r="N970" s="150"/>
      <c r="O970" s="154"/>
      <c r="P970" s="125"/>
      <c r="Q970" s="154"/>
      <c r="R970" s="125"/>
      <c r="S970" s="3"/>
      <c r="T970" s="150"/>
      <c r="U970" s="154"/>
      <c r="V970" s="125"/>
      <c r="W970" s="154"/>
      <c r="X970" s="125"/>
      <c r="Y970" s="3"/>
    </row>
    <row r="971" spans="8:25" x14ac:dyDescent="0.3">
      <c r="H971" s="160">
        <v>40837</v>
      </c>
      <c r="I971" s="159">
        <v>24.360278000000001</v>
      </c>
      <c r="J971" s="123">
        <f t="shared" si="130"/>
        <v>3.8520139996480482E-4</v>
      </c>
      <c r="K971" s="165">
        <v>1238.25</v>
      </c>
      <c r="L971" s="124">
        <f t="shared" si="131"/>
        <v>1.8808764855617194E-2</v>
      </c>
      <c r="N971" s="150"/>
      <c r="O971" s="154"/>
      <c r="P971" s="125"/>
      <c r="Q971" s="154"/>
      <c r="R971" s="125"/>
      <c r="S971" s="3"/>
      <c r="T971" s="150"/>
      <c r="U971" s="154"/>
      <c r="V971" s="125"/>
      <c r="W971" s="154"/>
      <c r="X971" s="125"/>
      <c r="Y971" s="3"/>
    </row>
    <row r="972" spans="8:25" x14ac:dyDescent="0.3">
      <c r="H972" s="160">
        <v>40836</v>
      </c>
      <c r="I972" s="159">
        <v>24.350898000000001</v>
      </c>
      <c r="J972" s="123">
        <f t="shared" si="130"/>
        <v>6.2193104034291832E-2</v>
      </c>
      <c r="K972" s="165">
        <v>1215.3900149999999</v>
      </c>
      <c r="L972" s="124">
        <f t="shared" si="131"/>
        <v>4.5541789080149036E-3</v>
      </c>
      <c r="N972" s="150"/>
      <c r="O972" s="154"/>
      <c r="P972" s="125"/>
      <c r="Q972" s="154"/>
      <c r="R972" s="125"/>
      <c r="S972" s="3"/>
      <c r="T972" s="150"/>
      <c r="U972" s="154"/>
      <c r="V972" s="125"/>
      <c r="W972" s="154"/>
      <c r="X972" s="125"/>
      <c r="Y972" s="3"/>
    </row>
    <row r="973" spans="8:25" x14ac:dyDescent="0.3">
      <c r="H973" s="160">
        <v>40835</v>
      </c>
      <c r="I973" s="159">
        <v>22.925114000000001</v>
      </c>
      <c r="J973" s="123">
        <f t="shared" si="130"/>
        <v>-9.2798837205391047E-2</v>
      </c>
      <c r="K973" s="165">
        <v>1209.880005</v>
      </c>
      <c r="L973" s="124">
        <f t="shared" si="131"/>
        <v>-1.2649137358822825E-2</v>
      </c>
      <c r="N973" s="150"/>
      <c r="O973" s="154"/>
      <c r="P973" s="125"/>
      <c r="Q973" s="154"/>
      <c r="R973" s="125"/>
      <c r="S973" s="3"/>
      <c r="T973" s="150"/>
      <c r="U973" s="154"/>
      <c r="V973" s="125"/>
      <c r="W973" s="154"/>
      <c r="X973" s="125"/>
      <c r="Y973" s="3"/>
    </row>
    <row r="974" spans="8:25" x14ac:dyDescent="0.3">
      <c r="H974" s="160">
        <v>40834</v>
      </c>
      <c r="I974" s="159">
        <v>25.270154999999999</v>
      </c>
      <c r="J974" s="123">
        <f t="shared" si="130"/>
        <v>2.6285750071183625E-2</v>
      </c>
      <c r="K974" s="165">
        <v>1225.380005</v>
      </c>
      <c r="L974" s="124">
        <f t="shared" si="131"/>
        <v>2.0418716841497497E-2</v>
      </c>
      <c r="N974" s="150"/>
      <c r="O974" s="154"/>
      <c r="P974" s="125"/>
      <c r="Q974" s="154"/>
      <c r="R974" s="125"/>
      <c r="S974" s="3"/>
      <c r="T974" s="150"/>
      <c r="U974" s="154"/>
      <c r="V974" s="125"/>
      <c r="W974" s="154"/>
      <c r="X974" s="125"/>
      <c r="Y974" s="3"/>
    </row>
    <row r="975" spans="8:25" x14ac:dyDescent="0.3">
      <c r="H975" s="160">
        <v>40833</v>
      </c>
      <c r="I975" s="159">
        <v>24.622923</v>
      </c>
      <c r="J975" s="123">
        <f t="shared" si="130"/>
        <v>-7.3747364753545E-2</v>
      </c>
      <c r="K975" s="165">
        <v>1200.8599850000001</v>
      </c>
      <c r="L975" s="124">
        <f t="shared" si="131"/>
        <v>-1.9369883431278361E-2</v>
      </c>
      <c r="N975" s="150"/>
      <c r="O975" s="154"/>
      <c r="P975" s="125"/>
      <c r="Q975" s="154"/>
      <c r="R975" s="125"/>
      <c r="S975" s="3"/>
      <c r="T975" s="150"/>
      <c r="U975" s="154"/>
      <c r="V975" s="125"/>
      <c r="W975" s="154"/>
      <c r="X975" s="125"/>
      <c r="Y975" s="3"/>
    </row>
    <row r="976" spans="8:25" x14ac:dyDescent="0.3">
      <c r="H976" s="160">
        <v>40830</v>
      </c>
      <c r="I976" s="159">
        <v>26.583376999999999</v>
      </c>
      <c r="J976" s="123">
        <f t="shared" si="130"/>
        <v>-1.1165381406958943E-2</v>
      </c>
      <c r="K976" s="165">
        <v>1224.579956</v>
      </c>
      <c r="L976" s="124">
        <f t="shared" si="131"/>
        <v>1.7380258053828548E-2</v>
      </c>
      <c r="N976" s="150"/>
      <c r="O976" s="154"/>
      <c r="P976" s="125"/>
      <c r="Q976" s="154"/>
      <c r="R976" s="125"/>
      <c r="S976" s="3"/>
      <c r="T976" s="150"/>
      <c r="U976" s="154"/>
      <c r="V976" s="125"/>
      <c r="W976" s="154"/>
      <c r="X976" s="125"/>
      <c r="Y976" s="3"/>
    </row>
    <row r="977" spans="8:25" x14ac:dyDescent="0.3">
      <c r="H977" s="160">
        <v>40829</v>
      </c>
      <c r="I977" s="159">
        <v>26.883541999999998</v>
      </c>
      <c r="J977" s="123">
        <f t="shared" si="130"/>
        <v>4.0290425678507512E-2</v>
      </c>
      <c r="K977" s="165">
        <v>1203.660034</v>
      </c>
      <c r="L977" s="124">
        <f t="shared" si="131"/>
        <v>-2.9736723959411918E-3</v>
      </c>
      <c r="N977" s="150"/>
      <c r="O977" s="154"/>
      <c r="P977" s="125"/>
      <c r="Q977" s="154"/>
      <c r="R977" s="125"/>
      <c r="S977" s="3"/>
      <c r="T977" s="150"/>
      <c r="U977" s="154"/>
      <c r="V977" s="125"/>
      <c r="W977" s="154"/>
      <c r="X977" s="125"/>
      <c r="Y977" s="3"/>
    </row>
    <row r="978" spans="8:25" x14ac:dyDescent="0.3">
      <c r="H978" s="160">
        <v>40828</v>
      </c>
      <c r="I978" s="159">
        <v>25.842343</v>
      </c>
      <c r="J978" s="123">
        <f t="shared" si="130"/>
        <v>-4.6052653193136041E-2</v>
      </c>
      <c r="K978" s="165">
        <v>1207.25</v>
      </c>
      <c r="L978" s="124">
        <f t="shared" si="131"/>
        <v>9.794704165487193E-3</v>
      </c>
      <c r="N978" s="150"/>
      <c r="O978" s="154"/>
      <c r="P978" s="125"/>
      <c r="Q978" s="154"/>
      <c r="R978" s="125"/>
      <c r="S978" s="3"/>
      <c r="T978" s="150"/>
      <c r="U978" s="154"/>
      <c r="V978" s="125"/>
      <c r="W978" s="154"/>
      <c r="X978" s="125"/>
      <c r="Y978" s="3"/>
    </row>
    <row r="979" spans="8:25" x14ac:dyDescent="0.3">
      <c r="H979" s="160">
        <v>40827</v>
      </c>
      <c r="I979" s="159">
        <v>27.089905000000002</v>
      </c>
      <c r="J979" s="123">
        <f t="shared" si="130"/>
        <v>3.4013593757574408E-2</v>
      </c>
      <c r="K979" s="165">
        <v>1195.540039</v>
      </c>
      <c r="L979" s="124">
        <f t="shared" si="131"/>
        <v>5.4400320685584641E-4</v>
      </c>
      <c r="N979" s="150"/>
      <c r="O979" s="154"/>
      <c r="P979" s="125"/>
      <c r="Q979" s="154"/>
      <c r="R979" s="125"/>
      <c r="S979" s="3"/>
      <c r="T979" s="150"/>
      <c r="U979" s="154"/>
      <c r="V979" s="125"/>
      <c r="W979" s="154"/>
      <c r="X979" s="125"/>
      <c r="Y979" s="3"/>
    </row>
    <row r="980" spans="8:25" x14ac:dyDescent="0.3">
      <c r="H980" s="160">
        <v>40826</v>
      </c>
      <c r="I980" s="159">
        <v>26.198789999999999</v>
      </c>
      <c r="J980" s="123">
        <f t="shared" si="130"/>
        <v>3.674829062188182E-2</v>
      </c>
      <c r="K980" s="165">
        <v>1194.8900149999999</v>
      </c>
      <c r="L980" s="124">
        <f t="shared" si="131"/>
        <v>3.4124985140874066E-2</v>
      </c>
      <c r="N980" s="150"/>
      <c r="O980" s="154"/>
      <c r="P980" s="125"/>
      <c r="Q980" s="154"/>
      <c r="R980" s="125"/>
      <c r="S980" s="3"/>
      <c r="T980" s="150"/>
      <c r="U980" s="154"/>
      <c r="V980" s="125"/>
      <c r="W980" s="154"/>
      <c r="X980" s="125"/>
      <c r="Y980" s="3"/>
    </row>
    <row r="981" spans="8:25" x14ac:dyDescent="0.3">
      <c r="H981" s="160">
        <v>40823</v>
      </c>
      <c r="I981" s="159">
        <v>25.270154999999999</v>
      </c>
      <c r="J981" s="123">
        <f t="shared" si="130"/>
        <v>-1.9650589629805804E-2</v>
      </c>
      <c r="K981" s="165">
        <v>1155.459961</v>
      </c>
      <c r="L981" s="124">
        <f t="shared" si="131"/>
        <v>-8.1633091296221625E-3</v>
      </c>
      <c r="N981" s="150"/>
      <c r="O981" s="154"/>
      <c r="P981" s="125"/>
      <c r="Q981" s="154"/>
      <c r="R981" s="125"/>
      <c r="S981" s="3"/>
      <c r="T981" s="150"/>
      <c r="U981" s="154"/>
      <c r="V981" s="125"/>
      <c r="W981" s="154"/>
      <c r="X981" s="125"/>
      <c r="Y981" s="3"/>
    </row>
    <row r="982" spans="8:25" x14ac:dyDescent="0.3">
      <c r="H982" s="160">
        <v>40822</v>
      </c>
      <c r="I982" s="159">
        <v>25.776682000000001</v>
      </c>
      <c r="J982" s="123">
        <f t="shared" si="130"/>
        <v>1.9665986735911155E-2</v>
      </c>
      <c r="K982" s="165">
        <v>1164.969971</v>
      </c>
      <c r="L982" s="124">
        <f t="shared" si="131"/>
        <v>1.8303664649697734E-2</v>
      </c>
      <c r="N982" s="150"/>
      <c r="O982" s="154"/>
      <c r="P982" s="125"/>
      <c r="Q982" s="154"/>
      <c r="R982" s="125"/>
      <c r="S982" s="3"/>
      <c r="T982" s="150"/>
      <c r="U982" s="154"/>
      <c r="V982" s="125"/>
      <c r="W982" s="154"/>
      <c r="X982" s="125"/>
      <c r="Y982" s="3"/>
    </row>
    <row r="983" spans="8:25" x14ac:dyDescent="0.3">
      <c r="H983" s="160">
        <v>40821</v>
      </c>
      <c r="I983" s="159">
        <v>25.279534999999999</v>
      </c>
      <c r="J983" s="123">
        <f t="shared" si="130"/>
        <v>6.1859806052443421E-2</v>
      </c>
      <c r="K983" s="165">
        <v>1144.030029</v>
      </c>
      <c r="L983" s="124">
        <f t="shared" si="131"/>
        <v>1.7865633591722056E-2</v>
      </c>
      <c r="N983" s="150"/>
      <c r="O983" s="154"/>
      <c r="P983" s="125"/>
      <c r="Q983" s="154"/>
      <c r="R983" s="125"/>
      <c r="S983" s="3"/>
      <c r="T983" s="150"/>
      <c r="U983" s="154"/>
      <c r="V983" s="125"/>
      <c r="W983" s="154"/>
      <c r="X983" s="125"/>
      <c r="Y983" s="3"/>
    </row>
    <row r="984" spans="8:25" x14ac:dyDescent="0.3">
      <c r="H984" s="160">
        <v>40820</v>
      </c>
      <c r="I984" s="159">
        <v>23.806847999999999</v>
      </c>
      <c r="J984" s="123">
        <f t="shared" si="130"/>
        <v>3.1707248263145894E-2</v>
      </c>
      <c r="K984" s="165">
        <v>1123.9499510000001</v>
      </c>
      <c r="L984" s="124">
        <f t="shared" si="131"/>
        <v>2.2488443228231444E-2</v>
      </c>
      <c r="N984" s="150"/>
      <c r="O984" s="154"/>
      <c r="P984" s="125"/>
      <c r="Q984" s="154"/>
      <c r="R984" s="125"/>
      <c r="S984" s="3"/>
      <c r="T984" s="150"/>
      <c r="U984" s="154"/>
      <c r="V984" s="125"/>
      <c r="W984" s="154"/>
      <c r="X984" s="125"/>
      <c r="Y984" s="3"/>
    </row>
    <row r="985" spans="8:25" x14ac:dyDescent="0.3">
      <c r="H985" s="160">
        <v>40819</v>
      </c>
      <c r="I985" s="159">
        <v>23.075196999999999</v>
      </c>
      <c r="J985" s="123">
        <f t="shared" si="130"/>
        <v>-4.3545836083849605E-2</v>
      </c>
      <c r="K985" s="165">
        <v>1099.2299800000001</v>
      </c>
      <c r="L985" s="124">
        <f t="shared" si="131"/>
        <v>-2.8451028573080409E-2</v>
      </c>
      <c r="N985" s="150"/>
      <c r="O985" s="154"/>
      <c r="P985" s="125"/>
      <c r="Q985" s="154"/>
      <c r="R985" s="125"/>
      <c r="S985" s="3"/>
      <c r="T985" s="150"/>
      <c r="U985" s="154"/>
      <c r="V985" s="125"/>
      <c r="W985" s="154"/>
      <c r="X985" s="125"/>
      <c r="Y985" s="3"/>
    </row>
    <row r="986" spans="8:25" x14ac:dyDescent="0.3">
      <c r="H986" s="160">
        <v>40816</v>
      </c>
      <c r="I986" s="159">
        <v>24.125774</v>
      </c>
      <c r="J986" s="123">
        <f t="shared" si="130"/>
        <v>-3.814512327713393E-2</v>
      </c>
      <c r="K986" s="165">
        <v>1131.420044</v>
      </c>
      <c r="L986" s="124">
        <f t="shared" si="131"/>
        <v>-2.4974129093951199E-2</v>
      </c>
      <c r="N986" s="150"/>
      <c r="O986" s="154"/>
      <c r="P986" s="125"/>
      <c r="Q986" s="154"/>
      <c r="R986" s="125"/>
      <c r="S986" s="3"/>
      <c r="T986" s="150"/>
      <c r="U986" s="154"/>
      <c r="V986" s="125"/>
      <c r="W986" s="154"/>
      <c r="X986" s="125"/>
      <c r="Y986" s="3"/>
    </row>
    <row r="987" spans="8:25" x14ac:dyDescent="0.3">
      <c r="H987" s="160">
        <v>40815</v>
      </c>
      <c r="I987" s="159">
        <v>25.082550999999999</v>
      </c>
      <c r="J987" s="123">
        <f t="shared" si="130"/>
        <v>-9.9963229919258368E-3</v>
      </c>
      <c r="K987" s="165">
        <v>1160.400024</v>
      </c>
      <c r="L987" s="124">
        <f t="shared" si="131"/>
        <v>8.1142290769035553E-3</v>
      </c>
      <c r="N987" s="150"/>
      <c r="O987" s="154"/>
      <c r="P987" s="125"/>
      <c r="Q987" s="154"/>
      <c r="R987" s="125"/>
      <c r="S987" s="3"/>
      <c r="T987" s="150"/>
      <c r="U987" s="154"/>
      <c r="V987" s="125"/>
      <c r="W987" s="154"/>
      <c r="X987" s="125"/>
      <c r="Y987" s="3"/>
    </row>
    <row r="988" spans="8:25" x14ac:dyDescent="0.3">
      <c r="H988" s="160">
        <v>40814</v>
      </c>
      <c r="I988" s="159">
        <v>25.335816000000001</v>
      </c>
      <c r="J988" s="123">
        <f t="shared" si="130"/>
        <v>-3.8447830387280696E-2</v>
      </c>
      <c r="K988" s="165">
        <v>1151.0600589999999</v>
      </c>
      <c r="L988" s="124">
        <f t="shared" si="131"/>
        <v>-2.0691134693924008E-2</v>
      </c>
      <c r="N988" s="150"/>
      <c r="O988" s="154"/>
      <c r="P988" s="125"/>
      <c r="Q988" s="154"/>
      <c r="R988" s="125"/>
      <c r="S988" s="3"/>
      <c r="T988" s="150"/>
      <c r="U988" s="154"/>
      <c r="V988" s="125"/>
      <c r="W988" s="154"/>
      <c r="X988" s="125"/>
      <c r="Y988" s="3"/>
    </row>
    <row r="989" spans="8:25" x14ac:dyDescent="0.3">
      <c r="H989" s="160">
        <v>40813</v>
      </c>
      <c r="I989" s="159">
        <v>26.348873000000001</v>
      </c>
      <c r="J989" s="123">
        <f t="shared" si="130"/>
        <v>1.0795217594773086E-2</v>
      </c>
      <c r="K989" s="165">
        <v>1175.380005</v>
      </c>
      <c r="L989" s="124">
        <f t="shared" si="131"/>
        <v>1.0688382581994645E-2</v>
      </c>
      <c r="N989" s="150"/>
      <c r="O989" s="154"/>
      <c r="P989" s="125"/>
      <c r="Q989" s="154"/>
      <c r="R989" s="125"/>
      <c r="S989" s="3"/>
      <c r="T989" s="150"/>
      <c r="U989" s="154"/>
      <c r="V989" s="125"/>
      <c r="W989" s="154"/>
      <c r="X989" s="125"/>
      <c r="Y989" s="3"/>
    </row>
    <row r="990" spans="8:25" x14ac:dyDescent="0.3">
      <c r="H990" s="160">
        <v>40812</v>
      </c>
      <c r="I990" s="159">
        <v>26.067468999999999</v>
      </c>
      <c r="J990" s="123">
        <f t="shared" si="130"/>
        <v>5.1059009488553041E-2</v>
      </c>
      <c r="K990" s="165">
        <v>1162.9499510000001</v>
      </c>
      <c r="L990" s="124">
        <f t="shared" si="131"/>
        <v>2.3336145420173947E-2</v>
      </c>
      <c r="N990" s="150"/>
      <c r="O990" s="154"/>
      <c r="P990" s="125"/>
      <c r="Q990" s="154"/>
      <c r="R990" s="125"/>
      <c r="S990" s="3"/>
      <c r="T990" s="150"/>
      <c r="U990" s="154"/>
      <c r="V990" s="125"/>
      <c r="W990" s="154"/>
      <c r="X990" s="125"/>
      <c r="Y990" s="3"/>
    </row>
    <row r="991" spans="8:25" x14ac:dyDescent="0.3">
      <c r="H991" s="160">
        <v>40809</v>
      </c>
      <c r="I991" s="159">
        <v>24.801147</v>
      </c>
      <c r="J991" s="123">
        <f t="shared" si="130"/>
        <v>1.8490036794536261E-2</v>
      </c>
      <c r="K991" s="165">
        <v>1136.4300539999999</v>
      </c>
      <c r="L991" s="124">
        <f t="shared" si="131"/>
        <v>6.0820094914492877E-3</v>
      </c>
      <c r="N991" s="150"/>
      <c r="O991" s="154"/>
      <c r="P991" s="125"/>
      <c r="Q991" s="154"/>
      <c r="R991" s="125"/>
      <c r="S991" s="3"/>
      <c r="T991" s="150"/>
      <c r="U991" s="154"/>
      <c r="V991" s="125"/>
      <c r="W991" s="154"/>
      <c r="X991" s="125"/>
      <c r="Y991" s="3"/>
    </row>
    <row r="992" spans="8:25" x14ac:dyDescent="0.3">
      <c r="H992" s="160">
        <v>40808</v>
      </c>
      <c r="I992" s="159">
        <v>24.350898000000001</v>
      </c>
      <c r="J992" s="123">
        <f t="shared" si="130"/>
        <v>-6.1121149654275876E-2</v>
      </c>
      <c r="K992" s="165">
        <v>1129.5600589999999</v>
      </c>
      <c r="L992" s="124">
        <f t="shared" si="131"/>
        <v>-3.1883121362721416E-2</v>
      </c>
      <c r="N992" s="150"/>
      <c r="O992" s="154"/>
      <c r="P992" s="125"/>
      <c r="Q992" s="154"/>
      <c r="R992" s="125"/>
      <c r="S992" s="3"/>
      <c r="T992" s="150"/>
      <c r="U992" s="154"/>
      <c r="V992" s="125"/>
      <c r="W992" s="154"/>
      <c r="X992" s="125"/>
      <c r="Y992" s="3"/>
    </row>
    <row r="993" spans="8:25" x14ac:dyDescent="0.3">
      <c r="H993" s="160">
        <v>40807</v>
      </c>
      <c r="I993" s="159">
        <v>25.936145</v>
      </c>
      <c r="J993" s="123">
        <f t="shared" si="130"/>
        <v>-2.3658200065831973E-2</v>
      </c>
      <c r="K993" s="165">
        <v>1166.76001</v>
      </c>
      <c r="L993" s="124">
        <f t="shared" si="131"/>
        <v>-2.9390442478745421E-2</v>
      </c>
      <c r="N993" s="150"/>
      <c r="O993" s="154"/>
      <c r="P993" s="125"/>
      <c r="Q993" s="154"/>
      <c r="R993" s="125"/>
      <c r="S993" s="3"/>
      <c r="T993" s="150"/>
      <c r="U993" s="154"/>
      <c r="V993" s="125"/>
      <c r="W993" s="154"/>
      <c r="X993" s="125"/>
      <c r="Y993" s="3"/>
    </row>
    <row r="994" spans="8:25" x14ac:dyDescent="0.3">
      <c r="H994" s="160">
        <v>40806</v>
      </c>
      <c r="I994" s="159">
        <v>26.564616000000001</v>
      </c>
      <c r="J994" s="123">
        <f t="shared" si="130"/>
        <v>-3.2456464828546555E-2</v>
      </c>
      <c r="K994" s="165">
        <v>1202.089966</v>
      </c>
      <c r="L994" s="124">
        <f t="shared" si="131"/>
        <v>-1.6610054534745621E-3</v>
      </c>
      <c r="N994" s="150"/>
      <c r="O994" s="154"/>
      <c r="P994" s="125"/>
      <c r="Q994" s="154"/>
      <c r="R994" s="125"/>
      <c r="S994" s="3"/>
      <c r="T994" s="150"/>
      <c r="U994" s="154"/>
      <c r="V994" s="125"/>
      <c r="W994" s="154"/>
      <c r="X994" s="125"/>
      <c r="Y994" s="3"/>
    </row>
    <row r="995" spans="8:25" x14ac:dyDescent="0.3">
      <c r="H995" s="160">
        <v>40805</v>
      </c>
      <c r="I995" s="159">
        <v>27.455732000000001</v>
      </c>
      <c r="J995" s="123">
        <f t="shared" si="130"/>
        <v>-2.6604558212565223E-2</v>
      </c>
      <c r="K995" s="165">
        <v>1204.089966</v>
      </c>
      <c r="L995" s="124">
        <f t="shared" si="131"/>
        <v>-9.8025870691639799E-3</v>
      </c>
      <c r="N995" s="150"/>
      <c r="O995" s="154"/>
      <c r="P995" s="125"/>
      <c r="Q995" s="154"/>
      <c r="R995" s="125"/>
      <c r="S995" s="3"/>
      <c r="T995" s="150"/>
      <c r="U995" s="154"/>
      <c r="V995" s="125"/>
      <c r="W995" s="154"/>
      <c r="X995" s="125"/>
      <c r="Y995" s="3"/>
    </row>
    <row r="996" spans="8:25" x14ac:dyDescent="0.3">
      <c r="H996" s="160">
        <v>40802</v>
      </c>
      <c r="I996" s="159">
        <v>28.206143999999998</v>
      </c>
      <c r="J996" s="123">
        <f t="shared" si="130"/>
        <v>3.3266228706232433E-4</v>
      </c>
      <c r="K996" s="165">
        <v>1216.01001</v>
      </c>
      <c r="L996" s="124">
        <f t="shared" si="131"/>
        <v>5.7066975590313344E-3</v>
      </c>
      <c r="N996" s="150"/>
      <c r="O996" s="154"/>
      <c r="P996" s="125"/>
      <c r="Q996" s="154"/>
      <c r="R996" s="125"/>
      <c r="S996" s="3"/>
      <c r="T996" s="150"/>
      <c r="U996" s="154"/>
      <c r="V996" s="125"/>
      <c r="W996" s="154"/>
      <c r="X996" s="125"/>
      <c r="Y996" s="3"/>
    </row>
    <row r="997" spans="8:25" x14ac:dyDescent="0.3">
      <c r="H997" s="160">
        <v>40801</v>
      </c>
      <c r="I997" s="159">
        <v>28.196764000000002</v>
      </c>
      <c r="J997" s="123">
        <f t="shared" si="130"/>
        <v>1.5540525671686999E-2</v>
      </c>
      <c r="K997" s="165">
        <v>1209.1099850000001</v>
      </c>
      <c r="L997" s="124">
        <f t="shared" si="131"/>
        <v>1.718707311631236E-2</v>
      </c>
      <c r="N997" s="150"/>
      <c r="O997" s="154"/>
      <c r="P997" s="125"/>
      <c r="Q997" s="154"/>
      <c r="R997" s="125"/>
      <c r="S997" s="3"/>
      <c r="T997" s="150"/>
      <c r="U997" s="154"/>
      <c r="V997" s="125"/>
      <c r="W997" s="154"/>
      <c r="X997" s="125"/>
      <c r="Y997" s="3"/>
    </row>
    <row r="998" spans="8:25" x14ac:dyDescent="0.3">
      <c r="H998" s="160">
        <v>40800</v>
      </c>
      <c r="I998" s="159">
        <v>27.765277000000001</v>
      </c>
      <c r="J998" s="123">
        <f t="shared" si="130"/>
        <v>1.6134585015178254E-2</v>
      </c>
      <c r="K998" s="165">
        <v>1188.6800539999999</v>
      </c>
      <c r="L998" s="124">
        <f t="shared" si="131"/>
        <v>1.3479805150953589E-2</v>
      </c>
      <c r="N998" s="150"/>
      <c r="O998" s="154"/>
      <c r="P998" s="125"/>
      <c r="Q998" s="154"/>
      <c r="R998" s="125"/>
      <c r="S998" s="3"/>
      <c r="T998" s="150"/>
      <c r="U998" s="154"/>
      <c r="V998" s="125"/>
      <c r="W998" s="154"/>
      <c r="X998" s="125"/>
      <c r="Y998" s="3"/>
    </row>
    <row r="999" spans="8:25" x14ac:dyDescent="0.3">
      <c r="H999" s="160">
        <v>40799</v>
      </c>
      <c r="I999" s="159">
        <v>27.324408999999999</v>
      </c>
      <c r="J999" s="123">
        <f t="shared" si="130"/>
        <v>9.3554591298056038E-3</v>
      </c>
      <c r="K999" s="165">
        <v>1172.869995</v>
      </c>
      <c r="L999" s="124">
        <f t="shared" si="131"/>
        <v>9.1200623070360927E-3</v>
      </c>
      <c r="N999" s="150"/>
      <c r="O999" s="154"/>
      <c r="P999" s="125"/>
      <c r="Q999" s="154"/>
      <c r="R999" s="125"/>
      <c r="S999" s="3"/>
      <c r="T999" s="150"/>
      <c r="U999" s="154"/>
      <c r="V999" s="125"/>
      <c r="W999" s="154"/>
      <c r="X999" s="125"/>
      <c r="Y999" s="3"/>
    </row>
    <row r="1000" spans="8:25" x14ac:dyDescent="0.3">
      <c r="H1000" s="160">
        <v>40798</v>
      </c>
      <c r="I1000" s="159">
        <v>27.071145999999999</v>
      </c>
      <c r="J1000" s="123">
        <f t="shared" si="130"/>
        <v>1.4054872318028199E-2</v>
      </c>
      <c r="K1000" s="165">
        <v>1162.2700199999999</v>
      </c>
      <c r="L1000" s="124">
        <f t="shared" si="131"/>
        <v>6.9657175253755423E-3</v>
      </c>
      <c r="N1000" s="150"/>
      <c r="O1000" s="154"/>
      <c r="P1000" s="125"/>
      <c r="Q1000" s="154"/>
      <c r="R1000" s="125"/>
      <c r="S1000" s="3"/>
      <c r="T1000" s="150"/>
      <c r="U1000" s="154"/>
      <c r="V1000" s="125"/>
      <c r="W1000" s="154"/>
      <c r="X1000" s="125"/>
      <c r="Y1000" s="3"/>
    </row>
    <row r="1001" spans="8:25" x14ac:dyDescent="0.3">
      <c r="H1001" s="160">
        <v>40795</v>
      </c>
      <c r="I1001" s="159">
        <v>26.695938000000002</v>
      </c>
      <c r="J1001" s="123">
        <f t="shared" si="130"/>
        <v>5.2984654325798873E-3</v>
      </c>
      <c r="K1001" s="165">
        <v>1154.2299800000001</v>
      </c>
      <c r="L1001" s="124">
        <f t="shared" si="131"/>
        <v>-2.6705492334149712E-2</v>
      </c>
      <c r="N1001" s="150"/>
      <c r="O1001" s="154"/>
      <c r="P1001" s="125"/>
      <c r="Q1001" s="154"/>
      <c r="R1001" s="125"/>
      <c r="S1001" s="3"/>
      <c r="T1001" s="150"/>
      <c r="U1001" s="154"/>
      <c r="V1001" s="125"/>
      <c r="W1001" s="154"/>
      <c r="X1001" s="125"/>
      <c r="Y1001" s="3"/>
    </row>
    <row r="1002" spans="8:25" x14ac:dyDescent="0.3">
      <c r="H1002" s="160">
        <v>40794</v>
      </c>
      <c r="I1002" s="159">
        <v>26.555236000000001</v>
      </c>
      <c r="J1002" s="123">
        <f t="shared" si="130"/>
        <v>-6.3180100612634385E-3</v>
      </c>
      <c r="K1002" s="165">
        <v>1185.900024</v>
      </c>
      <c r="L1002" s="124">
        <f t="shared" si="131"/>
        <v>-1.061217988441782E-2</v>
      </c>
      <c r="N1002" s="150"/>
      <c r="O1002" s="154"/>
      <c r="P1002" s="125"/>
      <c r="Q1002" s="154"/>
      <c r="R1002" s="125"/>
      <c r="S1002" s="3"/>
      <c r="T1002" s="150"/>
      <c r="U1002" s="154"/>
      <c r="V1002" s="125"/>
      <c r="W1002" s="154"/>
      <c r="X1002" s="125"/>
      <c r="Y1002" s="3"/>
    </row>
    <row r="1003" spans="8:25" x14ac:dyDescent="0.3">
      <c r="H1003" s="160">
        <v>40793</v>
      </c>
      <c r="I1003" s="159">
        <v>26.724079</v>
      </c>
      <c r="J1003" s="123">
        <f t="shared" si="130"/>
        <v>3.8265269154245544E-2</v>
      </c>
      <c r="K1003" s="165">
        <v>1198.619995</v>
      </c>
      <c r="L1003" s="124">
        <f t="shared" si="131"/>
        <v>2.8646463635358055E-2</v>
      </c>
      <c r="N1003" s="150"/>
      <c r="O1003" s="154"/>
      <c r="P1003" s="125"/>
      <c r="Q1003" s="154"/>
      <c r="R1003" s="125"/>
      <c r="S1003" s="3"/>
      <c r="T1003" s="150"/>
      <c r="U1003" s="154"/>
      <c r="V1003" s="125"/>
      <c r="W1003" s="154"/>
      <c r="X1003" s="125"/>
      <c r="Y1003" s="3"/>
    </row>
    <row r="1004" spans="8:25" x14ac:dyDescent="0.3">
      <c r="H1004" s="160">
        <v>40792</v>
      </c>
      <c r="I1004" s="159">
        <v>25.739163000000001</v>
      </c>
      <c r="J1004" s="123">
        <f t="shared" si="130"/>
        <v>0</v>
      </c>
      <c r="K1004" s="165">
        <v>1165.23999</v>
      </c>
      <c r="L1004" s="124">
        <f t="shared" si="131"/>
        <v>-7.4362898674177015E-3</v>
      </c>
      <c r="N1004" s="150"/>
      <c r="O1004" s="154"/>
      <c r="P1004" s="125"/>
      <c r="Q1004" s="154"/>
      <c r="R1004" s="125"/>
      <c r="S1004" s="3"/>
      <c r="T1004" s="150"/>
      <c r="U1004" s="154"/>
      <c r="V1004" s="125"/>
      <c r="W1004" s="154"/>
      <c r="X1004" s="125"/>
      <c r="Y1004" s="3"/>
    </row>
    <row r="1005" spans="8:25" x14ac:dyDescent="0.3">
      <c r="H1005" s="160">
        <v>40788</v>
      </c>
      <c r="I1005" s="159">
        <v>25.739163000000001</v>
      </c>
      <c r="J1005" s="123">
        <f t="shared" si="130"/>
        <v>-4.3902426884109252E-2</v>
      </c>
      <c r="K1005" s="165">
        <v>1173.969971</v>
      </c>
      <c r="L1005" s="124">
        <f t="shared" si="131"/>
        <v>-2.5281938100990269E-2</v>
      </c>
      <c r="N1005" s="150"/>
      <c r="O1005" s="154"/>
      <c r="P1005" s="125"/>
      <c r="Q1005" s="154"/>
      <c r="R1005" s="125"/>
      <c r="S1005" s="3"/>
      <c r="T1005" s="150"/>
      <c r="U1005" s="154"/>
      <c r="V1005" s="125"/>
      <c r="W1005" s="154"/>
      <c r="X1005" s="125"/>
      <c r="Y1005" s="3"/>
    </row>
    <row r="1006" spans="8:25" x14ac:dyDescent="0.3">
      <c r="H1006" s="160">
        <v>40787</v>
      </c>
      <c r="I1006" s="159">
        <v>26.921063</v>
      </c>
      <c r="J1006" s="123">
        <f t="shared" si="130"/>
        <v>-2.6788715749837478E-2</v>
      </c>
      <c r="K1006" s="165">
        <v>1204.420044</v>
      </c>
      <c r="L1006" s="124">
        <f t="shared" si="131"/>
        <v>-1.187143287903625E-2</v>
      </c>
      <c r="N1006" s="150"/>
      <c r="O1006" s="154"/>
      <c r="P1006" s="125"/>
      <c r="Q1006" s="154"/>
      <c r="R1006" s="125"/>
      <c r="S1006" s="3"/>
      <c r="T1006" s="150"/>
      <c r="U1006" s="154"/>
      <c r="V1006" s="125"/>
      <c r="W1006" s="154"/>
      <c r="X1006" s="125"/>
      <c r="Y1006" s="3"/>
    </row>
    <row r="1007" spans="8:25" x14ac:dyDescent="0.3">
      <c r="H1007" s="160">
        <v>40786</v>
      </c>
      <c r="I1007" s="159">
        <v>27.662095000000001</v>
      </c>
      <c r="J1007" s="123">
        <f t="shared" si="130"/>
        <v>-4.7249318066936797E-3</v>
      </c>
      <c r="K1007" s="165">
        <v>1218.8900149999999</v>
      </c>
      <c r="L1007" s="124">
        <f t="shared" si="131"/>
        <v>4.9219823099897484E-3</v>
      </c>
      <c r="N1007" s="150"/>
      <c r="O1007" s="154"/>
      <c r="P1007" s="125"/>
      <c r="Q1007" s="154"/>
      <c r="R1007" s="125"/>
      <c r="S1007" s="3"/>
      <c r="T1007" s="150"/>
      <c r="U1007" s="154"/>
      <c r="V1007" s="125"/>
      <c r="W1007" s="154"/>
      <c r="X1007" s="125"/>
      <c r="Y1007" s="3"/>
    </row>
    <row r="1008" spans="8:25" x14ac:dyDescent="0.3">
      <c r="H1008" s="160">
        <v>40785</v>
      </c>
      <c r="I1008" s="159">
        <v>27.793417000000002</v>
      </c>
      <c r="J1008" s="123">
        <f t="shared" si="130"/>
        <v>1.7863226108882288E-2</v>
      </c>
      <c r="K1008" s="165">
        <v>1212.920044</v>
      </c>
      <c r="L1008" s="124">
        <f t="shared" si="131"/>
        <v>2.3470250754239609E-3</v>
      </c>
      <c r="N1008" s="150"/>
      <c r="O1008" s="154"/>
      <c r="P1008" s="125"/>
      <c r="Q1008" s="154"/>
      <c r="R1008" s="125"/>
      <c r="S1008" s="3"/>
      <c r="T1008" s="150"/>
      <c r="U1008" s="154"/>
      <c r="V1008" s="125"/>
      <c r="W1008" s="154"/>
      <c r="X1008" s="125"/>
      <c r="Y1008" s="3"/>
    </row>
    <row r="1009" spans="8:25" x14ac:dyDescent="0.3">
      <c r="H1009" s="160">
        <v>40784</v>
      </c>
      <c r="I1009" s="159">
        <v>27.30565</v>
      </c>
      <c r="J1009" s="123">
        <f t="shared" si="130"/>
        <v>2.8985497961918551E-2</v>
      </c>
      <c r="K1009" s="165">
        <v>1210.079956</v>
      </c>
      <c r="L1009" s="124">
        <f t="shared" si="131"/>
        <v>2.8280001371753932E-2</v>
      </c>
      <c r="N1009" s="150"/>
      <c r="O1009" s="154"/>
      <c r="P1009" s="125"/>
      <c r="Q1009" s="154"/>
      <c r="R1009" s="125"/>
      <c r="S1009" s="3"/>
      <c r="T1009" s="150"/>
      <c r="U1009" s="154"/>
      <c r="V1009" s="125"/>
      <c r="W1009" s="154"/>
      <c r="X1009" s="125"/>
      <c r="Y1009" s="3"/>
    </row>
    <row r="1010" spans="8:25" x14ac:dyDescent="0.3">
      <c r="H1010" s="160">
        <v>40781</v>
      </c>
      <c r="I1010" s="159">
        <v>26.536477000000001</v>
      </c>
      <c r="J1010" s="123">
        <f t="shared" si="130"/>
        <v>2.4628758297834074E-2</v>
      </c>
      <c r="K1010" s="165">
        <v>1176.8000489999999</v>
      </c>
      <c r="L1010" s="124">
        <f t="shared" si="131"/>
        <v>1.5121609890334276E-2</v>
      </c>
      <c r="N1010" s="150"/>
      <c r="O1010" s="154"/>
      <c r="P1010" s="125"/>
      <c r="Q1010" s="154"/>
      <c r="R1010" s="125"/>
      <c r="S1010" s="3"/>
      <c r="T1010" s="150"/>
      <c r="U1010" s="154"/>
      <c r="V1010" s="125"/>
      <c r="W1010" s="154"/>
      <c r="X1010" s="125"/>
      <c r="Y1010" s="3"/>
    </row>
    <row r="1011" spans="8:25" x14ac:dyDescent="0.3">
      <c r="H1011" s="160">
        <v>40780</v>
      </c>
      <c r="I1011" s="159">
        <v>25.898626</v>
      </c>
      <c r="J1011" s="123">
        <f t="shared" si="130"/>
        <v>-1.0748803572799514E-2</v>
      </c>
      <c r="K1011" s="165">
        <v>1159.2700199999999</v>
      </c>
      <c r="L1011" s="124">
        <f t="shared" si="131"/>
        <v>-1.5565520018319056E-2</v>
      </c>
      <c r="N1011" s="150"/>
      <c r="O1011" s="154"/>
      <c r="P1011" s="125"/>
      <c r="Q1011" s="154"/>
      <c r="R1011" s="125"/>
      <c r="S1011" s="3"/>
      <c r="T1011" s="150"/>
      <c r="U1011" s="154"/>
      <c r="V1011" s="125"/>
      <c r="W1011" s="154"/>
      <c r="X1011" s="125"/>
      <c r="Y1011" s="3"/>
    </row>
    <row r="1012" spans="8:25" x14ac:dyDescent="0.3">
      <c r="H1012" s="160">
        <v>40779</v>
      </c>
      <c r="I1012" s="159">
        <v>26.180029999999999</v>
      </c>
      <c r="J1012" s="123">
        <f t="shared" si="130"/>
        <v>1.2332265474822636E-2</v>
      </c>
      <c r="K1012" s="165">
        <v>1177.599976</v>
      </c>
      <c r="L1012" s="124">
        <f t="shared" si="131"/>
        <v>1.3119972740464874E-2</v>
      </c>
      <c r="N1012" s="150"/>
      <c r="O1012" s="154"/>
      <c r="P1012" s="125"/>
      <c r="Q1012" s="154"/>
      <c r="R1012" s="125"/>
      <c r="S1012" s="3"/>
      <c r="T1012" s="150"/>
      <c r="U1012" s="154"/>
      <c r="V1012" s="125"/>
      <c r="W1012" s="154"/>
      <c r="X1012" s="125"/>
      <c r="Y1012" s="3"/>
    </row>
    <row r="1013" spans="8:25" x14ac:dyDescent="0.3">
      <c r="H1013" s="160">
        <v>40778</v>
      </c>
      <c r="I1013" s="159">
        <v>25.861104000000001</v>
      </c>
      <c r="J1013" s="123">
        <f t="shared" si="130"/>
        <v>3.9984908396160368E-2</v>
      </c>
      <c r="K1013" s="165">
        <v>1162.349976</v>
      </c>
      <c r="L1013" s="124">
        <f t="shared" si="131"/>
        <v>3.428487822906099E-2</v>
      </c>
      <c r="N1013" s="150"/>
      <c r="O1013" s="154"/>
      <c r="P1013" s="125"/>
      <c r="Q1013" s="154"/>
      <c r="R1013" s="125"/>
      <c r="S1013" s="3"/>
      <c r="T1013" s="150"/>
      <c r="U1013" s="154"/>
      <c r="V1013" s="125"/>
      <c r="W1013" s="154"/>
      <c r="X1013" s="125"/>
      <c r="Y1013" s="3"/>
    </row>
    <row r="1014" spans="8:25" x14ac:dyDescent="0.3">
      <c r="H1014" s="160">
        <v>40777</v>
      </c>
      <c r="I1014" s="159">
        <v>24.866807000000001</v>
      </c>
      <c r="J1014" s="123">
        <f t="shared" si="130"/>
        <v>3.7864603022523978E-3</v>
      </c>
      <c r="K1014" s="165">
        <v>1123.8199460000001</v>
      </c>
      <c r="L1014" s="124">
        <f t="shared" si="131"/>
        <v>2.580411671400547E-4</v>
      </c>
      <c r="N1014" s="150"/>
      <c r="O1014" s="154"/>
      <c r="P1014" s="125"/>
      <c r="Q1014" s="154"/>
      <c r="R1014" s="125"/>
      <c r="S1014" s="3"/>
      <c r="T1014" s="150"/>
      <c r="U1014" s="154"/>
      <c r="V1014" s="125"/>
      <c r="W1014" s="154"/>
      <c r="X1014" s="125"/>
      <c r="Y1014" s="3"/>
    </row>
    <row r="1015" spans="8:25" x14ac:dyDescent="0.3">
      <c r="H1015" s="160">
        <v>40774</v>
      </c>
      <c r="I1015" s="159">
        <v>24.773005000000001</v>
      </c>
      <c r="J1015" s="123">
        <f t="shared" si="130"/>
        <v>-5.1024080148973736E-2</v>
      </c>
      <c r="K1015" s="165">
        <v>1123.530029</v>
      </c>
      <c r="L1015" s="124">
        <f t="shared" si="131"/>
        <v>-1.5008981405150102E-2</v>
      </c>
      <c r="N1015" s="150"/>
      <c r="O1015" s="154"/>
      <c r="P1015" s="125"/>
      <c r="Q1015" s="154"/>
      <c r="R1015" s="125"/>
      <c r="S1015" s="3"/>
      <c r="T1015" s="150"/>
      <c r="U1015" s="154"/>
      <c r="V1015" s="125"/>
      <c r="W1015" s="154"/>
      <c r="X1015" s="125"/>
      <c r="Y1015" s="3"/>
    </row>
    <row r="1016" spans="8:25" x14ac:dyDescent="0.3">
      <c r="H1016" s="160">
        <v>40773</v>
      </c>
      <c r="I1016" s="159">
        <v>26.104987999999999</v>
      </c>
      <c r="J1016" s="123">
        <f t="shared" si="130"/>
        <v>-7.2333335572100907E-2</v>
      </c>
      <c r="K1016" s="165">
        <v>1140.650024</v>
      </c>
      <c r="L1016" s="124">
        <f t="shared" si="131"/>
        <v>-4.459371494115387E-2</v>
      </c>
      <c r="N1016" s="150"/>
      <c r="O1016" s="154"/>
      <c r="P1016" s="125"/>
      <c r="Q1016" s="154"/>
      <c r="R1016" s="125"/>
      <c r="S1016" s="3"/>
      <c r="T1016" s="150"/>
      <c r="U1016" s="154"/>
      <c r="V1016" s="125"/>
      <c r="W1016" s="154"/>
      <c r="X1016" s="125"/>
      <c r="Y1016" s="3"/>
    </row>
    <row r="1017" spans="8:25" x14ac:dyDescent="0.3">
      <c r="H1017" s="160">
        <v>40772</v>
      </c>
      <c r="I1017" s="159">
        <v>28.140483</v>
      </c>
      <c r="J1017" s="123">
        <f t="shared" si="130"/>
        <v>-3.4127492982613895E-2</v>
      </c>
      <c r="K1017" s="165">
        <v>1193.8900149999999</v>
      </c>
      <c r="L1017" s="124">
        <f t="shared" si="131"/>
        <v>9.473867253480294E-4</v>
      </c>
      <c r="N1017" s="150"/>
      <c r="O1017" s="154"/>
      <c r="P1017" s="125"/>
      <c r="Q1017" s="154"/>
      <c r="R1017" s="125"/>
      <c r="S1017" s="3"/>
      <c r="T1017" s="150"/>
      <c r="U1017" s="154"/>
      <c r="V1017" s="125"/>
      <c r="W1017" s="154"/>
      <c r="X1017" s="125"/>
      <c r="Y1017" s="3"/>
    </row>
    <row r="1018" spans="8:25" x14ac:dyDescent="0.3">
      <c r="H1018" s="160">
        <v>40771</v>
      </c>
      <c r="I1018" s="159">
        <v>29.134779999999999</v>
      </c>
      <c r="J1018" s="123">
        <f t="shared" si="130"/>
        <v>-1.3028294272028252E-2</v>
      </c>
      <c r="K1018" s="165">
        <v>1192.76001</v>
      </c>
      <c r="L1018" s="124">
        <f t="shared" si="131"/>
        <v>-9.7385450251853637E-3</v>
      </c>
      <c r="N1018" s="150"/>
      <c r="O1018" s="154"/>
      <c r="P1018" s="125"/>
      <c r="Q1018" s="154"/>
      <c r="R1018" s="125"/>
      <c r="S1018" s="3"/>
      <c r="T1018" s="150"/>
      <c r="U1018" s="154"/>
      <c r="V1018" s="125"/>
      <c r="W1018" s="154"/>
      <c r="X1018" s="125"/>
      <c r="Y1018" s="3"/>
    </row>
    <row r="1019" spans="8:25" x14ac:dyDescent="0.3">
      <c r="H1019" s="160">
        <v>40770</v>
      </c>
      <c r="I1019" s="159">
        <v>29.519366999999999</v>
      </c>
      <c r="J1019" s="123">
        <f t="shared" si="130"/>
        <v>2.5081418802834116E-2</v>
      </c>
      <c r="K1019" s="165">
        <v>1204.48999</v>
      </c>
      <c r="L1019" s="124">
        <f t="shared" si="131"/>
        <v>2.1784621537573871E-2</v>
      </c>
      <c r="N1019" s="150"/>
      <c r="O1019" s="154"/>
      <c r="P1019" s="125"/>
      <c r="Q1019" s="154"/>
      <c r="R1019" s="125"/>
      <c r="S1019" s="3"/>
      <c r="T1019" s="150"/>
      <c r="U1019" s="154"/>
      <c r="V1019" s="125"/>
      <c r="W1019" s="154"/>
      <c r="X1019" s="125"/>
      <c r="Y1019" s="3"/>
    </row>
    <row r="1020" spans="8:25" x14ac:dyDescent="0.3">
      <c r="H1020" s="160">
        <v>40767</v>
      </c>
      <c r="I1020" s="159">
        <v>28.797094999999999</v>
      </c>
      <c r="J1020" s="123">
        <f t="shared" si="130"/>
        <v>0</v>
      </c>
      <c r="K1020" s="165">
        <v>1178.8100589999999</v>
      </c>
      <c r="L1020" s="124">
        <f t="shared" si="131"/>
        <v>-0.11706233491217644</v>
      </c>
      <c r="N1020" s="150"/>
      <c r="O1020" s="154"/>
      <c r="P1020" s="125"/>
      <c r="Q1020" s="154"/>
      <c r="R1020" s="125"/>
      <c r="S1020" s="3"/>
      <c r="T1020" s="150"/>
      <c r="U1020" s="154"/>
      <c r="V1020" s="125"/>
      <c r="W1020" s="154"/>
      <c r="X1020" s="125"/>
      <c r="Y1020" s="3"/>
    </row>
    <row r="1021" spans="8:25" x14ac:dyDescent="0.3">
      <c r="H1021" s="158">
        <v>40767</v>
      </c>
      <c r="I1021" s="157">
        <v>28.797094999999999</v>
      </c>
      <c r="J1021" s="123">
        <f t="shared" si="130"/>
        <v>-0.37305745223598319</v>
      </c>
      <c r="K1021" s="93">
        <v>1335.09998</v>
      </c>
      <c r="L1021" s="124">
        <f t="shared" si="131"/>
        <v>-9.0698352681559437E-3</v>
      </c>
      <c r="N1021" s="150"/>
      <c r="O1021" s="154"/>
      <c r="P1021" s="125"/>
      <c r="Q1021" s="154"/>
      <c r="R1021" s="125"/>
      <c r="S1021" s="3"/>
      <c r="T1021" s="150"/>
      <c r="U1021" s="154"/>
      <c r="V1021" s="125"/>
      <c r="W1021" s="154"/>
      <c r="X1021" s="125"/>
      <c r="Y1021" s="3"/>
    </row>
    <row r="1022" spans="8:25" x14ac:dyDescent="0.3">
      <c r="H1022" s="102">
        <v>40667</v>
      </c>
      <c r="I1022" s="93">
        <v>45.932589999999998</v>
      </c>
      <c r="J1022" s="123">
        <f t="shared" si="130"/>
        <v>-4.2166111064020082E-3</v>
      </c>
      <c r="K1022" s="93">
        <v>1347.3199500000001</v>
      </c>
      <c r="L1022" s="124">
        <f t="shared" si="131"/>
        <v>-6.8553095192462367E-3</v>
      </c>
      <c r="N1022" s="150"/>
      <c r="O1022" s="154"/>
      <c r="P1022" s="125"/>
      <c r="Q1022" s="154"/>
      <c r="R1022" s="125"/>
      <c r="S1022" s="3"/>
      <c r="T1022" s="150"/>
      <c r="U1022" s="154"/>
      <c r="V1022" s="125"/>
      <c r="W1022" s="154"/>
      <c r="X1022" s="125"/>
      <c r="Y1022" s="3"/>
    </row>
    <row r="1023" spans="8:25" x14ac:dyDescent="0.3">
      <c r="H1023" s="102">
        <v>40666</v>
      </c>
      <c r="I1023" s="93">
        <v>46.127090000000003</v>
      </c>
      <c r="J1023" s="123">
        <f t="shared" si="130"/>
        <v>-2.5878053271972182E-2</v>
      </c>
      <c r="K1023" s="93">
        <v>1356.62</v>
      </c>
      <c r="L1023" s="124">
        <f t="shared" si="131"/>
        <v>-3.3792995264389281E-3</v>
      </c>
      <c r="N1023" s="150"/>
      <c r="O1023" s="154"/>
      <c r="P1023" s="125"/>
      <c r="Q1023" s="154"/>
      <c r="R1023" s="125"/>
      <c r="S1023" s="3"/>
      <c r="T1023" s="150"/>
      <c r="U1023" s="154"/>
      <c r="V1023" s="125"/>
      <c r="W1023" s="154"/>
      <c r="X1023" s="125"/>
      <c r="Y1023" s="3"/>
    </row>
    <row r="1024" spans="8:25" x14ac:dyDescent="0.3">
      <c r="H1024" s="102">
        <v>40665</v>
      </c>
      <c r="I1024" s="93">
        <v>47.35248</v>
      </c>
      <c r="J1024" s="123">
        <f t="shared" si="130"/>
        <v>-1.2973867584924579E-2</v>
      </c>
      <c r="K1024" s="93">
        <v>1361.2199700000001</v>
      </c>
      <c r="L1024" s="124">
        <f t="shared" si="131"/>
        <v>-1.7527152320142669E-3</v>
      </c>
      <c r="N1024" s="150"/>
      <c r="O1024" s="154"/>
      <c r="P1024" s="125"/>
      <c r="Q1024" s="154"/>
      <c r="R1024" s="125"/>
      <c r="S1024" s="3"/>
      <c r="T1024" s="150"/>
      <c r="U1024" s="154"/>
      <c r="V1024" s="125"/>
      <c r="W1024" s="154"/>
      <c r="X1024" s="125"/>
      <c r="Y1024" s="3"/>
    </row>
    <row r="1025" spans="8:25" x14ac:dyDescent="0.3">
      <c r="H1025" s="102">
        <v>40662</v>
      </c>
      <c r="I1025" s="93">
        <v>47.974899999999998</v>
      </c>
      <c r="J1025" s="123">
        <f t="shared" si="130"/>
        <v>-1.2147835093399748E-3</v>
      </c>
      <c r="K1025" s="93">
        <v>1363.6099899999999</v>
      </c>
      <c r="L1025" s="124">
        <f t="shared" si="131"/>
        <v>2.3006659752537162E-3</v>
      </c>
      <c r="N1025" s="150"/>
      <c r="O1025" s="154"/>
      <c r="P1025" s="125"/>
      <c r="Q1025" s="154"/>
      <c r="R1025" s="125"/>
      <c r="S1025" s="3"/>
      <c r="T1025" s="150"/>
      <c r="U1025" s="154"/>
      <c r="V1025" s="125"/>
      <c r="W1025" s="154"/>
      <c r="X1025" s="125"/>
      <c r="Y1025" s="3"/>
    </row>
    <row r="1026" spans="8:25" x14ac:dyDescent="0.3">
      <c r="H1026" s="102">
        <v>40661</v>
      </c>
      <c r="I1026" s="93">
        <v>48.033250000000002</v>
      </c>
      <c r="J1026" s="123">
        <f t="shared" si="130"/>
        <v>-2.3334087014373908E-2</v>
      </c>
      <c r="K1026" s="93">
        <v>1360.4799800000001</v>
      </c>
      <c r="L1026" s="124">
        <f t="shared" si="131"/>
        <v>3.5554267982659802E-3</v>
      </c>
      <c r="N1026" s="150"/>
      <c r="O1026" s="154"/>
      <c r="P1026" s="125"/>
      <c r="Q1026" s="154"/>
      <c r="R1026" s="125"/>
      <c r="S1026" s="3"/>
      <c r="T1026" s="150"/>
      <c r="U1026" s="154"/>
      <c r="V1026" s="125"/>
      <c r="W1026" s="154"/>
      <c r="X1026" s="125"/>
      <c r="Y1026" s="3"/>
    </row>
    <row r="1027" spans="8:25" x14ac:dyDescent="0.3">
      <c r="H1027" s="102">
        <v>40660</v>
      </c>
      <c r="I1027" s="93">
        <v>49.180840000000003</v>
      </c>
      <c r="J1027" s="123">
        <f t="shared" si="130"/>
        <v>4.1701547269513556E-3</v>
      </c>
      <c r="K1027" s="93">
        <v>1355.66003</v>
      </c>
      <c r="L1027" s="124">
        <f t="shared" si="131"/>
        <v>6.2498441721582001E-3</v>
      </c>
      <c r="N1027" s="150"/>
      <c r="O1027" s="154"/>
      <c r="P1027" s="125"/>
      <c r="Q1027" s="154"/>
      <c r="R1027" s="125"/>
      <c r="S1027" s="3"/>
      <c r="T1027" s="150"/>
      <c r="U1027" s="154"/>
      <c r="V1027" s="125"/>
      <c r="W1027" s="154"/>
      <c r="X1027" s="125"/>
      <c r="Y1027" s="3"/>
    </row>
    <row r="1028" spans="8:25" x14ac:dyDescent="0.3">
      <c r="H1028" s="102">
        <v>40659</v>
      </c>
      <c r="I1028" s="93">
        <v>48.976599999999998</v>
      </c>
      <c r="J1028" s="123">
        <f t="shared" si="130"/>
        <v>1.1651113533807517E-2</v>
      </c>
      <c r="K1028" s="93">
        <v>1347.23999</v>
      </c>
      <c r="L1028" s="124">
        <f t="shared" si="131"/>
        <v>8.9795843475004942E-3</v>
      </c>
      <c r="N1028" s="150"/>
      <c r="O1028" s="154"/>
      <c r="P1028" s="125"/>
      <c r="Q1028" s="154"/>
      <c r="R1028" s="125"/>
      <c r="S1028" s="3"/>
      <c r="T1028" s="150"/>
      <c r="U1028" s="154"/>
      <c r="V1028" s="125"/>
      <c r="W1028" s="154"/>
      <c r="X1028" s="125"/>
      <c r="Y1028" s="3"/>
    </row>
    <row r="1029" spans="8:25" x14ac:dyDescent="0.3">
      <c r="H1029" s="102">
        <v>40658</v>
      </c>
      <c r="I1029" s="93">
        <v>48.41254</v>
      </c>
      <c r="J1029" s="123">
        <f t="shared" si="130"/>
        <v>1.6125768823261666E-2</v>
      </c>
      <c r="K1029" s="93">
        <v>1335.25</v>
      </c>
      <c r="L1029" s="124">
        <f t="shared" si="131"/>
        <v>-1.592666257907333E-3</v>
      </c>
      <c r="N1029" s="150"/>
      <c r="O1029" s="154"/>
      <c r="P1029" s="125"/>
      <c r="Q1029" s="154"/>
      <c r="R1029" s="125"/>
      <c r="S1029" s="3"/>
      <c r="T1029" s="150"/>
      <c r="U1029" s="154"/>
      <c r="V1029" s="125"/>
      <c r="W1029" s="154"/>
      <c r="X1029" s="125"/>
      <c r="Y1029" s="3"/>
    </row>
    <row r="1030" spans="8:25" x14ac:dyDescent="0.3">
      <c r="H1030" s="102">
        <v>40654</v>
      </c>
      <c r="I1030" s="93">
        <v>47.644240000000003</v>
      </c>
      <c r="J1030" s="123">
        <f t="shared" si="130"/>
        <v>1.1145593493250245E-2</v>
      </c>
      <c r="K1030" s="93">
        <v>1337.38</v>
      </c>
      <c r="L1030" s="124">
        <f t="shared" si="131"/>
        <v>5.2767747472623437E-3</v>
      </c>
      <c r="N1030" s="150"/>
      <c r="O1030" s="154"/>
      <c r="P1030" s="125"/>
      <c r="Q1030" s="154"/>
      <c r="R1030" s="125"/>
      <c r="S1030" s="3"/>
      <c r="T1030" s="150"/>
      <c r="U1030" s="154"/>
      <c r="V1030" s="125"/>
      <c r="W1030" s="154"/>
      <c r="X1030" s="125"/>
      <c r="Y1030" s="3"/>
    </row>
    <row r="1031" spans="8:25" x14ac:dyDescent="0.3">
      <c r="H1031" s="102">
        <v>40653</v>
      </c>
      <c r="I1031" s="93">
        <v>47.119070000000001</v>
      </c>
      <c r="J1031" s="123">
        <f t="shared" si="130"/>
        <v>3.326943251512219E-2</v>
      </c>
      <c r="K1031" s="93">
        <v>1330.3599899999999</v>
      </c>
      <c r="L1031" s="124">
        <f t="shared" si="131"/>
        <v>1.3514947204827014E-2</v>
      </c>
      <c r="N1031" s="150"/>
      <c r="O1031" s="154"/>
      <c r="P1031" s="125"/>
      <c r="Q1031" s="154"/>
      <c r="R1031" s="125"/>
      <c r="S1031" s="3"/>
      <c r="T1031" s="150"/>
      <c r="U1031" s="154"/>
      <c r="V1031" s="125"/>
      <c r="W1031" s="154"/>
      <c r="X1031" s="125"/>
      <c r="Y1031" s="3"/>
    </row>
    <row r="1032" spans="8:25" x14ac:dyDescent="0.3">
      <c r="H1032" s="102">
        <v>40652</v>
      </c>
      <c r="I1032" s="93">
        <v>45.60192</v>
      </c>
      <c r="J1032" s="123">
        <f t="shared" si="130"/>
        <v>1.2524129698879959E-2</v>
      </c>
      <c r="K1032" s="93">
        <v>1312.62</v>
      </c>
      <c r="L1032" s="124">
        <f t="shared" si="131"/>
        <v>5.7311782204882492E-3</v>
      </c>
      <c r="N1032" s="150"/>
      <c r="O1032" s="154"/>
      <c r="P1032" s="125"/>
      <c r="Q1032" s="154"/>
      <c r="R1032" s="125"/>
      <c r="S1032" s="3"/>
      <c r="T1032" s="150"/>
      <c r="U1032" s="154"/>
      <c r="V1032" s="125"/>
      <c r="W1032" s="154"/>
      <c r="X1032" s="125"/>
      <c r="Y1032" s="3"/>
    </row>
    <row r="1033" spans="8:25" x14ac:dyDescent="0.3">
      <c r="H1033" s="102">
        <v>40651</v>
      </c>
      <c r="I1033" s="93">
        <v>45.037860000000002</v>
      </c>
      <c r="J1033" s="123">
        <f t="shared" si="130"/>
        <v>-1.0047049177985707E-2</v>
      </c>
      <c r="K1033" s="93">
        <v>1305.1400100000001</v>
      </c>
      <c r="L1033" s="124">
        <f t="shared" si="131"/>
        <v>-1.1017852395358909E-2</v>
      </c>
      <c r="N1033" s="150"/>
      <c r="O1033" s="154"/>
      <c r="P1033" s="125"/>
      <c r="Q1033" s="154"/>
      <c r="R1033" s="125"/>
      <c r="S1033" s="3"/>
      <c r="T1033" s="150"/>
      <c r="U1033" s="154"/>
      <c r="V1033" s="125"/>
      <c r="W1033" s="154"/>
      <c r="X1033" s="125"/>
      <c r="Y1033" s="3"/>
    </row>
    <row r="1034" spans="8:25" x14ac:dyDescent="0.3">
      <c r="H1034" s="102">
        <v>40648</v>
      </c>
      <c r="I1034" s="93">
        <v>45.494950000000003</v>
      </c>
      <c r="J1034" s="123">
        <f t="shared" ref="J1034:J1097" si="132">(I1034-I1035)/I1035</f>
        <v>2.1423997564635048E-3</v>
      </c>
      <c r="K1034" s="93">
        <v>1319.6800499999999</v>
      </c>
      <c r="L1034" s="124">
        <f t="shared" ref="L1034:L1097" si="133">(K1034-K1035)/K1035</f>
        <v>3.9254099758785008E-3</v>
      </c>
      <c r="N1034" s="150"/>
      <c r="O1034" s="154"/>
      <c r="P1034" s="125"/>
      <c r="Q1034" s="154"/>
      <c r="R1034" s="125"/>
      <c r="S1034" s="3"/>
      <c r="T1034" s="150"/>
      <c r="U1034" s="154"/>
      <c r="V1034" s="125"/>
      <c r="W1034" s="154"/>
      <c r="X1034" s="125"/>
      <c r="Y1034" s="3"/>
    </row>
    <row r="1035" spans="8:25" x14ac:dyDescent="0.3">
      <c r="H1035" s="102">
        <v>40647</v>
      </c>
      <c r="I1035" s="93">
        <v>45.397689999999997</v>
      </c>
      <c r="J1035" s="123">
        <f t="shared" si="132"/>
        <v>5.6008615824088672E-3</v>
      </c>
      <c r="K1035" s="93">
        <v>1314.5200199999999</v>
      </c>
      <c r="L1035" s="124">
        <f t="shared" si="133"/>
        <v>8.3680128338586406E-5</v>
      </c>
      <c r="N1035" s="150"/>
      <c r="O1035" s="154"/>
      <c r="P1035" s="125"/>
      <c r="Q1035" s="154"/>
      <c r="R1035" s="125"/>
      <c r="S1035" s="3"/>
      <c r="T1035" s="150"/>
      <c r="U1035" s="154"/>
      <c r="V1035" s="125"/>
      <c r="W1035" s="154"/>
      <c r="X1035" s="125"/>
      <c r="Y1035" s="3"/>
    </row>
    <row r="1036" spans="8:25" x14ac:dyDescent="0.3">
      <c r="H1036" s="102">
        <v>40646</v>
      </c>
      <c r="I1036" s="93">
        <v>45.144840000000002</v>
      </c>
      <c r="J1036" s="123">
        <f t="shared" si="132"/>
        <v>8.9111676771831214E-3</v>
      </c>
      <c r="K1036" s="93">
        <v>1314.41003</v>
      </c>
      <c r="L1036" s="124">
        <f t="shared" si="133"/>
        <v>1.9023558340912255E-4</v>
      </c>
      <c r="N1036" s="150"/>
      <c r="O1036" s="154"/>
      <c r="P1036" s="125"/>
      <c r="Q1036" s="154"/>
      <c r="R1036" s="125"/>
      <c r="S1036" s="3"/>
      <c r="T1036" s="150"/>
      <c r="U1036" s="154"/>
      <c r="V1036" s="125"/>
      <c r="W1036" s="154"/>
      <c r="X1036" s="125"/>
      <c r="Y1036" s="3"/>
    </row>
    <row r="1037" spans="8:25" x14ac:dyDescent="0.3">
      <c r="H1037" s="102">
        <v>40645</v>
      </c>
      <c r="I1037" s="93">
        <v>44.746099999999998</v>
      </c>
      <c r="J1037" s="123">
        <f t="shared" si="132"/>
        <v>-9.0458195141309775E-3</v>
      </c>
      <c r="K1037" s="93">
        <v>1314.16003</v>
      </c>
      <c r="L1037" s="124">
        <f t="shared" si="133"/>
        <v>-7.776701683001353E-3</v>
      </c>
      <c r="N1037" s="150"/>
      <c r="O1037" s="154"/>
      <c r="P1037" s="125"/>
      <c r="Q1037" s="154"/>
      <c r="R1037" s="125"/>
      <c r="S1037" s="3"/>
      <c r="T1037" s="150"/>
      <c r="U1037" s="154"/>
      <c r="V1037" s="125"/>
      <c r="W1037" s="154"/>
      <c r="X1037" s="125"/>
      <c r="Y1037" s="3"/>
    </row>
    <row r="1038" spans="8:25" x14ac:dyDescent="0.3">
      <c r="H1038" s="102">
        <v>40644</v>
      </c>
      <c r="I1038" s="93">
        <v>45.154559999999996</v>
      </c>
      <c r="J1038" s="123">
        <f t="shared" si="132"/>
        <v>-7.2696141735711459E-3</v>
      </c>
      <c r="K1038" s="93">
        <v>1324.4599599999999</v>
      </c>
      <c r="L1038" s="124">
        <f t="shared" si="133"/>
        <v>-2.7933772696755468E-3</v>
      </c>
      <c r="N1038" s="150"/>
      <c r="O1038" s="154"/>
      <c r="P1038" s="125"/>
      <c r="Q1038" s="154"/>
      <c r="R1038" s="125"/>
      <c r="S1038" s="3"/>
      <c r="T1038" s="150"/>
      <c r="U1038" s="154"/>
      <c r="V1038" s="125"/>
      <c r="W1038" s="154"/>
      <c r="X1038" s="125"/>
      <c r="Y1038" s="3"/>
    </row>
    <row r="1039" spans="8:25" x14ac:dyDescent="0.3">
      <c r="H1039" s="102">
        <v>40641</v>
      </c>
      <c r="I1039" s="93">
        <v>45.485219999999998</v>
      </c>
      <c r="J1039" s="123">
        <f t="shared" si="132"/>
        <v>-2.6841584012251684E-2</v>
      </c>
      <c r="K1039" s="93">
        <v>1328.17004</v>
      </c>
      <c r="L1039" s="124">
        <f t="shared" si="133"/>
        <v>-4.0044468807549439E-3</v>
      </c>
      <c r="N1039" s="150"/>
      <c r="O1039" s="154"/>
      <c r="P1039" s="125"/>
      <c r="Q1039" s="154"/>
      <c r="R1039" s="125"/>
      <c r="S1039" s="3"/>
      <c r="T1039" s="150"/>
      <c r="U1039" s="154"/>
      <c r="V1039" s="125"/>
      <c r="W1039" s="154"/>
      <c r="X1039" s="125"/>
      <c r="Y1039" s="3"/>
    </row>
    <row r="1040" spans="8:25" x14ac:dyDescent="0.3">
      <c r="H1040" s="102">
        <v>40640</v>
      </c>
      <c r="I1040" s="93">
        <v>46.739789999999999</v>
      </c>
      <c r="J1040" s="123">
        <f t="shared" si="132"/>
        <v>1.0725545911019402E-2</v>
      </c>
      <c r="K1040" s="93">
        <v>1333.51001</v>
      </c>
      <c r="L1040" s="124">
        <f t="shared" si="133"/>
        <v>-1.5200068430745995E-3</v>
      </c>
      <c r="N1040" s="150"/>
      <c r="O1040" s="154"/>
      <c r="P1040" s="125"/>
      <c r="Q1040" s="154"/>
      <c r="R1040" s="125"/>
      <c r="S1040" s="3"/>
      <c r="T1040" s="150"/>
      <c r="U1040" s="154"/>
      <c r="V1040" s="125"/>
      <c r="W1040" s="154"/>
      <c r="X1040" s="125"/>
      <c r="Y1040" s="3"/>
    </row>
    <row r="1041" spans="8:25" x14ac:dyDescent="0.3">
      <c r="H1041" s="102">
        <v>40639</v>
      </c>
      <c r="I1041" s="93">
        <v>46.2438</v>
      </c>
      <c r="J1041" s="123">
        <f t="shared" si="132"/>
        <v>-1.8890029466028127E-3</v>
      </c>
      <c r="K1041" s="93">
        <v>1335.5400400000001</v>
      </c>
      <c r="L1041" s="124">
        <f t="shared" si="133"/>
        <v>2.1836818921981199E-3</v>
      </c>
      <c r="N1041" s="150"/>
      <c r="O1041" s="154"/>
      <c r="P1041" s="125"/>
      <c r="Q1041" s="154"/>
      <c r="R1041" s="125"/>
      <c r="S1041" s="3"/>
      <c r="T1041" s="150"/>
      <c r="U1041" s="154"/>
      <c r="V1041" s="125"/>
      <c r="W1041" s="154"/>
      <c r="X1041" s="125"/>
      <c r="Y1041" s="3"/>
    </row>
    <row r="1042" spans="8:25" x14ac:dyDescent="0.3">
      <c r="H1042" s="102">
        <v>40638</v>
      </c>
      <c r="I1042" s="93">
        <v>46.331319999999998</v>
      </c>
      <c r="J1042" s="123">
        <f t="shared" si="132"/>
        <v>2.231757402765093E-2</v>
      </c>
      <c r="K1042" s="93">
        <v>1332.63</v>
      </c>
      <c r="L1042" s="124">
        <f t="shared" si="133"/>
        <v>-1.8006257174351718E-4</v>
      </c>
      <c r="N1042" s="150"/>
      <c r="O1042" s="154"/>
      <c r="P1042" s="125"/>
      <c r="Q1042" s="154"/>
      <c r="R1042" s="125"/>
      <c r="S1042" s="3"/>
      <c r="T1042" s="150"/>
      <c r="U1042" s="154"/>
      <c r="V1042" s="125"/>
      <c r="W1042" s="154"/>
      <c r="X1042" s="125"/>
      <c r="Y1042" s="3"/>
    </row>
    <row r="1043" spans="8:25" x14ac:dyDescent="0.3">
      <c r="H1043" s="102">
        <v>40637</v>
      </c>
      <c r="I1043" s="93">
        <v>45.319890000000001</v>
      </c>
      <c r="J1043" s="123">
        <f t="shared" si="132"/>
        <v>2.3950837587943741E-2</v>
      </c>
      <c r="K1043" s="93">
        <v>1332.87</v>
      </c>
      <c r="L1043" s="124">
        <f t="shared" si="133"/>
        <v>3.452165546966685E-4</v>
      </c>
      <c r="N1043" s="150"/>
      <c r="O1043" s="154"/>
      <c r="P1043" s="125"/>
      <c r="Q1043" s="154"/>
      <c r="R1043" s="125"/>
      <c r="S1043" s="3"/>
      <c r="T1043" s="150"/>
      <c r="U1043" s="154"/>
      <c r="V1043" s="125"/>
      <c r="W1043" s="154"/>
      <c r="X1043" s="125"/>
      <c r="Y1043" s="3"/>
    </row>
    <row r="1044" spans="8:25" x14ac:dyDescent="0.3">
      <c r="H1044" s="102">
        <v>40634</v>
      </c>
      <c r="I1044" s="93">
        <v>44.259830000000001</v>
      </c>
      <c r="J1044" s="123">
        <f t="shared" si="132"/>
        <v>-1.2584134803084982E-2</v>
      </c>
      <c r="K1044" s="93">
        <v>1332.41003</v>
      </c>
      <c r="L1044" s="124">
        <f t="shared" si="133"/>
        <v>4.9629818291328839E-3</v>
      </c>
      <c r="N1044" s="150"/>
      <c r="O1044" s="154"/>
      <c r="P1044" s="125"/>
      <c r="Q1044" s="154"/>
      <c r="R1044" s="125"/>
      <c r="S1044" s="3"/>
      <c r="T1044" s="150"/>
      <c r="U1044" s="154"/>
      <c r="V1044" s="125"/>
      <c r="W1044" s="154"/>
      <c r="X1044" s="125"/>
      <c r="Y1044" s="3"/>
    </row>
    <row r="1045" spans="8:25" x14ac:dyDescent="0.3">
      <c r="H1045" s="102">
        <v>40633</v>
      </c>
      <c r="I1045" s="93">
        <v>44.823900000000002</v>
      </c>
      <c r="J1045" s="123">
        <f t="shared" si="132"/>
        <v>1.4974668599524834E-2</v>
      </c>
      <c r="K1045" s="93">
        <v>1325.82996</v>
      </c>
      <c r="L1045" s="124">
        <f t="shared" si="133"/>
        <v>-1.8294987289423383E-3</v>
      </c>
      <c r="N1045" s="150"/>
      <c r="O1045" s="154"/>
      <c r="P1045" s="125"/>
      <c r="Q1045" s="154"/>
      <c r="R1045" s="125"/>
      <c r="S1045" s="3"/>
      <c r="T1045" s="150"/>
      <c r="U1045" s="154"/>
      <c r="V1045" s="125"/>
      <c r="W1045" s="154"/>
      <c r="X1045" s="125"/>
      <c r="Y1045" s="3"/>
    </row>
    <row r="1046" spans="8:25" x14ac:dyDescent="0.3">
      <c r="H1046" s="102">
        <v>40632</v>
      </c>
      <c r="I1046" s="93">
        <v>44.162579999999998</v>
      </c>
      <c r="J1046" s="123">
        <f t="shared" si="132"/>
        <v>-9.8125076513075893E-3</v>
      </c>
      <c r="K1046" s="93">
        <v>1328.26001</v>
      </c>
      <c r="L1046" s="124">
        <f t="shared" si="133"/>
        <v>6.6847074524665267E-3</v>
      </c>
      <c r="N1046" s="150"/>
      <c r="O1046" s="154"/>
      <c r="P1046" s="125"/>
      <c r="Q1046" s="154"/>
      <c r="R1046" s="125"/>
      <c r="S1046" s="3"/>
      <c r="T1046" s="150"/>
      <c r="U1046" s="154"/>
      <c r="V1046" s="125"/>
      <c r="W1046" s="154"/>
      <c r="X1046" s="125"/>
      <c r="Y1046" s="3"/>
    </row>
    <row r="1047" spans="8:25" x14ac:dyDescent="0.3">
      <c r="H1047" s="102">
        <v>40631</v>
      </c>
      <c r="I1047" s="93">
        <v>44.60022</v>
      </c>
      <c r="J1047" s="123">
        <f t="shared" si="132"/>
        <v>1.2585513105879674E-2</v>
      </c>
      <c r="K1047" s="93">
        <v>1319.43994</v>
      </c>
      <c r="L1047" s="124">
        <f t="shared" si="133"/>
        <v>7.0600450496513508E-3</v>
      </c>
      <c r="N1047" s="150"/>
      <c r="O1047" s="154"/>
      <c r="P1047" s="125"/>
      <c r="Q1047" s="154"/>
      <c r="R1047" s="125"/>
      <c r="S1047" s="3"/>
      <c r="T1047" s="150"/>
      <c r="U1047" s="154"/>
      <c r="V1047" s="125"/>
      <c r="W1047" s="154"/>
      <c r="X1047" s="125"/>
      <c r="Y1047" s="3"/>
    </row>
    <row r="1048" spans="8:25" x14ac:dyDescent="0.3">
      <c r="H1048" s="102">
        <v>40630</v>
      </c>
      <c r="I1048" s="93">
        <v>44.045879999999997</v>
      </c>
      <c r="J1048" s="123">
        <f t="shared" si="132"/>
        <v>6.2208771183158559E-3</v>
      </c>
      <c r="K1048" s="93">
        <v>1310.18994</v>
      </c>
      <c r="L1048" s="124">
        <f t="shared" si="133"/>
        <v>-2.7478382269814018E-3</v>
      </c>
      <c r="N1048" s="150"/>
      <c r="O1048" s="154"/>
      <c r="P1048" s="125"/>
      <c r="Q1048" s="154"/>
      <c r="R1048" s="125"/>
      <c r="S1048" s="3"/>
      <c r="T1048" s="150"/>
      <c r="U1048" s="154"/>
      <c r="V1048" s="125"/>
      <c r="W1048" s="154"/>
      <c r="X1048" s="125"/>
      <c r="Y1048" s="3"/>
    </row>
    <row r="1049" spans="8:25" x14ac:dyDescent="0.3">
      <c r="H1049" s="102">
        <v>40627</v>
      </c>
      <c r="I1049" s="93">
        <v>43.773569999999999</v>
      </c>
      <c r="J1049" s="123">
        <f t="shared" si="132"/>
        <v>7.160448719305686E-3</v>
      </c>
      <c r="K1049" s="93">
        <v>1313.8000500000001</v>
      </c>
      <c r="L1049" s="124">
        <f t="shared" si="133"/>
        <v>3.1611409871003314E-3</v>
      </c>
      <c r="N1049" s="150"/>
      <c r="O1049" s="154"/>
      <c r="P1049" s="125"/>
      <c r="Q1049" s="154"/>
      <c r="R1049" s="125"/>
      <c r="S1049" s="3"/>
      <c r="T1049" s="150"/>
      <c r="U1049" s="154"/>
      <c r="V1049" s="125"/>
      <c r="W1049" s="154"/>
      <c r="X1049" s="125"/>
      <c r="Y1049" s="3"/>
    </row>
    <row r="1050" spans="8:25" x14ac:dyDescent="0.3">
      <c r="H1050" s="102">
        <v>40626</v>
      </c>
      <c r="I1050" s="93">
        <v>43.462359999999997</v>
      </c>
      <c r="J1050" s="123">
        <f t="shared" si="132"/>
        <v>2.8301844383744282E-2</v>
      </c>
      <c r="K1050" s="93">
        <v>1309.66003</v>
      </c>
      <c r="L1050" s="124">
        <f t="shared" si="133"/>
        <v>9.3407445060423068E-3</v>
      </c>
      <c r="N1050" s="150"/>
      <c r="O1050" s="154"/>
      <c r="P1050" s="125"/>
      <c r="Q1050" s="154"/>
      <c r="R1050" s="125"/>
      <c r="S1050" s="3"/>
      <c r="T1050" s="150"/>
      <c r="U1050" s="154"/>
      <c r="V1050" s="125"/>
      <c r="W1050" s="154"/>
      <c r="X1050" s="125"/>
      <c r="Y1050" s="3"/>
    </row>
    <row r="1051" spans="8:25" x14ac:dyDescent="0.3">
      <c r="H1051" s="102">
        <v>40625</v>
      </c>
      <c r="I1051" s="93">
        <v>42.266150000000003</v>
      </c>
      <c r="J1051" s="123">
        <f t="shared" si="132"/>
        <v>-6.89910682810529E-4</v>
      </c>
      <c r="K1051" s="93">
        <v>1297.5400400000001</v>
      </c>
      <c r="L1051" s="124">
        <f t="shared" si="133"/>
        <v>2.9139800286917756E-3</v>
      </c>
      <c r="N1051" s="150"/>
      <c r="O1051" s="154"/>
      <c r="P1051" s="125"/>
      <c r="Q1051" s="154"/>
      <c r="R1051" s="125"/>
      <c r="S1051" s="3"/>
      <c r="T1051" s="150"/>
      <c r="U1051" s="154"/>
      <c r="V1051" s="125"/>
      <c r="W1051" s="154"/>
      <c r="X1051" s="125"/>
      <c r="Y1051" s="3"/>
    </row>
    <row r="1052" spans="8:25" x14ac:dyDescent="0.3">
      <c r="H1052" s="102">
        <v>40624</v>
      </c>
      <c r="I1052" s="93">
        <v>42.29533</v>
      </c>
      <c r="J1052" s="123">
        <f t="shared" si="132"/>
        <v>-1.4725768837529902E-2</v>
      </c>
      <c r="K1052" s="93">
        <v>1293.7700199999999</v>
      </c>
      <c r="L1052" s="124">
        <f t="shared" si="133"/>
        <v>-3.5505630092886346E-3</v>
      </c>
      <c r="N1052" s="150"/>
      <c r="O1052" s="154"/>
      <c r="P1052" s="125"/>
      <c r="Q1052" s="154"/>
      <c r="R1052" s="125"/>
      <c r="S1052" s="3"/>
      <c r="T1052" s="150"/>
      <c r="U1052" s="154"/>
      <c r="V1052" s="125"/>
      <c r="W1052" s="154"/>
      <c r="X1052" s="125"/>
      <c r="Y1052" s="3"/>
    </row>
    <row r="1053" spans="8:25" x14ac:dyDescent="0.3">
      <c r="H1053" s="102">
        <v>40623</v>
      </c>
      <c r="I1053" s="93">
        <v>42.92747</v>
      </c>
      <c r="J1053" s="123">
        <f t="shared" si="132"/>
        <v>1.9164169650384522E-2</v>
      </c>
      <c r="K1053" s="93">
        <v>1298.3800000000001</v>
      </c>
      <c r="L1053" s="124">
        <f t="shared" si="133"/>
        <v>1.4985843293465445E-2</v>
      </c>
      <c r="N1053" s="150"/>
      <c r="O1053" s="154"/>
      <c r="P1053" s="125"/>
      <c r="Q1053" s="154"/>
      <c r="R1053" s="125"/>
      <c r="S1053" s="3"/>
      <c r="T1053" s="150"/>
      <c r="U1053" s="154"/>
      <c r="V1053" s="125"/>
      <c r="W1053" s="154"/>
      <c r="X1053" s="125"/>
      <c r="Y1053" s="3"/>
    </row>
    <row r="1054" spans="8:25" x14ac:dyDescent="0.3">
      <c r="H1054" s="102">
        <v>40620</v>
      </c>
      <c r="I1054" s="93">
        <v>42.120269999999998</v>
      </c>
      <c r="J1054" s="123">
        <f t="shared" si="132"/>
        <v>6.2731603201227736E-3</v>
      </c>
      <c r="K1054" s="93">
        <v>1279.2099599999999</v>
      </c>
      <c r="L1054" s="124">
        <f t="shared" si="133"/>
        <v>4.3102017156877951E-3</v>
      </c>
      <c r="N1054" s="150"/>
      <c r="O1054" s="154"/>
      <c r="P1054" s="125"/>
      <c r="Q1054" s="154"/>
      <c r="R1054" s="125"/>
      <c r="S1054" s="3"/>
      <c r="T1054" s="150"/>
      <c r="U1054" s="154"/>
      <c r="V1054" s="125"/>
      <c r="W1054" s="154"/>
      <c r="X1054" s="125"/>
      <c r="Y1054" s="3"/>
    </row>
    <row r="1055" spans="8:25" x14ac:dyDescent="0.3">
      <c r="H1055" s="102">
        <v>40619</v>
      </c>
      <c r="I1055" s="93">
        <v>41.857689999999998</v>
      </c>
      <c r="J1055" s="123">
        <f t="shared" si="132"/>
        <v>2.2570844910975711E-2</v>
      </c>
      <c r="K1055" s="93">
        <v>1273.7199700000001</v>
      </c>
      <c r="L1055" s="124">
        <f t="shared" si="133"/>
        <v>1.3398232130354522E-2</v>
      </c>
      <c r="N1055" s="150"/>
      <c r="O1055" s="154"/>
      <c r="P1055" s="125"/>
      <c r="Q1055" s="154"/>
      <c r="R1055" s="125"/>
      <c r="S1055" s="3"/>
      <c r="T1055" s="150"/>
      <c r="U1055" s="154"/>
      <c r="V1055" s="125"/>
      <c r="W1055" s="154"/>
      <c r="X1055" s="125"/>
      <c r="Y1055" s="3"/>
    </row>
    <row r="1056" spans="8:25" x14ac:dyDescent="0.3">
      <c r="H1056" s="102">
        <v>40618</v>
      </c>
      <c r="I1056" s="93">
        <v>40.933779999999999</v>
      </c>
      <c r="J1056" s="123">
        <f t="shared" si="132"/>
        <v>-3.7282853010923885E-2</v>
      </c>
      <c r="K1056" s="93">
        <v>1256.8800000000001</v>
      </c>
      <c r="L1056" s="124">
        <f t="shared" si="133"/>
        <v>-1.9494956586861213E-2</v>
      </c>
      <c r="N1056" s="150"/>
      <c r="O1056" s="154"/>
      <c r="P1056" s="125"/>
      <c r="Q1056" s="154"/>
      <c r="R1056" s="125"/>
      <c r="S1056" s="3"/>
      <c r="T1056" s="150"/>
      <c r="U1056" s="154"/>
      <c r="V1056" s="125"/>
      <c r="W1056" s="154"/>
      <c r="X1056" s="125"/>
      <c r="Y1056" s="3"/>
    </row>
    <row r="1057" spans="8:25" x14ac:dyDescent="0.3">
      <c r="H1057" s="102">
        <v>40617</v>
      </c>
      <c r="I1057" s="93">
        <v>42.519010000000002</v>
      </c>
      <c r="J1057" s="123">
        <f t="shared" si="132"/>
        <v>-2.4542548669050035E-2</v>
      </c>
      <c r="K1057" s="93">
        <v>1281.8699999999999</v>
      </c>
      <c r="L1057" s="124">
        <f t="shared" si="133"/>
        <v>-1.1200340860386746E-2</v>
      </c>
      <c r="N1057" s="150"/>
      <c r="O1057" s="154"/>
      <c r="P1057" s="125"/>
      <c r="Q1057" s="154"/>
      <c r="R1057" s="125"/>
      <c r="S1057" s="3"/>
      <c r="T1057" s="150"/>
      <c r="U1057" s="154"/>
      <c r="V1057" s="125"/>
      <c r="W1057" s="154"/>
      <c r="X1057" s="125"/>
      <c r="Y1057" s="3"/>
    </row>
    <row r="1058" spans="8:25" x14ac:dyDescent="0.3">
      <c r="H1058" s="102">
        <v>40616</v>
      </c>
      <c r="I1058" s="93">
        <v>43.588790000000003</v>
      </c>
      <c r="J1058" s="123">
        <f t="shared" si="132"/>
        <v>-5.5468708648855362E-3</v>
      </c>
      <c r="K1058" s="93">
        <v>1296.3900100000001</v>
      </c>
      <c r="L1058" s="124">
        <f t="shared" si="133"/>
        <v>-6.049329759346099E-3</v>
      </c>
      <c r="N1058" s="150"/>
      <c r="O1058" s="154"/>
      <c r="P1058" s="125"/>
      <c r="Q1058" s="154"/>
      <c r="R1058" s="125"/>
      <c r="S1058" s="3"/>
      <c r="T1058" s="150"/>
      <c r="U1058" s="154"/>
      <c r="V1058" s="125"/>
      <c r="W1058" s="154"/>
      <c r="X1058" s="125"/>
      <c r="Y1058" s="3"/>
    </row>
    <row r="1059" spans="8:25" x14ac:dyDescent="0.3">
      <c r="H1059" s="102">
        <v>40613</v>
      </c>
      <c r="I1059" s="93">
        <v>43.831919999999997</v>
      </c>
      <c r="J1059" s="123">
        <f t="shared" si="132"/>
        <v>3.1158622447892219E-3</v>
      </c>
      <c r="K1059" s="93">
        <v>1304.2800299999999</v>
      </c>
      <c r="L1059" s="124">
        <f t="shared" si="133"/>
        <v>7.0805105904556973E-3</v>
      </c>
      <c r="N1059" s="150"/>
      <c r="O1059" s="154"/>
      <c r="P1059" s="125"/>
      <c r="Q1059" s="154"/>
      <c r="R1059" s="125"/>
      <c r="S1059" s="3"/>
      <c r="T1059" s="150"/>
      <c r="U1059" s="154"/>
      <c r="V1059" s="125"/>
      <c r="W1059" s="154"/>
      <c r="X1059" s="125"/>
      <c r="Y1059" s="3"/>
    </row>
    <row r="1060" spans="8:25" x14ac:dyDescent="0.3">
      <c r="H1060" s="102">
        <v>40612</v>
      </c>
      <c r="I1060" s="93">
        <v>43.695770000000003</v>
      </c>
      <c r="J1060" s="123">
        <f t="shared" si="132"/>
        <v>-2.6224507510496833E-2</v>
      </c>
      <c r="K1060" s="93">
        <v>1295.1099899999999</v>
      </c>
      <c r="L1060" s="124">
        <f t="shared" si="133"/>
        <v>-1.8870948639097163E-2</v>
      </c>
      <c r="N1060" s="150"/>
      <c r="O1060" s="154"/>
      <c r="P1060" s="125"/>
      <c r="Q1060" s="154"/>
      <c r="R1060" s="125"/>
      <c r="S1060" s="3"/>
      <c r="T1060" s="150"/>
      <c r="U1060" s="154"/>
      <c r="V1060" s="125"/>
      <c r="W1060" s="154"/>
      <c r="X1060" s="125"/>
      <c r="Y1060" s="3"/>
    </row>
    <row r="1061" spans="8:25" x14ac:dyDescent="0.3">
      <c r="H1061" s="102">
        <v>40611</v>
      </c>
      <c r="I1061" s="93">
        <v>44.872529999999998</v>
      </c>
      <c r="J1061" s="123">
        <f t="shared" si="132"/>
        <v>-1.6414453048110435E-2</v>
      </c>
      <c r="K1061" s="93">
        <v>1320.0200199999999</v>
      </c>
      <c r="L1061" s="124">
        <f t="shared" si="133"/>
        <v>-1.361705881349522E-3</v>
      </c>
      <c r="N1061" s="150"/>
      <c r="O1061" s="154"/>
      <c r="P1061" s="125"/>
      <c r="Q1061" s="154"/>
      <c r="R1061" s="125"/>
      <c r="S1061" s="3"/>
      <c r="T1061" s="150"/>
      <c r="U1061" s="154"/>
      <c r="V1061" s="125"/>
      <c r="W1061" s="154"/>
      <c r="X1061" s="125"/>
      <c r="Y1061" s="3"/>
    </row>
    <row r="1062" spans="8:25" x14ac:dyDescent="0.3">
      <c r="H1062" s="102">
        <v>40610</v>
      </c>
      <c r="I1062" s="93">
        <v>45.621380000000002</v>
      </c>
      <c r="J1062" s="123">
        <f t="shared" si="132"/>
        <v>6.4002175810782896E-4</v>
      </c>
      <c r="K1062" s="93">
        <v>1321.8199500000001</v>
      </c>
      <c r="L1062" s="124">
        <f t="shared" si="133"/>
        <v>8.9227404914015811E-3</v>
      </c>
      <c r="N1062" s="150"/>
      <c r="O1062" s="154"/>
      <c r="P1062" s="125"/>
      <c r="Q1062" s="154"/>
      <c r="R1062" s="125"/>
      <c r="S1062" s="3"/>
      <c r="T1062" s="150"/>
      <c r="U1062" s="154"/>
      <c r="V1062" s="125"/>
      <c r="W1062" s="154"/>
      <c r="X1062" s="125"/>
      <c r="Y1062" s="3"/>
    </row>
    <row r="1063" spans="8:25" x14ac:dyDescent="0.3">
      <c r="H1063" s="102">
        <v>40609</v>
      </c>
      <c r="I1063" s="93">
        <v>45.592199999999998</v>
      </c>
      <c r="J1063" s="123">
        <f t="shared" si="132"/>
        <v>-1.6984709987828847E-2</v>
      </c>
      <c r="K1063" s="93">
        <v>1310.1300000000001</v>
      </c>
      <c r="L1063" s="124">
        <f t="shared" si="133"/>
        <v>-8.3412328904176464E-3</v>
      </c>
      <c r="N1063" s="150"/>
      <c r="O1063" s="154"/>
      <c r="P1063" s="125"/>
      <c r="Q1063" s="154"/>
      <c r="R1063" s="125"/>
      <c r="S1063" s="3"/>
      <c r="T1063" s="150"/>
      <c r="U1063" s="154"/>
      <c r="V1063" s="125"/>
      <c r="W1063" s="154"/>
      <c r="X1063" s="125"/>
      <c r="Y1063" s="3"/>
    </row>
    <row r="1064" spans="8:25" x14ac:dyDescent="0.3">
      <c r="H1064" s="102">
        <v>40606</v>
      </c>
      <c r="I1064" s="93">
        <v>46.379950000000001</v>
      </c>
      <c r="J1064" s="123">
        <f t="shared" si="132"/>
        <v>-1.0991272276443337E-2</v>
      </c>
      <c r="K1064" s="93">
        <v>1321.15002</v>
      </c>
      <c r="L1064" s="124">
        <f t="shared" si="133"/>
        <v>-7.3780402423354917E-3</v>
      </c>
      <c r="N1064" s="150"/>
      <c r="O1064" s="154"/>
      <c r="P1064" s="125"/>
      <c r="Q1064" s="154"/>
      <c r="R1064" s="125"/>
      <c r="S1064" s="3"/>
      <c r="T1064" s="150"/>
      <c r="U1064" s="154"/>
      <c r="V1064" s="125"/>
      <c r="W1064" s="154"/>
      <c r="X1064" s="125"/>
      <c r="Y1064" s="3"/>
    </row>
    <row r="1065" spans="8:25" x14ac:dyDescent="0.3">
      <c r="H1065" s="102">
        <v>40605</v>
      </c>
      <c r="I1065" s="93">
        <v>46.895389999999999</v>
      </c>
      <c r="J1065" s="123">
        <f t="shared" si="132"/>
        <v>1.2387093710061883E-2</v>
      </c>
      <c r="K1065" s="93">
        <v>1330.9699700000001</v>
      </c>
      <c r="L1065" s="124">
        <f t="shared" si="133"/>
        <v>1.7219002042997957E-2</v>
      </c>
      <c r="N1065" s="150"/>
      <c r="O1065" s="154"/>
      <c r="P1065" s="125"/>
      <c r="Q1065" s="154"/>
      <c r="R1065" s="125"/>
      <c r="S1065" s="3"/>
      <c r="T1065" s="150"/>
      <c r="U1065" s="154"/>
      <c r="V1065" s="125"/>
      <c r="W1065" s="154"/>
      <c r="X1065" s="125"/>
      <c r="Y1065" s="3"/>
    </row>
    <row r="1066" spans="8:25" x14ac:dyDescent="0.3">
      <c r="H1066" s="102">
        <v>40604</v>
      </c>
      <c r="I1066" s="93">
        <v>46.321599999999997</v>
      </c>
      <c r="J1066" s="123">
        <f t="shared" si="132"/>
        <v>-2.9306197566606362E-3</v>
      </c>
      <c r="K1066" s="93">
        <v>1308.43994</v>
      </c>
      <c r="L1066" s="124">
        <f t="shared" si="133"/>
        <v>1.6151968220953535E-3</v>
      </c>
      <c r="N1066" s="150"/>
      <c r="O1066" s="154"/>
      <c r="P1066" s="125"/>
      <c r="Q1066" s="154"/>
      <c r="R1066" s="125"/>
      <c r="S1066" s="3"/>
      <c r="T1066" s="150"/>
      <c r="U1066" s="154"/>
      <c r="V1066" s="125"/>
      <c r="W1066" s="154"/>
      <c r="X1066" s="125"/>
      <c r="Y1066" s="3"/>
    </row>
    <row r="1067" spans="8:25" x14ac:dyDescent="0.3">
      <c r="H1067" s="102">
        <v>40603</v>
      </c>
      <c r="I1067" s="93">
        <v>46.457749999999997</v>
      </c>
      <c r="J1067" s="123">
        <f t="shared" si="132"/>
        <v>-3.6895169482319572E-2</v>
      </c>
      <c r="K1067" s="93">
        <v>1306.32996</v>
      </c>
      <c r="L1067" s="124">
        <f t="shared" si="133"/>
        <v>-1.5739674260627702E-2</v>
      </c>
      <c r="N1067" s="150"/>
      <c r="O1067" s="154"/>
      <c r="P1067" s="125"/>
      <c r="Q1067" s="154"/>
      <c r="R1067" s="125"/>
      <c r="S1067" s="3"/>
      <c r="T1067" s="150"/>
      <c r="U1067" s="154"/>
      <c r="V1067" s="125"/>
      <c r="W1067" s="154"/>
      <c r="X1067" s="125"/>
      <c r="Y1067" s="3"/>
    </row>
    <row r="1068" spans="8:25" x14ac:dyDescent="0.3">
      <c r="H1068" s="102">
        <v>40602</v>
      </c>
      <c r="I1068" s="93">
        <v>48.237479999999998</v>
      </c>
      <c r="J1068" s="123">
        <f t="shared" si="132"/>
        <v>-1.1558444352689637E-2</v>
      </c>
      <c r="K1068" s="93">
        <v>1327.2199700000001</v>
      </c>
      <c r="L1068" s="124">
        <f t="shared" si="133"/>
        <v>5.5610888868684984E-3</v>
      </c>
      <c r="N1068" s="150"/>
      <c r="O1068" s="154"/>
      <c r="P1068" s="125"/>
      <c r="Q1068" s="154"/>
      <c r="R1068" s="125"/>
      <c r="S1068" s="3"/>
      <c r="T1068" s="150"/>
      <c r="U1068" s="154"/>
      <c r="V1068" s="125"/>
      <c r="W1068" s="154"/>
      <c r="X1068" s="125"/>
      <c r="Y1068" s="3"/>
    </row>
    <row r="1069" spans="8:25" x14ac:dyDescent="0.3">
      <c r="H1069" s="102">
        <v>40599</v>
      </c>
      <c r="I1069" s="93">
        <v>48.801549999999999</v>
      </c>
      <c r="J1069" s="123">
        <f t="shared" si="132"/>
        <v>2.3663710302302597E-2</v>
      </c>
      <c r="K1069" s="93">
        <v>1319.88</v>
      </c>
      <c r="L1069" s="124">
        <f t="shared" si="133"/>
        <v>1.055050931093357E-2</v>
      </c>
      <c r="N1069" s="150"/>
      <c r="O1069" s="154"/>
      <c r="P1069" s="125"/>
      <c r="Q1069" s="154"/>
      <c r="R1069" s="125"/>
      <c r="S1069" s="3"/>
      <c r="T1069" s="150"/>
      <c r="U1069" s="154"/>
      <c r="V1069" s="125"/>
      <c r="W1069" s="154"/>
      <c r="X1069" s="125"/>
      <c r="Y1069" s="3"/>
    </row>
    <row r="1070" spans="8:25" x14ac:dyDescent="0.3">
      <c r="H1070" s="102">
        <v>40598</v>
      </c>
      <c r="I1070" s="93">
        <v>47.67342</v>
      </c>
      <c r="J1070" s="123">
        <f t="shared" si="132"/>
        <v>1.8280095152270703E-2</v>
      </c>
      <c r="K1070" s="93">
        <v>1306.09998</v>
      </c>
      <c r="L1070" s="124">
        <f t="shared" si="133"/>
        <v>-9.9437049113712019E-4</v>
      </c>
      <c r="N1070" s="150"/>
      <c r="O1070" s="154"/>
      <c r="P1070" s="125"/>
      <c r="Q1070" s="154"/>
      <c r="R1070" s="125"/>
      <c r="S1070" s="3"/>
      <c r="T1070" s="150"/>
      <c r="U1070" s="154"/>
      <c r="V1070" s="125"/>
      <c r="W1070" s="154"/>
      <c r="X1070" s="125"/>
      <c r="Y1070" s="3"/>
    </row>
    <row r="1071" spans="8:25" x14ac:dyDescent="0.3">
      <c r="H1071" s="102">
        <v>40597</v>
      </c>
      <c r="I1071" s="93">
        <v>46.817590000000003</v>
      </c>
      <c r="J1071" s="123">
        <f t="shared" si="132"/>
        <v>-1.453415924196467E-2</v>
      </c>
      <c r="K1071" s="93">
        <v>1307.40002</v>
      </c>
      <c r="L1071" s="124">
        <f t="shared" si="133"/>
        <v>-6.1119628160293954E-3</v>
      </c>
      <c r="N1071" s="150"/>
      <c r="O1071" s="154"/>
      <c r="P1071" s="125"/>
      <c r="Q1071" s="154"/>
      <c r="R1071" s="125"/>
      <c r="S1071" s="3"/>
      <c r="T1071" s="150"/>
      <c r="U1071" s="154"/>
      <c r="V1071" s="125"/>
      <c r="W1071" s="154"/>
      <c r="X1071" s="125"/>
      <c r="Y1071" s="3"/>
    </row>
    <row r="1072" spans="8:25" x14ac:dyDescent="0.3">
      <c r="H1072" s="102">
        <v>40596</v>
      </c>
      <c r="I1072" s="93">
        <v>47.50808</v>
      </c>
      <c r="J1072" s="123">
        <f t="shared" si="132"/>
        <v>-4.9241133279926436E-2</v>
      </c>
      <c r="K1072" s="93">
        <v>1315.43994</v>
      </c>
      <c r="L1072" s="124">
        <f t="shared" si="133"/>
        <v>-2.05285662762856E-2</v>
      </c>
      <c r="N1072" s="150"/>
      <c r="O1072" s="154"/>
      <c r="P1072" s="125"/>
      <c r="Q1072" s="154"/>
      <c r="R1072" s="125"/>
      <c r="S1072" s="3"/>
      <c r="T1072" s="150"/>
      <c r="U1072" s="154"/>
      <c r="V1072" s="125"/>
      <c r="W1072" s="154"/>
      <c r="X1072" s="125"/>
      <c r="Y1072" s="3"/>
    </row>
    <row r="1073" spans="8:25" x14ac:dyDescent="0.3">
      <c r="H1073" s="102">
        <v>40592</v>
      </c>
      <c r="I1073" s="93">
        <v>49.968589999999999</v>
      </c>
      <c r="J1073" s="123">
        <f t="shared" si="132"/>
        <v>-6.9578506598938529E-3</v>
      </c>
      <c r="K1073" s="93">
        <v>1343.01001</v>
      </c>
      <c r="L1073" s="124">
        <f t="shared" si="133"/>
        <v>1.9247255759448458E-3</v>
      </c>
      <c r="N1073" s="150"/>
      <c r="O1073" s="154"/>
      <c r="P1073" s="125"/>
      <c r="Q1073" s="154"/>
      <c r="R1073" s="125"/>
      <c r="S1073" s="3"/>
      <c r="T1073" s="150"/>
      <c r="U1073" s="154"/>
      <c r="V1073" s="125"/>
      <c r="W1073" s="154"/>
      <c r="X1073" s="125"/>
      <c r="Y1073" s="3"/>
    </row>
    <row r="1074" spans="8:25" x14ac:dyDescent="0.3">
      <c r="H1074" s="102">
        <v>40591</v>
      </c>
      <c r="I1074" s="93">
        <v>50.3187</v>
      </c>
      <c r="J1074" s="123">
        <f t="shared" si="132"/>
        <v>7.3989276690105132E-3</v>
      </c>
      <c r="K1074" s="93">
        <v>1340.4300499999999</v>
      </c>
      <c r="L1074" s="124">
        <f t="shared" si="133"/>
        <v>3.0756855796397224E-3</v>
      </c>
      <c r="N1074" s="150"/>
      <c r="O1074" s="154"/>
      <c r="P1074" s="125"/>
      <c r="Q1074" s="154"/>
      <c r="R1074" s="125"/>
      <c r="S1074" s="3"/>
      <c r="T1074" s="150"/>
      <c r="U1074" s="154"/>
      <c r="V1074" s="125"/>
      <c r="W1074" s="154"/>
      <c r="X1074" s="125"/>
      <c r="Y1074" s="3"/>
    </row>
    <row r="1075" spans="8:25" x14ac:dyDescent="0.3">
      <c r="H1075" s="102">
        <v>40590</v>
      </c>
      <c r="I1075" s="93">
        <v>49.949129999999997</v>
      </c>
      <c r="J1075" s="123">
        <f t="shared" si="132"/>
        <v>2.7332233486130229E-3</v>
      </c>
      <c r="K1075" s="93">
        <v>1336.3199500000001</v>
      </c>
      <c r="L1075" s="124">
        <f t="shared" si="133"/>
        <v>6.2574377733795074E-3</v>
      </c>
      <c r="N1075" s="150"/>
      <c r="O1075" s="154"/>
      <c r="P1075" s="125"/>
      <c r="Q1075" s="154"/>
      <c r="R1075" s="125"/>
      <c r="S1075" s="3"/>
      <c r="T1075" s="150"/>
      <c r="U1075" s="154"/>
      <c r="V1075" s="125"/>
      <c r="W1075" s="154"/>
      <c r="X1075" s="125"/>
      <c r="Y1075" s="3"/>
    </row>
    <row r="1076" spans="8:25" x14ac:dyDescent="0.3">
      <c r="H1076" s="102">
        <v>40589</v>
      </c>
      <c r="I1076" s="93">
        <v>49.812980000000003</v>
      </c>
      <c r="J1076" s="123">
        <f t="shared" si="132"/>
        <v>-2.7529935195316841E-2</v>
      </c>
      <c r="K1076" s="93">
        <v>1328.01001</v>
      </c>
      <c r="L1076" s="124">
        <f t="shared" si="133"/>
        <v>-3.2349136556876572E-3</v>
      </c>
      <c r="N1076" s="150"/>
      <c r="O1076" s="154"/>
      <c r="P1076" s="125"/>
      <c r="Q1076" s="154"/>
      <c r="R1076" s="125"/>
      <c r="S1076" s="3"/>
      <c r="T1076" s="150"/>
      <c r="U1076" s="154"/>
      <c r="V1076" s="125"/>
      <c r="W1076" s="154"/>
      <c r="X1076" s="125"/>
      <c r="Y1076" s="3"/>
    </row>
    <row r="1077" spans="8:25" x14ac:dyDescent="0.3">
      <c r="H1077" s="102">
        <v>40588</v>
      </c>
      <c r="I1077" s="93">
        <v>51.223149999999997</v>
      </c>
      <c r="J1077" s="123">
        <f t="shared" si="132"/>
        <v>3.2542646206566307E-2</v>
      </c>
      <c r="K1077" s="93">
        <v>1332.3199500000001</v>
      </c>
      <c r="L1077" s="124">
        <f t="shared" si="133"/>
        <v>2.3849301826742043E-3</v>
      </c>
      <c r="N1077" s="150"/>
      <c r="O1077" s="154"/>
      <c r="P1077" s="125"/>
      <c r="Q1077" s="154"/>
      <c r="R1077" s="125"/>
      <c r="S1077" s="3"/>
      <c r="T1077" s="150"/>
      <c r="U1077" s="154"/>
      <c r="V1077" s="125"/>
      <c r="W1077" s="154"/>
      <c r="X1077" s="125"/>
      <c r="Y1077" s="3"/>
    </row>
    <row r="1078" spans="8:25" x14ac:dyDescent="0.3">
      <c r="H1078" s="102">
        <v>40585</v>
      </c>
      <c r="I1078" s="93">
        <v>49.608750000000001</v>
      </c>
      <c r="J1078" s="123">
        <f t="shared" si="132"/>
        <v>3.9361115467703729E-3</v>
      </c>
      <c r="K1078" s="93">
        <v>1329.15002</v>
      </c>
      <c r="L1078" s="124">
        <f t="shared" si="133"/>
        <v>5.5073645668637233E-3</v>
      </c>
      <c r="N1078" s="150"/>
      <c r="O1078" s="154"/>
      <c r="P1078" s="125"/>
      <c r="Q1078" s="154"/>
      <c r="R1078" s="125"/>
      <c r="S1078" s="3"/>
      <c r="T1078" s="150"/>
      <c r="U1078" s="154"/>
      <c r="V1078" s="125"/>
      <c r="W1078" s="154"/>
      <c r="X1078" s="125"/>
      <c r="Y1078" s="3"/>
    </row>
    <row r="1079" spans="8:25" x14ac:dyDescent="0.3">
      <c r="H1079" s="102">
        <v>40584</v>
      </c>
      <c r="I1079" s="93">
        <v>49.414250000000003</v>
      </c>
      <c r="J1079" s="123">
        <f t="shared" si="132"/>
        <v>1.3564723186893659E-2</v>
      </c>
      <c r="K1079" s="93">
        <v>1321.87</v>
      </c>
      <c r="L1079" s="124">
        <f t="shared" si="133"/>
        <v>7.4950033311109389E-4</v>
      </c>
      <c r="N1079" s="150"/>
      <c r="O1079" s="154"/>
      <c r="P1079" s="125"/>
      <c r="Q1079" s="154"/>
      <c r="R1079" s="125"/>
      <c r="S1079" s="3"/>
      <c r="T1079" s="150"/>
      <c r="U1079" s="154"/>
      <c r="V1079" s="125"/>
      <c r="W1079" s="154"/>
      <c r="X1079" s="125"/>
      <c r="Y1079" s="3"/>
    </row>
    <row r="1080" spans="8:25" x14ac:dyDescent="0.3">
      <c r="H1080" s="102">
        <v>40583</v>
      </c>
      <c r="I1080" s="93">
        <v>48.752929999999999</v>
      </c>
      <c r="J1080" s="123">
        <f t="shared" si="132"/>
        <v>6.6266118736810157E-3</v>
      </c>
      <c r="K1080" s="93">
        <v>1320.88</v>
      </c>
      <c r="L1080" s="124">
        <f t="shared" si="133"/>
        <v>-2.785772091538052E-3</v>
      </c>
      <c r="N1080" s="150"/>
      <c r="O1080" s="154"/>
      <c r="P1080" s="125"/>
      <c r="Q1080" s="154"/>
      <c r="R1080" s="125"/>
      <c r="S1080" s="3"/>
      <c r="T1080" s="150"/>
      <c r="U1080" s="154"/>
      <c r="V1080" s="125"/>
      <c r="W1080" s="154"/>
      <c r="X1080" s="125"/>
      <c r="Y1080" s="3"/>
    </row>
    <row r="1081" spans="8:25" x14ac:dyDescent="0.3">
      <c r="H1081" s="102">
        <v>40582</v>
      </c>
      <c r="I1081" s="93">
        <v>48.431989999999999</v>
      </c>
      <c r="J1081" s="123">
        <f t="shared" si="132"/>
        <v>4.1841007784338476E-2</v>
      </c>
      <c r="K1081" s="93">
        <v>1324.5699500000001</v>
      </c>
      <c r="L1081" s="124">
        <f t="shared" si="133"/>
        <v>4.1847540205165127E-3</v>
      </c>
      <c r="N1081" s="150"/>
      <c r="O1081" s="154"/>
      <c r="P1081" s="125"/>
      <c r="Q1081" s="154"/>
      <c r="R1081" s="125"/>
      <c r="S1081" s="3"/>
      <c r="T1081" s="150"/>
      <c r="U1081" s="154"/>
      <c r="V1081" s="125"/>
      <c r="W1081" s="154"/>
      <c r="X1081" s="125"/>
      <c r="Y1081" s="3"/>
    </row>
    <row r="1082" spans="8:25" x14ac:dyDescent="0.3">
      <c r="H1082" s="102">
        <v>40581</v>
      </c>
      <c r="I1082" s="93">
        <v>46.486930000000001</v>
      </c>
      <c r="J1082" s="123">
        <f t="shared" si="132"/>
        <v>-4.7886336744478748E-3</v>
      </c>
      <c r="K1082" s="93">
        <v>1319.0500500000001</v>
      </c>
      <c r="L1082" s="124">
        <f t="shared" si="133"/>
        <v>6.2401687428960658E-3</v>
      </c>
      <c r="N1082" s="150"/>
      <c r="O1082" s="154"/>
      <c r="P1082" s="125"/>
      <c r="Q1082" s="154"/>
      <c r="R1082" s="125"/>
      <c r="S1082" s="3"/>
      <c r="T1082" s="150"/>
      <c r="U1082" s="154"/>
      <c r="V1082" s="125"/>
      <c r="W1082" s="154"/>
      <c r="X1082" s="125"/>
      <c r="Y1082" s="3"/>
    </row>
    <row r="1083" spans="8:25" x14ac:dyDescent="0.3">
      <c r="H1083" s="102">
        <v>40578</v>
      </c>
      <c r="I1083" s="93">
        <v>46.710610000000003</v>
      </c>
      <c r="J1083" s="123">
        <f t="shared" si="132"/>
        <v>9.0336603703155445E-3</v>
      </c>
      <c r="K1083" s="93">
        <v>1310.87</v>
      </c>
      <c r="L1083" s="124">
        <f t="shared" si="133"/>
        <v>2.8842629161389259E-3</v>
      </c>
      <c r="N1083" s="150"/>
      <c r="O1083" s="154"/>
      <c r="P1083" s="125"/>
      <c r="Q1083" s="154"/>
      <c r="R1083" s="125"/>
      <c r="S1083" s="3"/>
      <c r="T1083" s="150"/>
      <c r="U1083" s="154"/>
      <c r="V1083" s="125"/>
      <c r="W1083" s="154"/>
      <c r="X1083" s="125"/>
      <c r="Y1083" s="3"/>
    </row>
    <row r="1084" spans="8:25" x14ac:dyDescent="0.3">
      <c r="H1084" s="102">
        <v>40577</v>
      </c>
      <c r="I1084" s="93">
        <v>46.29242</v>
      </c>
      <c r="J1084" s="123">
        <f t="shared" si="132"/>
        <v>-7.7132383297186117E-3</v>
      </c>
      <c r="K1084" s="93">
        <v>1307.09998</v>
      </c>
      <c r="L1084" s="124">
        <f t="shared" si="133"/>
        <v>2.3542019197211762E-3</v>
      </c>
      <c r="N1084" s="150"/>
      <c r="O1084" s="154"/>
      <c r="P1084" s="125"/>
      <c r="Q1084" s="154"/>
      <c r="R1084" s="125"/>
      <c r="S1084" s="3"/>
      <c r="T1084" s="150"/>
      <c r="U1084" s="154"/>
      <c r="V1084" s="125"/>
      <c r="W1084" s="154"/>
      <c r="X1084" s="125"/>
      <c r="Y1084" s="3"/>
    </row>
    <row r="1085" spans="8:25" x14ac:dyDescent="0.3">
      <c r="H1085" s="102">
        <v>40576</v>
      </c>
      <c r="I1085" s="93">
        <v>46.652259999999998</v>
      </c>
      <c r="J1085" s="123">
        <f t="shared" si="132"/>
        <v>3.1834705654932294E-2</v>
      </c>
      <c r="K1085" s="93">
        <v>1304.0300299999999</v>
      </c>
      <c r="L1085" s="124">
        <f t="shared" si="133"/>
        <v>-2.7225201184436255E-3</v>
      </c>
      <c r="N1085" s="150"/>
      <c r="O1085" s="154"/>
      <c r="P1085" s="125"/>
      <c r="Q1085" s="154"/>
      <c r="R1085" s="125"/>
      <c r="S1085" s="3"/>
      <c r="T1085" s="150"/>
      <c r="U1085" s="154"/>
      <c r="V1085" s="125"/>
      <c r="W1085" s="154"/>
      <c r="X1085" s="125"/>
      <c r="Y1085" s="3"/>
    </row>
    <row r="1086" spans="8:25" x14ac:dyDescent="0.3">
      <c r="H1086" s="102">
        <v>40575</v>
      </c>
      <c r="I1086" s="93">
        <v>45.212919999999997</v>
      </c>
      <c r="J1086" s="123">
        <f t="shared" si="132"/>
        <v>2.4686064262998839E-2</v>
      </c>
      <c r="K1086" s="93">
        <v>1307.58997</v>
      </c>
      <c r="L1086" s="124">
        <f t="shared" si="133"/>
        <v>1.6693597798028259E-2</v>
      </c>
      <c r="N1086" s="150"/>
      <c r="O1086" s="154"/>
      <c r="P1086" s="125"/>
      <c r="Q1086" s="154"/>
      <c r="R1086" s="125"/>
      <c r="S1086" s="3"/>
      <c r="T1086" s="150"/>
      <c r="U1086" s="154"/>
      <c r="V1086" s="125"/>
      <c r="W1086" s="154"/>
      <c r="X1086" s="125"/>
      <c r="Y1086" s="3"/>
    </row>
    <row r="1087" spans="8:25" x14ac:dyDescent="0.3">
      <c r="H1087" s="102">
        <v>40574</v>
      </c>
      <c r="I1087" s="93">
        <v>44.12368</v>
      </c>
      <c r="J1087" s="123">
        <f t="shared" si="132"/>
        <v>-3.0555604380152254E-2</v>
      </c>
      <c r="K1087" s="93">
        <v>1286.1199999999999</v>
      </c>
      <c r="L1087" s="124">
        <f t="shared" si="133"/>
        <v>7.6625587460054994E-3</v>
      </c>
      <c r="N1087" s="150"/>
      <c r="O1087" s="154"/>
      <c r="P1087" s="125"/>
      <c r="Q1087" s="154"/>
      <c r="R1087" s="125"/>
      <c r="S1087" s="3"/>
      <c r="T1087" s="150"/>
      <c r="U1087" s="154"/>
      <c r="V1087" s="125"/>
      <c r="W1087" s="154"/>
      <c r="X1087" s="125"/>
      <c r="Y1087" s="3"/>
    </row>
    <row r="1088" spans="8:25" x14ac:dyDescent="0.3">
      <c r="H1088" s="102">
        <v>40571</v>
      </c>
      <c r="I1088" s="93">
        <v>45.514400000000002</v>
      </c>
      <c r="J1088" s="123">
        <f t="shared" si="132"/>
        <v>-8.8074729369109234E-2</v>
      </c>
      <c r="K1088" s="93">
        <v>1276.33997</v>
      </c>
      <c r="L1088" s="124">
        <f t="shared" si="133"/>
        <v>-1.7852524190020414E-2</v>
      </c>
      <c r="N1088" s="150"/>
      <c r="O1088" s="154"/>
      <c r="P1088" s="125"/>
      <c r="Q1088" s="154"/>
      <c r="R1088" s="125"/>
      <c r="S1088" s="3"/>
      <c r="T1088" s="150"/>
      <c r="U1088" s="154"/>
      <c r="V1088" s="125"/>
      <c r="W1088" s="154"/>
      <c r="X1088" s="125"/>
      <c r="Y1088" s="3"/>
    </row>
    <row r="1089" spans="8:25" x14ac:dyDescent="0.3">
      <c r="H1089" s="102">
        <v>40570</v>
      </c>
      <c r="I1089" s="93">
        <v>49.910229999999999</v>
      </c>
      <c r="J1089" s="123">
        <f t="shared" si="132"/>
        <v>2.7016098830141149E-2</v>
      </c>
      <c r="K1089" s="93">
        <v>1299.5400400000001</v>
      </c>
      <c r="L1089" s="124">
        <f t="shared" si="133"/>
        <v>2.2443102504183772E-3</v>
      </c>
      <c r="N1089" s="150"/>
      <c r="O1089" s="154"/>
      <c r="P1089" s="125"/>
      <c r="Q1089" s="154"/>
      <c r="R1089" s="125"/>
      <c r="S1089" s="3"/>
      <c r="T1089" s="150"/>
      <c r="U1089" s="154"/>
      <c r="V1089" s="125"/>
      <c r="W1089" s="154"/>
      <c r="X1089" s="125"/>
      <c r="Y1089" s="3"/>
    </row>
    <row r="1090" spans="8:25" x14ac:dyDescent="0.3">
      <c r="H1090" s="102">
        <v>40569</v>
      </c>
      <c r="I1090" s="93">
        <v>48.597320000000003</v>
      </c>
      <c r="J1090" s="123">
        <f t="shared" si="132"/>
        <v>2.9248361583452506E-2</v>
      </c>
      <c r="K1090" s="93">
        <v>1296.6300000000001</v>
      </c>
      <c r="L1090" s="124">
        <f t="shared" si="133"/>
        <v>4.2209062942075133E-3</v>
      </c>
      <c r="N1090" s="150"/>
      <c r="O1090" s="154"/>
      <c r="P1090" s="125"/>
      <c r="Q1090" s="154"/>
      <c r="R1090" s="125"/>
      <c r="S1090" s="3"/>
      <c r="T1090" s="150"/>
      <c r="U1090" s="154"/>
      <c r="V1090" s="125"/>
      <c r="W1090" s="154"/>
      <c r="X1090" s="125"/>
      <c r="Y1090" s="3"/>
    </row>
    <row r="1091" spans="8:25" x14ac:dyDescent="0.3">
      <c r="H1091" s="102">
        <v>40568</v>
      </c>
      <c r="I1091" s="93">
        <v>47.216320000000003</v>
      </c>
      <c r="J1091" s="123">
        <f t="shared" si="132"/>
        <v>-4.2028639124229883E-2</v>
      </c>
      <c r="K1091" s="93">
        <v>1291.1800499999999</v>
      </c>
      <c r="L1091" s="124">
        <f t="shared" si="133"/>
        <v>2.6345636012490653E-4</v>
      </c>
      <c r="N1091" s="150"/>
      <c r="O1091" s="154"/>
      <c r="P1091" s="125"/>
      <c r="Q1091" s="154"/>
      <c r="R1091" s="125"/>
      <c r="S1091" s="3"/>
      <c r="T1091" s="150"/>
      <c r="U1091" s="154"/>
      <c r="V1091" s="125"/>
      <c r="W1091" s="154"/>
      <c r="X1091" s="125"/>
      <c r="Y1091" s="3"/>
    </row>
    <row r="1092" spans="8:25" x14ac:dyDescent="0.3">
      <c r="H1092" s="102">
        <v>40567</v>
      </c>
      <c r="I1092" s="93">
        <v>49.287820000000004</v>
      </c>
      <c r="J1092" s="123">
        <f t="shared" si="132"/>
        <v>1.4208602449682412E-2</v>
      </c>
      <c r="K1092" s="93">
        <v>1290.83997</v>
      </c>
      <c r="L1092" s="124">
        <f t="shared" si="133"/>
        <v>5.8362801392649218E-3</v>
      </c>
      <c r="N1092" s="150"/>
      <c r="O1092" s="154"/>
      <c r="P1092" s="125"/>
      <c r="Q1092" s="154"/>
      <c r="R1092" s="125"/>
      <c r="S1092" s="3"/>
      <c r="T1092" s="150"/>
      <c r="U1092" s="154"/>
      <c r="V1092" s="125"/>
      <c r="W1092" s="154"/>
      <c r="X1092" s="125"/>
      <c r="Y1092" s="3"/>
    </row>
    <row r="1093" spans="8:25" x14ac:dyDescent="0.3">
      <c r="H1093" s="102">
        <v>40564</v>
      </c>
      <c r="I1093" s="93">
        <v>48.597320000000003</v>
      </c>
      <c r="J1093" s="123">
        <f t="shared" si="132"/>
        <v>4.0038807794590798E-4</v>
      </c>
      <c r="K1093" s="93">
        <v>1283.34998</v>
      </c>
      <c r="L1093" s="124">
        <f t="shared" si="133"/>
        <v>2.4135487915458624E-3</v>
      </c>
      <c r="N1093" s="150"/>
      <c r="O1093" s="154"/>
      <c r="P1093" s="125"/>
      <c r="Q1093" s="154"/>
      <c r="R1093" s="125"/>
      <c r="S1093" s="3"/>
      <c r="T1093" s="150"/>
      <c r="U1093" s="154"/>
      <c r="V1093" s="125"/>
      <c r="W1093" s="154"/>
      <c r="X1093" s="125"/>
      <c r="Y1093" s="3"/>
    </row>
    <row r="1094" spans="8:25" x14ac:dyDescent="0.3">
      <c r="H1094" s="102">
        <v>40563</v>
      </c>
      <c r="I1094" s="93">
        <v>48.577869999999997</v>
      </c>
      <c r="J1094" s="123">
        <f t="shared" si="132"/>
        <v>-3.0097060434311217E-2</v>
      </c>
      <c r="K1094" s="93">
        <v>1280.26001</v>
      </c>
      <c r="L1094" s="124">
        <f t="shared" si="133"/>
        <v>-1.2949559630879989E-3</v>
      </c>
      <c r="N1094" s="150"/>
      <c r="O1094" s="154"/>
      <c r="P1094" s="125"/>
      <c r="Q1094" s="154"/>
      <c r="R1094" s="125"/>
      <c r="S1094" s="3"/>
      <c r="T1094" s="150"/>
      <c r="U1094" s="154"/>
      <c r="V1094" s="125"/>
      <c r="W1094" s="154"/>
      <c r="X1094" s="125"/>
      <c r="Y1094" s="3"/>
    </row>
    <row r="1095" spans="8:25" x14ac:dyDescent="0.3">
      <c r="H1095" s="102">
        <v>40562</v>
      </c>
      <c r="I1095" s="93">
        <v>50.085290000000001</v>
      </c>
      <c r="J1095" s="123">
        <f t="shared" si="132"/>
        <v>-2.9400741515323712E-2</v>
      </c>
      <c r="K1095" s="93">
        <v>1281.92004</v>
      </c>
      <c r="L1095" s="124">
        <f t="shared" si="133"/>
        <v>-1.0115658289205413E-2</v>
      </c>
      <c r="N1095" s="150"/>
      <c r="O1095" s="154"/>
      <c r="P1095" s="125"/>
      <c r="Q1095" s="154"/>
      <c r="R1095" s="125"/>
      <c r="S1095" s="3"/>
      <c r="T1095" s="150"/>
      <c r="U1095" s="154"/>
      <c r="V1095" s="125"/>
      <c r="W1095" s="154"/>
      <c r="X1095" s="125"/>
      <c r="Y1095" s="3"/>
    </row>
    <row r="1096" spans="8:25" x14ac:dyDescent="0.3">
      <c r="H1096" s="102">
        <v>40561</v>
      </c>
      <c r="I1096" s="93">
        <v>51.602440000000001</v>
      </c>
      <c r="J1096" s="123">
        <f t="shared" si="132"/>
        <v>5.4956703377214925E-3</v>
      </c>
      <c r="K1096" s="93">
        <v>1295.0200199999999</v>
      </c>
      <c r="L1096" s="124">
        <f t="shared" si="133"/>
        <v>1.3764111949553129E-3</v>
      </c>
      <c r="N1096" s="150"/>
      <c r="O1096" s="154"/>
      <c r="P1096" s="125"/>
      <c r="Q1096" s="154"/>
      <c r="R1096" s="125"/>
      <c r="S1096" s="3"/>
      <c r="T1096" s="150"/>
      <c r="U1096" s="154"/>
      <c r="V1096" s="125"/>
      <c r="W1096" s="154"/>
      <c r="X1096" s="125"/>
      <c r="Y1096" s="3"/>
    </row>
    <row r="1097" spans="8:25" x14ac:dyDescent="0.3">
      <c r="H1097" s="102">
        <v>40557</v>
      </c>
      <c r="I1097" s="93">
        <v>51.320399999999999</v>
      </c>
      <c r="J1097" s="123">
        <f t="shared" si="132"/>
        <v>2.6653575535268065E-2</v>
      </c>
      <c r="K1097" s="93">
        <v>1293.23999</v>
      </c>
      <c r="L1097" s="124">
        <f t="shared" si="133"/>
        <v>7.3845422245237789E-3</v>
      </c>
      <c r="N1097" s="150"/>
      <c r="O1097" s="154"/>
      <c r="P1097" s="125"/>
      <c r="Q1097" s="154"/>
      <c r="R1097" s="125"/>
      <c r="S1097" s="3"/>
      <c r="T1097" s="150"/>
      <c r="U1097" s="154"/>
      <c r="V1097" s="125"/>
      <c r="W1097" s="154"/>
      <c r="X1097" s="125"/>
      <c r="Y1097" s="3"/>
    </row>
    <row r="1098" spans="8:25" x14ac:dyDescent="0.3">
      <c r="H1098" s="102">
        <v>40556</v>
      </c>
      <c r="I1098" s="93">
        <v>49.988039999999998</v>
      </c>
      <c r="J1098" s="123">
        <f t="shared" ref="J1098:J1161" si="134">(I1098-I1099)/I1099</f>
        <v>-9.0611323630249516E-3</v>
      </c>
      <c r="K1098" s="93">
        <v>1283.76001</v>
      </c>
      <c r="L1098" s="124">
        <f t="shared" ref="L1098:L1161" si="135">(K1098-K1099)/K1099</f>
        <v>-1.7107453330039487E-3</v>
      </c>
      <c r="N1098" s="150"/>
      <c r="O1098" s="154"/>
      <c r="P1098" s="125"/>
      <c r="Q1098" s="154"/>
      <c r="R1098" s="125"/>
      <c r="S1098" s="3"/>
      <c r="T1098" s="150"/>
      <c r="U1098" s="154"/>
      <c r="V1098" s="125"/>
      <c r="W1098" s="154"/>
      <c r="X1098" s="125"/>
      <c r="Y1098" s="3"/>
    </row>
    <row r="1099" spans="8:25" x14ac:dyDescent="0.3">
      <c r="H1099" s="102">
        <v>40555</v>
      </c>
      <c r="I1099" s="93">
        <v>50.445129999999999</v>
      </c>
      <c r="J1099" s="123">
        <f t="shared" si="134"/>
        <v>-6.3217433064532511E-3</v>
      </c>
      <c r="K1099" s="93">
        <v>1285.9599599999999</v>
      </c>
      <c r="L1099" s="124">
        <f t="shared" si="135"/>
        <v>9.0075797032134163E-3</v>
      </c>
      <c r="N1099" s="150"/>
      <c r="O1099" s="154"/>
      <c r="P1099" s="125"/>
      <c r="Q1099" s="154"/>
      <c r="R1099" s="125"/>
      <c r="S1099" s="3"/>
      <c r="T1099" s="150"/>
      <c r="U1099" s="154"/>
      <c r="V1099" s="125"/>
      <c r="W1099" s="154"/>
      <c r="X1099" s="125"/>
      <c r="Y1099" s="3"/>
    </row>
    <row r="1100" spans="8:25" x14ac:dyDescent="0.3">
      <c r="H1100" s="102">
        <v>40554</v>
      </c>
      <c r="I1100" s="93">
        <v>50.766060000000003</v>
      </c>
      <c r="J1100" s="123">
        <f t="shared" si="134"/>
        <v>-1.9534164363703168E-2</v>
      </c>
      <c r="K1100" s="93">
        <v>1274.4799800000001</v>
      </c>
      <c r="L1100" s="124">
        <f t="shared" si="135"/>
        <v>3.725126993502712E-3</v>
      </c>
      <c r="N1100" s="150"/>
      <c r="O1100" s="154"/>
      <c r="P1100" s="125"/>
      <c r="Q1100" s="154"/>
      <c r="R1100" s="125"/>
      <c r="S1100" s="3"/>
      <c r="T1100" s="150"/>
      <c r="U1100" s="154"/>
      <c r="V1100" s="125"/>
      <c r="W1100" s="154"/>
      <c r="X1100" s="125"/>
      <c r="Y1100" s="3"/>
    </row>
    <row r="1101" spans="8:25" x14ac:dyDescent="0.3">
      <c r="H1101" s="102">
        <v>40553</v>
      </c>
      <c r="I1101" s="93">
        <v>51.77749</v>
      </c>
      <c r="J1101" s="123">
        <f t="shared" si="134"/>
        <v>1.661254483728011E-2</v>
      </c>
      <c r="K1101" s="93">
        <v>1269.75</v>
      </c>
      <c r="L1101" s="124">
        <f t="shared" si="135"/>
        <v>-1.3763271726307512E-3</v>
      </c>
      <c r="N1101" s="150"/>
      <c r="O1101" s="154"/>
      <c r="P1101" s="125"/>
      <c r="Q1101" s="154"/>
      <c r="R1101" s="125"/>
      <c r="S1101" s="3"/>
      <c r="T1101" s="150"/>
      <c r="U1101" s="154"/>
      <c r="V1101" s="125"/>
      <c r="W1101" s="154"/>
      <c r="X1101" s="125"/>
      <c r="Y1101" s="3"/>
    </row>
    <row r="1102" spans="8:25" x14ac:dyDescent="0.3">
      <c r="H1102" s="102">
        <v>40550</v>
      </c>
      <c r="I1102" s="93">
        <v>50.93139</v>
      </c>
      <c r="J1102" s="123">
        <f t="shared" si="134"/>
        <v>-6.8272183925977359E-3</v>
      </c>
      <c r="K1102" s="93">
        <v>1271.5</v>
      </c>
      <c r="L1102" s="124">
        <f t="shared" si="135"/>
        <v>-1.8447855217613299E-3</v>
      </c>
      <c r="N1102" s="150"/>
      <c r="O1102" s="154"/>
      <c r="P1102" s="125"/>
      <c r="Q1102" s="154"/>
      <c r="R1102" s="125"/>
      <c r="S1102" s="3"/>
      <c r="T1102" s="150"/>
      <c r="U1102" s="154"/>
      <c r="V1102" s="125"/>
      <c r="W1102" s="154"/>
      <c r="X1102" s="125"/>
      <c r="Y1102" s="3"/>
    </row>
    <row r="1103" spans="8:25" x14ac:dyDescent="0.3">
      <c r="H1103" s="102">
        <v>40549</v>
      </c>
      <c r="I1103" s="93">
        <v>51.281500000000001</v>
      </c>
      <c r="J1103" s="123">
        <f t="shared" si="134"/>
        <v>9.1865167336453776E-3</v>
      </c>
      <c r="K1103" s="93">
        <v>1273.84998</v>
      </c>
      <c r="L1103" s="124">
        <f t="shared" si="135"/>
        <v>-2.1229553429707505E-3</v>
      </c>
      <c r="N1103" s="150"/>
      <c r="O1103" s="154"/>
      <c r="P1103" s="125"/>
      <c r="Q1103" s="154"/>
      <c r="R1103" s="125"/>
      <c r="S1103" s="3"/>
      <c r="T1103" s="150"/>
      <c r="U1103" s="154"/>
      <c r="V1103" s="125"/>
      <c r="W1103" s="154"/>
      <c r="X1103" s="125"/>
      <c r="Y1103" s="3"/>
    </row>
    <row r="1104" spans="8:25" x14ac:dyDescent="0.3">
      <c r="H1104" s="102">
        <v>40548</v>
      </c>
      <c r="I1104" s="93">
        <v>50.814689999999999</v>
      </c>
      <c r="J1104" s="123">
        <f t="shared" si="134"/>
        <v>2.8340812619841362E-2</v>
      </c>
      <c r="K1104" s="93">
        <v>1276.56006</v>
      </c>
      <c r="L1104" s="124">
        <f t="shared" si="135"/>
        <v>5.0071722959838545E-3</v>
      </c>
      <c r="N1104" s="150"/>
      <c r="O1104" s="154"/>
      <c r="P1104" s="125"/>
      <c r="Q1104" s="154"/>
      <c r="R1104" s="125"/>
      <c r="S1104" s="3"/>
      <c r="T1104" s="150"/>
      <c r="U1104" s="154"/>
      <c r="V1104" s="125"/>
      <c r="W1104" s="154"/>
      <c r="X1104" s="125"/>
      <c r="Y1104" s="3"/>
    </row>
    <row r="1105" spans="8:25" x14ac:dyDescent="0.3">
      <c r="H1105" s="102">
        <v>40547</v>
      </c>
      <c r="I1105" s="93">
        <v>49.414250000000003</v>
      </c>
      <c r="J1105" s="123">
        <f t="shared" si="134"/>
        <v>-8.391724023893668E-3</v>
      </c>
      <c r="K1105" s="93">
        <v>1270.1999499999999</v>
      </c>
      <c r="L1105" s="124">
        <f t="shared" si="135"/>
        <v>-1.3130665869939119E-3</v>
      </c>
      <c r="N1105" s="150"/>
      <c r="O1105" s="154"/>
      <c r="P1105" s="125"/>
      <c r="Q1105" s="154"/>
      <c r="R1105" s="125"/>
      <c r="S1105" s="3"/>
      <c r="T1105" s="150"/>
      <c r="U1105" s="154"/>
      <c r="V1105" s="125"/>
      <c r="W1105" s="154"/>
      <c r="X1105" s="125"/>
      <c r="Y1105" s="3"/>
    </row>
    <row r="1106" spans="8:25" x14ac:dyDescent="0.3">
      <c r="H1106" s="102">
        <v>40546</v>
      </c>
      <c r="I1106" s="93">
        <v>49.832430000000002</v>
      </c>
      <c r="J1106" s="123">
        <f t="shared" si="134"/>
        <v>2.7677471430392092E-2</v>
      </c>
      <c r="K1106" s="93">
        <v>1271.8699999999999</v>
      </c>
      <c r="L1106" s="124">
        <f t="shared" si="135"/>
        <v>1.1314835634085635E-2</v>
      </c>
      <c r="N1106" s="150"/>
      <c r="O1106" s="154"/>
      <c r="P1106" s="125"/>
      <c r="Q1106" s="154"/>
      <c r="R1106" s="125"/>
      <c r="S1106" s="3"/>
      <c r="T1106" s="150"/>
      <c r="U1106" s="154"/>
      <c r="V1106" s="125"/>
      <c r="W1106" s="154"/>
      <c r="X1106" s="125"/>
      <c r="Y1106" s="3"/>
    </row>
    <row r="1107" spans="8:25" x14ac:dyDescent="0.3">
      <c r="H1107" s="102">
        <v>40543</v>
      </c>
      <c r="I1107" s="93">
        <v>48.490340000000003</v>
      </c>
      <c r="J1107" s="123">
        <f t="shared" si="134"/>
        <v>-9.9284147940035521E-3</v>
      </c>
      <c r="K1107" s="93">
        <v>1257.6400100000001</v>
      </c>
      <c r="L1107" s="124">
        <f t="shared" si="135"/>
        <v>-1.9078926447676592E-4</v>
      </c>
      <c r="N1107" s="150"/>
      <c r="O1107" s="154"/>
      <c r="P1107" s="125"/>
      <c r="Q1107" s="154"/>
      <c r="R1107" s="125"/>
      <c r="S1107" s="3"/>
      <c r="T1107" s="150"/>
      <c r="U1107" s="154"/>
      <c r="V1107" s="125"/>
      <c r="W1107" s="154"/>
      <c r="X1107" s="125"/>
      <c r="Y1107" s="3"/>
    </row>
    <row r="1108" spans="8:25" x14ac:dyDescent="0.3">
      <c r="H1108" s="102">
        <v>40542</v>
      </c>
      <c r="I1108" s="93">
        <v>48.976599999999998</v>
      </c>
      <c r="J1108" s="123">
        <f t="shared" si="134"/>
        <v>1.1651113533807517E-2</v>
      </c>
      <c r="K1108" s="93">
        <v>1257.8800000000001</v>
      </c>
      <c r="L1108" s="124">
        <f t="shared" si="135"/>
        <v>-1.5082236221825075E-3</v>
      </c>
      <c r="N1108" s="150"/>
      <c r="O1108" s="154"/>
      <c r="P1108" s="125"/>
      <c r="Q1108" s="154"/>
      <c r="R1108" s="125"/>
      <c r="S1108" s="3"/>
      <c r="T1108" s="150"/>
      <c r="U1108" s="154"/>
      <c r="V1108" s="125"/>
      <c r="W1108" s="154"/>
      <c r="X1108" s="125"/>
      <c r="Y1108" s="3"/>
    </row>
    <row r="1109" spans="8:25" x14ac:dyDescent="0.3">
      <c r="H1109" s="102">
        <v>40541</v>
      </c>
      <c r="I1109" s="93">
        <v>48.41254</v>
      </c>
      <c r="J1109" s="123">
        <f t="shared" si="134"/>
        <v>-7.3779462884525707E-3</v>
      </c>
      <c r="K1109" s="93">
        <v>1259.7800299999999</v>
      </c>
      <c r="L1109" s="124">
        <f t="shared" si="135"/>
        <v>1.0091457278118363E-3</v>
      </c>
      <c r="N1109" s="150"/>
      <c r="O1109" s="154"/>
      <c r="P1109" s="125"/>
      <c r="Q1109" s="154"/>
      <c r="R1109" s="125"/>
      <c r="S1109" s="3"/>
      <c r="T1109" s="150"/>
      <c r="U1109" s="154"/>
      <c r="V1109" s="125"/>
      <c r="W1109" s="154"/>
      <c r="X1109" s="125"/>
      <c r="Y1109" s="3"/>
    </row>
    <row r="1110" spans="8:25" x14ac:dyDescent="0.3">
      <c r="H1110" s="102">
        <v>40540</v>
      </c>
      <c r="I1110" s="93">
        <v>48.772379999999998</v>
      </c>
      <c r="J1110" s="123">
        <f t="shared" si="134"/>
        <v>-1.3765758857779292E-2</v>
      </c>
      <c r="K1110" s="93">
        <v>1258.51001</v>
      </c>
      <c r="L1110" s="124">
        <f t="shared" si="135"/>
        <v>7.7132335285314305E-4</v>
      </c>
      <c r="N1110" s="150"/>
      <c r="O1110" s="154"/>
      <c r="P1110" s="125"/>
      <c r="Q1110" s="154"/>
      <c r="R1110" s="125"/>
      <c r="S1110" s="3"/>
      <c r="T1110" s="150"/>
      <c r="U1110" s="154"/>
      <c r="V1110" s="125"/>
      <c r="W1110" s="154"/>
      <c r="X1110" s="125"/>
      <c r="Y1110" s="3"/>
    </row>
    <row r="1111" spans="8:25" x14ac:dyDescent="0.3">
      <c r="H1111" s="102">
        <v>40539</v>
      </c>
      <c r="I1111" s="93">
        <v>49.453139999999998</v>
      </c>
      <c r="J1111" s="123">
        <f t="shared" si="134"/>
        <v>8.7283629265991636E-3</v>
      </c>
      <c r="K1111" s="93">
        <v>1257.5400400000001</v>
      </c>
      <c r="L1111" s="124">
        <f t="shared" si="135"/>
        <v>6.1269761988765352E-4</v>
      </c>
      <c r="N1111" s="150"/>
      <c r="O1111" s="154"/>
      <c r="P1111" s="125"/>
      <c r="Q1111" s="154"/>
      <c r="R1111" s="125"/>
      <c r="S1111" s="3"/>
      <c r="T1111" s="150"/>
      <c r="U1111" s="154"/>
      <c r="V1111" s="125"/>
      <c r="W1111" s="154"/>
      <c r="X1111" s="125"/>
      <c r="Y1111" s="3"/>
    </row>
    <row r="1112" spans="8:25" x14ac:dyDescent="0.3">
      <c r="H1112" s="102">
        <v>40535</v>
      </c>
      <c r="I1112" s="93">
        <v>49.025230000000001</v>
      </c>
      <c r="J1112" s="123">
        <f t="shared" si="134"/>
        <v>-1.1762441101620178E-2</v>
      </c>
      <c r="K1112" s="93">
        <v>1256.7700199999999</v>
      </c>
      <c r="L1112" s="124">
        <f t="shared" si="135"/>
        <v>-1.6443313283101924E-3</v>
      </c>
      <c r="N1112" s="150"/>
      <c r="O1112" s="154"/>
      <c r="P1112" s="125"/>
      <c r="Q1112" s="154"/>
      <c r="R1112" s="125"/>
      <c r="S1112" s="3"/>
      <c r="T1112" s="150"/>
      <c r="U1112" s="154"/>
      <c r="V1112" s="125"/>
      <c r="W1112" s="154"/>
      <c r="X1112" s="125"/>
      <c r="Y1112" s="3"/>
    </row>
    <row r="1113" spans="8:25" x14ac:dyDescent="0.3">
      <c r="H1113" s="102">
        <v>40534</v>
      </c>
      <c r="I1113" s="93">
        <v>49.608750000000001</v>
      </c>
      <c r="J1113" s="123">
        <f t="shared" si="134"/>
        <v>-1.2199769660129232E-2</v>
      </c>
      <c r="K1113" s="93">
        <v>1258.83997</v>
      </c>
      <c r="L1113" s="124">
        <f t="shared" si="135"/>
        <v>3.3795552906034916E-3</v>
      </c>
      <c r="N1113" s="150"/>
      <c r="O1113" s="154"/>
      <c r="P1113" s="125"/>
      <c r="Q1113" s="154"/>
      <c r="R1113" s="125"/>
      <c r="S1113" s="3"/>
      <c r="T1113" s="150"/>
      <c r="U1113" s="154"/>
      <c r="V1113" s="125"/>
      <c r="W1113" s="154"/>
      <c r="X1113" s="125"/>
      <c r="Y1113" s="3"/>
    </row>
    <row r="1114" spans="8:25" x14ac:dyDescent="0.3">
      <c r="H1114" s="102">
        <v>40533</v>
      </c>
      <c r="I1114" s="93">
        <v>50.221440000000001</v>
      </c>
      <c r="J1114" s="123">
        <f t="shared" si="134"/>
        <v>4.9380043545306861E-2</v>
      </c>
      <c r="K1114" s="93">
        <v>1254.59998</v>
      </c>
      <c r="L1114" s="124">
        <f t="shared" si="135"/>
        <v>6.0301025124322675E-3</v>
      </c>
      <c r="N1114" s="150"/>
      <c r="O1114" s="154"/>
      <c r="P1114" s="125"/>
      <c r="Q1114" s="154"/>
      <c r="R1114" s="125"/>
      <c r="S1114" s="3"/>
      <c r="T1114" s="150"/>
      <c r="U1114" s="154"/>
      <c r="V1114" s="125"/>
      <c r="W1114" s="154"/>
      <c r="X1114" s="125"/>
      <c r="Y1114" s="3"/>
    </row>
    <row r="1115" spans="8:25" x14ac:dyDescent="0.3">
      <c r="H1115" s="102">
        <v>40532</v>
      </c>
      <c r="I1115" s="93">
        <v>47.858199999999997</v>
      </c>
      <c r="J1115" s="123">
        <f t="shared" si="134"/>
        <v>6.9574412977067776E-3</v>
      </c>
      <c r="K1115" s="93">
        <v>1247.07996</v>
      </c>
      <c r="L1115" s="124">
        <f t="shared" si="135"/>
        <v>2.548359546550181E-3</v>
      </c>
      <c r="N1115" s="150"/>
      <c r="O1115" s="154"/>
      <c r="P1115" s="125"/>
      <c r="Q1115" s="154"/>
      <c r="R1115" s="125"/>
      <c r="S1115" s="3"/>
      <c r="T1115" s="150"/>
      <c r="U1115" s="154"/>
      <c r="V1115" s="125"/>
      <c r="W1115" s="154"/>
      <c r="X1115" s="125"/>
      <c r="Y1115" s="3"/>
    </row>
    <row r="1116" spans="8:25" x14ac:dyDescent="0.3">
      <c r="H1116" s="102">
        <v>40529</v>
      </c>
      <c r="I1116" s="93">
        <v>47.527529999999999</v>
      </c>
      <c r="J1116" s="123">
        <f t="shared" si="134"/>
        <v>3.6967440776068923E-3</v>
      </c>
      <c r="K1116" s="93">
        <v>1243.91003</v>
      </c>
      <c r="L1116" s="124">
        <f t="shared" si="135"/>
        <v>8.3679709060490261E-4</v>
      </c>
      <c r="N1116" s="150"/>
      <c r="O1116" s="154"/>
      <c r="P1116" s="125"/>
      <c r="Q1116" s="154"/>
      <c r="R1116" s="125"/>
      <c r="S1116" s="3"/>
      <c r="T1116" s="150"/>
      <c r="U1116" s="154"/>
      <c r="V1116" s="125"/>
      <c r="W1116" s="154"/>
      <c r="X1116" s="125"/>
      <c r="Y1116" s="3"/>
    </row>
    <row r="1117" spans="8:25" x14ac:dyDescent="0.3">
      <c r="H1117" s="102">
        <v>40528</v>
      </c>
      <c r="I1117" s="93">
        <v>47.35248</v>
      </c>
      <c r="J1117" s="123">
        <f t="shared" si="134"/>
        <v>1.0585299923233666E-2</v>
      </c>
      <c r="K1117" s="93">
        <v>1242.8699999999999</v>
      </c>
      <c r="L1117" s="124">
        <f t="shared" si="135"/>
        <v>6.1850992314806197E-3</v>
      </c>
      <c r="N1117" s="150"/>
      <c r="O1117" s="154"/>
      <c r="P1117" s="125"/>
      <c r="Q1117" s="154"/>
      <c r="R1117" s="125"/>
      <c r="S1117" s="3"/>
      <c r="T1117" s="150"/>
      <c r="U1117" s="154"/>
      <c r="V1117" s="125"/>
      <c r="W1117" s="154"/>
      <c r="X1117" s="125"/>
      <c r="Y1117" s="3"/>
    </row>
    <row r="1118" spans="8:25" x14ac:dyDescent="0.3">
      <c r="H1118" s="102">
        <v>40527</v>
      </c>
      <c r="I1118" s="93">
        <v>46.856490000000001</v>
      </c>
      <c r="J1118" s="123">
        <f t="shared" si="134"/>
        <v>-2.4301420574455897E-2</v>
      </c>
      <c r="K1118" s="93">
        <v>1235.2299800000001</v>
      </c>
      <c r="L1118" s="124">
        <f t="shared" si="135"/>
        <v>-5.1224560069536686E-3</v>
      </c>
      <c r="N1118" s="150"/>
      <c r="O1118" s="154"/>
      <c r="P1118" s="125"/>
      <c r="Q1118" s="154"/>
      <c r="R1118" s="125"/>
      <c r="S1118" s="3"/>
      <c r="T1118" s="150"/>
      <c r="U1118" s="154"/>
      <c r="V1118" s="125"/>
      <c r="W1118" s="154"/>
      <c r="X1118" s="125"/>
      <c r="Y1118" s="3"/>
    </row>
    <row r="1119" spans="8:25" x14ac:dyDescent="0.3">
      <c r="H1119" s="102">
        <v>40526</v>
      </c>
      <c r="I1119" s="93">
        <v>48.023530000000001</v>
      </c>
      <c r="J1119" s="123">
        <f t="shared" si="134"/>
        <v>-9.8253486696716838E-3</v>
      </c>
      <c r="K1119" s="93">
        <v>1241.58997</v>
      </c>
      <c r="L1119" s="124">
        <f t="shared" si="135"/>
        <v>9.109604795305799E-4</v>
      </c>
      <c r="N1119" s="150"/>
      <c r="O1119" s="154"/>
      <c r="P1119" s="125"/>
      <c r="Q1119" s="154"/>
      <c r="R1119" s="125"/>
      <c r="S1119" s="3"/>
      <c r="T1119" s="150"/>
      <c r="U1119" s="154"/>
      <c r="V1119" s="125"/>
      <c r="W1119" s="154"/>
      <c r="X1119" s="125"/>
      <c r="Y1119" s="3"/>
    </row>
    <row r="1120" spans="8:25" x14ac:dyDescent="0.3">
      <c r="H1120" s="102">
        <v>40525</v>
      </c>
      <c r="I1120" s="93">
        <v>48.500059999999998</v>
      </c>
      <c r="J1120" s="123">
        <f t="shared" si="134"/>
        <v>5.4434850245079101E-3</v>
      </c>
      <c r="K1120" s="93">
        <v>1240.4599599999999</v>
      </c>
      <c r="L1120" s="124">
        <f t="shared" si="135"/>
        <v>4.8323120794426895E-5</v>
      </c>
      <c r="N1120" s="150"/>
      <c r="O1120" s="154"/>
      <c r="P1120" s="125"/>
      <c r="Q1120" s="154"/>
      <c r="R1120" s="125"/>
      <c r="S1120" s="3"/>
      <c r="T1120" s="150"/>
      <c r="U1120" s="154"/>
      <c r="V1120" s="125"/>
      <c r="W1120" s="154"/>
      <c r="X1120" s="125"/>
      <c r="Y1120" s="3"/>
    </row>
    <row r="1121" spans="8:25" x14ac:dyDescent="0.3">
      <c r="H1121" s="102">
        <v>40522</v>
      </c>
      <c r="I1121" s="93">
        <v>48.237479999999998</v>
      </c>
      <c r="J1121" s="123">
        <f t="shared" si="134"/>
        <v>4.1141931635014929E-2</v>
      </c>
      <c r="K1121" s="93">
        <v>1240.40002</v>
      </c>
      <c r="L1121" s="124">
        <f t="shared" si="135"/>
        <v>6.0016382806164156E-3</v>
      </c>
      <c r="N1121" s="150"/>
      <c r="O1121" s="154"/>
      <c r="P1121" s="125"/>
      <c r="Q1121" s="154"/>
      <c r="R1121" s="125"/>
      <c r="S1121" s="3"/>
      <c r="T1121" s="150"/>
      <c r="U1121" s="154"/>
      <c r="V1121" s="125"/>
      <c r="W1121" s="154"/>
      <c r="X1121" s="125"/>
      <c r="Y1121" s="3"/>
    </row>
    <row r="1122" spans="8:25" x14ac:dyDescent="0.3">
      <c r="H1122" s="102">
        <v>40521</v>
      </c>
      <c r="I1122" s="93">
        <v>46.331319999999998</v>
      </c>
      <c r="J1122" s="123">
        <f t="shared" si="134"/>
        <v>-5.220457735849302E-3</v>
      </c>
      <c r="K1122" s="93">
        <v>1233</v>
      </c>
      <c r="L1122" s="124">
        <f t="shared" si="135"/>
        <v>3.8427474881278525E-3</v>
      </c>
      <c r="N1122" s="150"/>
      <c r="O1122" s="154"/>
      <c r="P1122" s="125"/>
      <c r="Q1122" s="154"/>
      <c r="R1122" s="125"/>
      <c r="S1122" s="3"/>
      <c r="T1122" s="150"/>
      <c r="U1122" s="154"/>
      <c r="V1122" s="125"/>
      <c r="W1122" s="154"/>
      <c r="X1122" s="125"/>
      <c r="Y1122" s="3"/>
    </row>
    <row r="1123" spans="8:25" x14ac:dyDescent="0.3">
      <c r="H1123" s="102">
        <v>40520</v>
      </c>
      <c r="I1123" s="93">
        <v>46.574460000000002</v>
      </c>
      <c r="J1123" s="123">
        <f t="shared" si="134"/>
        <v>2.9320625432025685E-3</v>
      </c>
      <c r="K1123" s="93">
        <v>1228.2800299999999</v>
      </c>
      <c r="L1123" s="124">
        <f t="shared" si="135"/>
        <v>3.701760980592357E-3</v>
      </c>
      <c r="N1123" s="150"/>
      <c r="O1123" s="154"/>
      <c r="P1123" s="125"/>
      <c r="Q1123" s="154"/>
      <c r="R1123" s="125"/>
      <c r="S1123" s="3"/>
      <c r="T1123" s="150"/>
      <c r="U1123" s="154"/>
      <c r="V1123" s="125"/>
      <c r="W1123" s="154"/>
      <c r="X1123" s="125"/>
      <c r="Y1123" s="3"/>
    </row>
    <row r="1124" spans="8:25" x14ac:dyDescent="0.3">
      <c r="H1124" s="102">
        <v>40519</v>
      </c>
      <c r="I1124" s="93">
        <v>46.438299999999998</v>
      </c>
      <c r="J1124" s="123">
        <f t="shared" si="134"/>
        <v>6.2854011699854282E-4</v>
      </c>
      <c r="K1124" s="93">
        <v>1223.75</v>
      </c>
      <c r="L1124" s="124">
        <f t="shared" si="135"/>
        <v>5.1507619857422754E-4</v>
      </c>
      <c r="N1124" s="150"/>
      <c r="O1124" s="154"/>
      <c r="P1124" s="125"/>
      <c r="Q1124" s="154"/>
      <c r="R1124" s="125"/>
      <c r="S1124" s="3"/>
      <c r="T1124" s="150"/>
      <c r="U1124" s="154"/>
      <c r="V1124" s="125"/>
      <c r="W1124" s="154"/>
      <c r="X1124" s="125"/>
      <c r="Y1124" s="3"/>
    </row>
    <row r="1125" spans="8:25" x14ac:dyDescent="0.3">
      <c r="H1125" s="102">
        <v>40518</v>
      </c>
      <c r="I1125" s="93">
        <v>46.409129999999998</v>
      </c>
      <c r="J1125" s="123">
        <f t="shared" si="134"/>
        <v>-1.2212736032583809E-2</v>
      </c>
      <c r="K1125" s="93">
        <v>1223.1199999999999</v>
      </c>
      <c r="L1125" s="124">
        <f t="shared" si="135"/>
        <v>-1.2982339100108399E-3</v>
      </c>
      <c r="N1125" s="150"/>
      <c r="O1125" s="154"/>
      <c r="P1125" s="125"/>
      <c r="Q1125" s="154"/>
      <c r="R1125" s="125"/>
      <c r="S1125" s="3"/>
      <c r="T1125" s="150"/>
      <c r="U1125" s="154"/>
      <c r="V1125" s="125"/>
      <c r="W1125" s="154"/>
      <c r="X1125" s="125"/>
      <c r="Y1125" s="3"/>
    </row>
    <row r="1126" spans="8:25" x14ac:dyDescent="0.3">
      <c r="H1126" s="102">
        <v>40515</v>
      </c>
      <c r="I1126" s="93">
        <v>46.98292</v>
      </c>
      <c r="J1126" s="123">
        <f t="shared" si="134"/>
        <v>6.4584568210528503E-3</v>
      </c>
      <c r="K1126" s="93">
        <v>1224.7099599999999</v>
      </c>
      <c r="L1126" s="124">
        <f t="shared" si="135"/>
        <v>2.603235222960514E-3</v>
      </c>
      <c r="N1126" s="150"/>
      <c r="O1126" s="154"/>
      <c r="P1126" s="125"/>
      <c r="Q1126" s="154"/>
      <c r="R1126" s="125"/>
      <c r="S1126" s="3"/>
      <c r="T1126" s="150"/>
      <c r="U1126" s="154"/>
      <c r="V1126" s="125"/>
      <c r="W1126" s="154"/>
      <c r="X1126" s="125"/>
      <c r="Y1126" s="3"/>
    </row>
    <row r="1127" spans="8:25" x14ac:dyDescent="0.3">
      <c r="H1127" s="102">
        <v>40514</v>
      </c>
      <c r="I1127" s="93">
        <v>46.681429999999999</v>
      </c>
      <c r="J1127" s="123">
        <f t="shared" si="134"/>
        <v>2.3454095609345454E-2</v>
      </c>
      <c r="K1127" s="93">
        <v>1221.5300299999999</v>
      </c>
      <c r="L1127" s="124">
        <f t="shared" si="135"/>
        <v>1.2818559984849829E-2</v>
      </c>
      <c r="N1127" s="150"/>
      <c r="O1127" s="154"/>
      <c r="P1127" s="125"/>
      <c r="Q1127" s="154"/>
      <c r="R1127" s="125"/>
      <c r="S1127" s="3"/>
      <c r="T1127" s="150"/>
      <c r="U1127" s="154"/>
      <c r="V1127" s="125"/>
      <c r="W1127" s="154"/>
      <c r="X1127" s="125"/>
      <c r="Y1127" s="3"/>
    </row>
    <row r="1128" spans="8:25" x14ac:dyDescent="0.3">
      <c r="H1128" s="102">
        <v>40513</v>
      </c>
      <c r="I1128" s="93">
        <v>45.611649999999997</v>
      </c>
      <c r="J1128" s="123">
        <f t="shared" si="134"/>
        <v>5.1569539292718708E-2</v>
      </c>
      <c r="K1128" s="93">
        <v>1206.0699500000001</v>
      </c>
      <c r="L1128" s="124">
        <f t="shared" si="135"/>
        <v>2.1616957281904318E-2</v>
      </c>
      <c r="N1128" s="150"/>
      <c r="O1128" s="154"/>
      <c r="P1128" s="125"/>
      <c r="Q1128" s="154"/>
      <c r="R1128" s="125"/>
      <c r="S1128" s="3"/>
      <c r="T1128" s="150"/>
      <c r="U1128" s="154"/>
      <c r="V1128" s="125"/>
      <c r="W1128" s="154"/>
      <c r="X1128" s="125"/>
      <c r="Y1128" s="3"/>
    </row>
    <row r="1129" spans="8:25" x14ac:dyDescent="0.3">
      <c r="H1129" s="102">
        <v>40512</v>
      </c>
      <c r="I1129" s="93">
        <v>43.374830000000003</v>
      </c>
      <c r="J1129" s="123">
        <f t="shared" si="134"/>
        <v>-1.3710781348771404E-2</v>
      </c>
      <c r="K1129" s="93">
        <v>1180.5500500000001</v>
      </c>
      <c r="L1129" s="124">
        <f t="shared" si="135"/>
        <v>-6.0702161541875028E-3</v>
      </c>
      <c r="N1129" s="150"/>
      <c r="O1129" s="154"/>
      <c r="P1129" s="125"/>
      <c r="Q1129" s="154"/>
      <c r="R1129" s="125"/>
      <c r="S1129" s="3"/>
      <c r="T1129" s="150"/>
      <c r="U1129" s="154"/>
      <c r="V1129" s="125"/>
      <c r="W1129" s="154"/>
      <c r="X1129" s="125"/>
      <c r="Y1129" s="3"/>
    </row>
    <row r="1130" spans="8:25" x14ac:dyDescent="0.3">
      <c r="H1130" s="102">
        <v>40511</v>
      </c>
      <c r="I1130" s="93">
        <v>43.977800000000002</v>
      </c>
      <c r="J1130" s="123">
        <f t="shared" si="134"/>
        <v>6.0066036497128418E-3</v>
      </c>
      <c r="K1130" s="93">
        <v>1187.76001</v>
      </c>
      <c r="L1130" s="124">
        <f t="shared" si="135"/>
        <v>-1.3788548616302148E-3</v>
      </c>
      <c r="N1130" s="150"/>
      <c r="O1130" s="154"/>
      <c r="P1130" s="125"/>
      <c r="Q1130" s="154"/>
      <c r="R1130" s="125"/>
      <c r="S1130" s="3"/>
      <c r="T1130" s="150"/>
      <c r="U1130" s="154"/>
      <c r="V1130" s="125"/>
      <c r="W1130" s="154"/>
      <c r="X1130" s="125"/>
      <c r="Y1130" s="3"/>
    </row>
    <row r="1131" spans="8:25" x14ac:dyDescent="0.3">
      <c r="H1131" s="102">
        <v>40508</v>
      </c>
      <c r="I1131" s="93">
        <v>43.715220000000002</v>
      </c>
      <c r="J1131" s="123">
        <f t="shared" si="134"/>
        <v>-1.3329961435632788E-3</v>
      </c>
      <c r="K1131" s="93">
        <v>1189.40002</v>
      </c>
      <c r="L1131" s="124">
        <f t="shared" si="135"/>
        <v>-7.4685694074112805E-3</v>
      </c>
      <c r="N1131" s="150"/>
      <c r="O1131" s="154"/>
      <c r="P1131" s="125"/>
      <c r="Q1131" s="154"/>
      <c r="R1131" s="125"/>
      <c r="S1131" s="3"/>
      <c r="T1131" s="150"/>
      <c r="U1131" s="154"/>
      <c r="V1131" s="125"/>
      <c r="W1131" s="154"/>
      <c r="X1131" s="125"/>
      <c r="Y1131" s="3"/>
    </row>
    <row r="1132" spans="8:25" x14ac:dyDescent="0.3">
      <c r="H1132" s="102">
        <v>40506</v>
      </c>
      <c r="I1132" s="93">
        <v>43.773569999999999</v>
      </c>
      <c r="J1132" s="123">
        <f t="shared" si="134"/>
        <v>4.7718902016951725E-2</v>
      </c>
      <c r="K1132" s="93">
        <v>1198.34998</v>
      </c>
      <c r="L1132" s="124">
        <f t="shared" si="135"/>
        <v>1.4922971634886319E-2</v>
      </c>
      <c r="N1132" s="150"/>
      <c r="O1132" s="154"/>
      <c r="P1132" s="125"/>
      <c r="Q1132" s="154"/>
      <c r="R1132" s="125"/>
      <c r="S1132" s="3"/>
      <c r="T1132" s="150"/>
      <c r="U1132" s="154"/>
      <c r="V1132" s="125"/>
      <c r="W1132" s="154"/>
      <c r="X1132" s="125"/>
      <c r="Y1132" s="3"/>
    </row>
    <row r="1133" spans="8:25" x14ac:dyDescent="0.3">
      <c r="H1133" s="102">
        <v>40505</v>
      </c>
      <c r="I1133" s="93">
        <v>41.779879999999999</v>
      </c>
      <c r="J1133" s="123">
        <f t="shared" si="134"/>
        <v>9.161219885702173E-3</v>
      </c>
      <c r="K1133" s="93">
        <v>1180.7299800000001</v>
      </c>
      <c r="L1133" s="124">
        <f t="shared" si="135"/>
        <v>-1.4284036623022293E-2</v>
      </c>
      <c r="N1133" s="150"/>
      <c r="O1133" s="154"/>
      <c r="P1133" s="125"/>
      <c r="Q1133" s="154"/>
      <c r="R1133" s="125"/>
      <c r="S1133" s="3"/>
      <c r="T1133" s="150"/>
      <c r="U1133" s="154"/>
      <c r="V1133" s="125"/>
      <c r="W1133" s="154"/>
      <c r="X1133" s="125"/>
      <c r="Y1133" s="3"/>
    </row>
    <row r="1134" spans="8:25" x14ac:dyDescent="0.3">
      <c r="H1134" s="102">
        <v>40504</v>
      </c>
      <c r="I1134" s="93">
        <v>41.400599999999997</v>
      </c>
      <c r="J1134" s="123">
        <f t="shared" si="134"/>
        <v>6.4782594606105498E-2</v>
      </c>
      <c r="K1134" s="93">
        <v>1197.83997</v>
      </c>
      <c r="L1134" s="124">
        <f t="shared" si="135"/>
        <v>-1.5753628162230927E-3</v>
      </c>
      <c r="N1134" s="150"/>
      <c r="O1134" s="154"/>
      <c r="P1134" s="125"/>
      <c r="Q1134" s="154"/>
      <c r="R1134" s="125"/>
      <c r="S1134" s="3"/>
      <c r="T1134" s="150"/>
      <c r="U1134" s="154"/>
      <c r="V1134" s="125"/>
      <c r="W1134" s="154"/>
      <c r="X1134" s="125"/>
      <c r="Y1134" s="3"/>
    </row>
    <row r="1135" spans="8:25" x14ac:dyDescent="0.3">
      <c r="H1135" s="102">
        <v>40501</v>
      </c>
      <c r="I1135" s="93">
        <v>38.881740000000001</v>
      </c>
      <c r="J1135" s="123">
        <f t="shared" si="134"/>
        <v>3.8711094156229343E-2</v>
      </c>
      <c r="K1135" s="93">
        <v>1199.7299800000001</v>
      </c>
      <c r="L1135" s="124">
        <f t="shared" si="135"/>
        <v>2.5403739919465608E-3</v>
      </c>
      <c r="N1135" s="150"/>
      <c r="O1135" s="154"/>
      <c r="P1135" s="125"/>
      <c r="Q1135" s="154"/>
      <c r="R1135" s="125"/>
      <c r="S1135" s="3"/>
      <c r="T1135" s="150"/>
      <c r="U1135" s="154"/>
      <c r="V1135" s="125"/>
      <c r="W1135" s="154"/>
      <c r="X1135" s="125"/>
      <c r="Y1135" s="3"/>
    </row>
    <row r="1136" spans="8:25" x14ac:dyDescent="0.3">
      <c r="H1136" s="102">
        <v>40500</v>
      </c>
      <c r="I1136" s="93">
        <v>37.432679999999998</v>
      </c>
      <c r="J1136" s="123">
        <f t="shared" si="134"/>
        <v>1.4764126928876031E-2</v>
      </c>
      <c r="K1136" s="93">
        <v>1196.68994</v>
      </c>
      <c r="L1136" s="124">
        <f t="shared" si="135"/>
        <v>1.535730869998833E-2</v>
      </c>
      <c r="N1136" s="150"/>
      <c r="O1136" s="154"/>
      <c r="P1136" s="125"/>
      <c r="Q1136" s="154"/>
      <c r="R1136" s="125"/>
      <c r="S1136" s="3"/>
      <c r="T1136" s="150"/>
      <c r="U1136" s="154"/>
      <c r="V1136" s="125"/>
      <c r="W1136" s="154"/>
      <c r="X1136" s="125"/>
      <c r="Y1136" s="3"/>
    </row>
    <row r="1137" spans="8:25" x14ac:dyDescent="0.3">
      <c r="H1137" s="102">
        <v>40499</v>
      </c>
      <c r="I1137" s="93">
        <v>36.888060000000003</v>
      </c>
      <c r="J1137" s="123">
        <f t="shared" si="134"/>
        <v>-7.5875522496716818E-3</v>
      </c>
      <c r="K1137" s="93">
        <v>1178.58997</v>
      </c>
      <c r="L1137" s="124">
        <f t="shared" si="135"/>
        <v>2.1216287859606426E-4</v>
      </c>
      <c r="N1137" s="150"/>
      <c r="O1137" s="154"/>
      <c r="P1137" s="125"/>
      <c r="Q1137" s="154"/>
      <c r="R1137" s="125"/>
      <c r="S1137" s="3"/>
      <c r="T1137" s="150"/>
      <c r="U1137" s="154"/>
      <c r="V1137" s="125"/>
      <c r="W1137" s="154"/>
      <c r="X1137" s="125"/>
      <c r="Y1137" s="3"/>
    </row>
    <row r="1138" spans="8:25" x14ac:dyDescent="0.3">
      <c r="H1138" s="102">
        <v>40498</v>
      </c>
      <c r="I1138" s="93">
        <v>37.170090000000002</v>
      </c>
      <c r="J1138" s="123">
        <f t="shared" si="134"/>
        <v>-2.425316959446874E-2</v>
      </c>
      <c r="K1138" s="93">
        <v>1178.33997</v>
      </c>
      <c r="L1138" s="124">
        <f t="shared" si="135"/>
        <v>-1.6205410144020042E-2</v>
      </c>
      <c r="N1138" s="150"/>
      <c r="O1138" s="154"/>
      <c r="P1138" s="125"/>
      <c r="Q1138" s="154"/>
      <c r="R1138" s="125"/>
      <c r="S1138" s="3"/>
      <c r="T1138" s="150"/>
      <c r="U1138" s="154"/>
      <c r="V1138" s="125"/>
      <c r="W1138" s="154"/>
      <c r="X1138" s="125"/>
      <c r="Y1138" s="3"/>
    </row>
    <row r="1139" spans="8:25" x14ac:dyDescent="0.3">
      <c r="H1139" s="102">
        <v>40497</v>
      </c>
      <c r="I1139" s="93">
        <v>38.093989999999998</v>
      </c>
      <c r="J1139" s="123">
        <f t="shared" si="134"/>
        <v>-1.010887661853899E-2</v>
      </c>
      <c r="K1139" s="93">
        <v>1197.75</v>
      </c>
      <c r="L1139" s="124">
        <f t="shared" si="135"/>
        <v>-1.2174348518585603E-3</v>
      </c>
      <c r="N1139" s="150"/>
      <c r="O1139" s="154"/>
      <c r="P1139" s="125"/>
      <c r="Q1139" s="154"/>
      <c r="R1139" s="125"/>
      <c r="S1139" s="3"/>
      <c r="T1139" s="150"/>
      <c r="U1139" s="154"/>
      <c r="V1139" s="125"/>
      <c r="W1139" s="154"/>
      <c r="X1139" s="125"/>
      <c r="Y1139" s="3"/>
    </row>
    <row r="1140" spans="8:25" x14ac:dyDescent="0.3">
      <c r="H1140" s="102">
        <v>40494</v>
      </c>
      <c r="I1140" s="93">
        <v>38.48301</v>
      </c>
      <c r="J1140" s="123">
        <f t="shared" si="134"/>
        <v>-2.1029182139962563E-2</v>
      </c>
      <c r="K1140" s="93">
        <v>1199.2099599999999</v>
      </c>
      <c r="L1140" s="124">
        <f t="shared" si="135"/>
        <v>-1.1808493768363983E-2</v>
      </c>
      <c r="N1140" s="150"/>
      <c r="O1140" s="154"/>
      <c r="P1140" s="125"/>
      <c r="Q1140" s="154"/>
      <c r="R1140" s="125"/>
      <c r="S1140" s="3"/>
      <c r="T1140" s="150"/>
      <c r="U1140" s="154"/>
      <c r="V1140" s="125"/>
      <c r="W1140" s="154"/>
      <c r="X1140" s="125"/>
      <c r="Y1140" s="3"/>
    </row>
    <row r="1141" spans="8:25" x14ac:dyDescent="0.3">
      <c r="H1141" s="102">
        <v>40493</v>
      </c>
      <c r="I1141" s="93">
        <v>39.309660000000001</v>
      </c>
      <c r="J1141" s="123">
        <f t="shared" si="134"/>
        <v>3.4758191124102731E-3</v>
      </c>
      <c r="K1141" s="93">
        <v>1213.5400400000001</v>
      </c>
      <c r="L1141" s="124">
        <f t="shared" si="135"/>
        <v>-4.242125008972455E-3</v>
      </c>
      <c r="N1141" s="150"/>
      <c r="O1141" s="154"/>
      <c r="P1141" s="125"/>
      <c r="Q1141" s="154"/>
      <c r="R1141" s="125"/>
      <c r="S1141" s="3"/>
      <c r="T1141" s="150"/>
      <c r="U1141" s="154"/>
      <c r="V1141" s="125"/>
      <c r="W1141" s="154"/>
      <c r="X1141" s="125"/>
      <c r="Y1141" s="3"/>
    </row>
    <row r="1142" spans="8:25" x14ac:dyDescent="0.3">
      <c r="H1142" s="102">
        <v>40492</v>
      </c>
      <c r="I1142" s="93">
        <v>39.173499999999997</v>
      </c>
      <c r="J1142" s="123">
        <f t="shared" si="134"/>
        <v>1.0030040358916643E-2</v>
      </c>
      <c r="K1142" s="93">
        <v>1218.7099599999999</v>
      </c>
      <c r="L1142" s="124">
        <f t="shared" si="135"/>
        <v>4.3760836595337039E-3</v>
      </c>
      <c r="N1142" s="150"/>
      <c r="O1142" s="154"/>
      <c r="P1142" s="125"/>
      <c r="Q1142" s="154"/>
      <c r="R1142" s="125"/>
      <c r="S1142" s="3"/>
      <c r="T1142" s="150"/>
      <c r="U1142" s="154"/>
      <c r="V1142" s="125"/>
      <c r="W1142" s="154"/>
      <c r="X1142" s="125"/>
      <c r="Y1142" s="3"/>
    </row>
    <row r="1143" spans="8:25" x14ac:dyDescent="0.3">
      <c r="H1143" s="102">
        <v>40491</v>
      </c>
      <c r="I1143" s="93">
        <v>38.784489999999998</v>
      </c>
      <c r="J1143" s="123">
        <f t="shared" si="134"/>
        <v>-3.6016449948749231E-2</v>
      </c>
      <c r="K1143" s="93">
        <v>1213.40002</v>
      </c>
      <c r="L1143" s="124">
        <f t="shared" si="135"/>
        <v>-8.0523032904148452E-3</v>
      </c>
      <c r="N1143" s="150"/>
      <c r="O1143" s="154"/>
      <c r="P1143" s="125"/>
      <c r="Q1143" s="154"/>
      <c r="R1143" s="125"/>
      <c r="S1143" s="3"/>
      <c r="T1143" s="150"/>
      <c r="U1143" s="154"/>
      <c r="V1143" s="125"/>
      <c r="W1143" s="154"/>
      <c r="X1143" s="125"/>
      <c r="Y1143" s="3"/>
    </row>
    <row r="1144" spans="8:25" x14ac:dyDescent="0.3">
      <c r="H1144" s="102">
        <v>40490</v>
      </c>
      <c r="I1144" s="93">
        <v>40.233559999999997</v>
      </c>
      <c r="J1144" s="123">
        <f t="shared" si="134"/>
        <v>1.4523881766889889E-3</v>
      </c>
      <c r="K1144" s="93">
        <v>1223.25</v>
      </c>
      <c r="L1144" s="124">
        <f t="shared" si="135"/>
        <v>-2.1209610004643141E-3</v>
      </c>
      <c r="N1144" s="150"/>
      <c r="O1144" s="154"/>
      <c r="P1144" s="125"/>
      <c r="Q1144" s="154"/>
      <c r="R1144" s="125"/>
      <c r="S1144" s="3"/>
      <c r="T1144" s="150"/>
      <c r="U1144" s="154"/>
      <c r="V1144" s="125"/>
      <c r="W1144" s="154"/>
      <c r="X1144" s="125"/>
      <c r="Y1144" s="3"/>
    </row>
    <row r="1145" spans="8:25" x14ac:dyDescent="0.3">
      <c r="H1145" s="102">
        <v>40487</v>
      </c>
      <c r="I1145" s="93">
        <v>40.17521</v>
      </c>
      <c r="J1145" s="123">
        <f t="shared" si="134"/>
        <v>2.3791855475747942E-2</v>
      </c>
      <c r="K1145" s="93">
        <v>1225.84998</v>
      </c>
      <c r="L1145" s="124">
        <f t="shared" si="135"/>
        <v>3.9227554457885866E-3</v>
      </c>
      <c r="N1145" s="150"/>
      <c r="O1145" s="154"/>
      <c r="P1145" s="125"/>
      <c r="Q1145" s="154"/>
      <c r="R1145" s="125"/>
      <c r="S1145" s="3"/>
      <c r="T1145" s="150"/>
      <c r="U1145" s="154"/>
      <c r="V1145" s="125"/>
      <c r="W1145" s="154"/>
      <c r="X1145" s="125"/>
      <c r="Y1145" s="3"/>
    </row>
    <row r="1146" spans="8:25" x14ac:dyDescent="0.3">
      <c r="H1146" s="102">
        <v>40486</v>
      </c>
      <c r="I1146" s="93">
        <v>39.241579999999999</v>
      </c>
      <c r="J1146" s="123">
        <f t="shared" si="134"/>
        <v>5.9055055421379767E-2</v>
      </c>
      <c r="K1146" s="93">
        <v>1221.06006</v>
      </c>
      <c r="L1146" s="124">
        <f t="shared" si="135"/>
        <v>1.9282864846334357E-2</v>
      </c>
      <c r="N1146" s="150"/>
      <c r="O1146" s="154"/>
      <c r="P1146" s="125"/>
      <c r="Q1146" s="154"/>
      <c r="R1146" s="125"/>
      <c r="S1146" s="3"/>
      <c r="T1146" s="150"/>
      <c r="U1146" s="154"/>
      <c r="V1146" s="125"/>
      <c r="W1146" s="154"/>
      <c r="X1146" s="125"/>
      <c r="Y1146" s="3"/>
    </row>
    <row r="1147" spans="8:25" x14ac:dyDescent="0.3">
      <c r="H1147" s="102">
        <v>40485</v>
      </c>
      <c r="I1147" s="93">
        <v>37.05339</v>
      </c>
      <c r="J1147" s="123">
        <f t="shared" si="134"/>
        <v>1.7628212170214187E-2</v>
      </c>
      <c r="K1147" s="93">
        <v>1197.9599599999999</v>
      </c>
      <c r="L1147" s="124">
        <f t="shared" si="135"/>
        <v>3.678050038039117E-3</v>
      </c>
      <c r="N1147" s="150"/>
      <c r="O1147" s="154"/>
      <c r="P1147" s="125"/>
      <c r="Q1147" s="154"/>
      <c r="R1147" s="125"/>
      <c r="S1147" s="3"/>
      <c r="T1147" s="150"/>
      <c r="U1147" s="154"/>
      <c r="V1147" s="125"/>
      <c r="W1147" s="154"/>
      <c r="X1147" s="125"/>
      <c r="Y1147" s="3"/>
    </row>
    <row r="1148" spans="8:25" x14ac:dyDescent="0.3">
      <c r="H1148" s="102">
        <v>40484</v>
      </c>
      <c r="I1148" s="93">
        <v>36.411520000000003</v>
      </c>
      <c r="J1148" s="123">
        <f t="shared" si="134"/>
        <v>2.1412616159315208E-3</v>
      </c>
      <c r="K1148" s="93">
        <v>1193.5699500000001</v>
      </c>
      <c r="L1148" s="124">
        <f t="shared" si="135"/>
        <v>7.7592917813539171E-3</v>
      </c>
      <c r="N1148" s="150"/>
      <c r="O1148" s="154"/>
      <c r="P1148" s="125"/>
      <c r="Q1148" s="154"/>
      <c r="R1148" s="125"/>
      <c r="S1148" s="3"/>
      <c r="T1148" s="150"/>
      <c r="U1148" s="154"/>
      <c r="V1148" s="125"/>
      <c r="W1148" s="154"/>
      <c r="X1148" s="125"/>
      <c r="Y1148" s="3"/>
    </row>
    <row r="1149" spans="8:25" x14ac:dyDescent="0.3">
      <c r="H1149" s="102">
        <v>40483</v>
      </c>
      <c r="I1149" s="93">
        <v>36.33372</v>
      </c>
      <c r="J1149" s="123">
        <f t="shared" si="134"/>
        <v>-7.1750422856955431E-3</v>
      </c>
      <c r="K1149" s="93">
        <v>1184.3800000000001</v>
      </c>
      <c r="L1149" s="124">
        <f t="shared" si="135"/>
        <v>9.4652907267621042E-4</v>
      </c>
      <c r="N1149" s="150"/>
      <c r="O1149" s="154"/>
      <c r="P1149" s="125"/>
      <c r="Q1149" s="154"/>
      <c r="R1149" s="125"/>
      <c r="S1149" s="3"/>
      <c r="T1149" s="150"/>
      <c r="U1149" s="154"/>
      <c r="V1149" s="125"/>
      <c r="W1149" s="154"/>
      <c r="X1149" s="125"/>
      <c r="Y1149" s="3"/>
    </row>
    <row r="1150" spans="8:25" x14ac:dyDescent="0.3">
      <c r="H1150" s="102">
        <v>40480</v>
      </c>
      <c r="I1150" s="93">
        <v>36.596299999999999</v>
      </c>
      <c r="J1150" s="123">
        <f t="shared" si="134"/>
        <v>-1.103803943060293E-2</v>
      </c>
      <c r="K1150" s="93">
        <v>1183.26001</v>
      </c>
      <c r="L1150" s="124">
        <f t="shared" si="135"/>
        <v>-4.3928769435308968E-4</v>
      </c>
      <c r="N1150" s="150"/>
      <c r="O1150" s="154"/>
      <c r="P1150" s="125"/>
      <c r="Q1150" s="154"/>
      <c r="R1150" s="125"/>
      <c r="S1150" s="3"/>
      <c r="T1150" s="150"/>
      <c r="U1150" s="154"/>
      <c r="V1150" s="125"/>
      <c r="W1150" s="154"/>
      <c r="X1150" s="125"/>
      <c r="Y1150" s="3"/>
    </row>
    <row r="1151" spans="8:25" x14ac:dyDescent="0.3">
      <c r="H1151" s="102">
        <v>40479</v>
      </c>
      <c r="I1151" s="93">
        <v>37.004759999999997</v>
      </c>
      <c r="J1151" s="123">
        <f t="shared" si="134"/>
        <v>4.7532290515533626E-3</v>
      </c>
      <c r="K1151" s="93">
        <v>1183.7800299999999</v>
      </c>
      <c r="L1151" s="124">
        <f t="shared" si="135"/>
        <v>1.1248509926360542E-3</v>
      </c>
      <c r="N1151" s="150"/>
      <c r="O1151" s="154"/>
      <c r="P1151" s="125"/>
      <c r="Q1151" s="154"/>
      <c r="R1151" s="125"/>
      <c r="S1151" s="3"/>
      <c r="T1151" s="150"/>
      <c r="U1151" s="154"/>
      <c r="V1151" s="125"/>
      <c r="W1151" s="154"/>
      <c r="X1151" s="125"/>
      <c r="Y1151" s="3"/>
    </row>
    <row r="1152" spans="8:25" x14ac:dyDescent="0.3">
      <c r="H1152" s="102">
        <v>40478</v>
      </c>
      <c r="I1152" s="93">
        <v>36.829700000000003</v>
      </c>
      <c r="J1152" s="123">
        <f t="shared" si="134"/>
        <v>1.8284479426504685E-2</v>
      </c>
      <c r="K1152" s="93">
        <v>1182.4499499999999</v>
      </c>
      <c r="L1152" s="124">
        <f t="shared" si="135"/>
        <v>-2.6905805919961575E-3</v>
      </c>
      <c r="N1152" s="150"/>
      <c r="O1152" s="154"/>
      <c r="P1152" s="125"/>
      <c r="Q1152" s="154"/>
      <c r="R1152" s="125"/>
      <c r="S1152" s="3"/>
      <c r="T1152" s="150"/>
      <c r="U1152" s="154"/>
      <c r="V1152" s="125"/>
      <c r="W1152" s="154"/>
      <c r="X1152" s="125"/>
      <c r="Y1152" s="3"/>
    </row>
    <row r="1153" spans="8:25" x14ac:dyDescent="0.3">
      <c r="H1153" s="102">
        <v>40477</v>
      </c>
      <c r="I1153" s="93">
        <v>36.168379999999999</v>
      </c>
      <c r="J1153" s="123">
        <f t="shared" si="134"/>
        <v>-5.8808751718553605E-3</v>
      </c>
      <c r="K1153" s="93">
        <v>1185.6400100000001</v>
      </c>
      <c r="L1153" s="124">
        <f t="shared" si="135"/>
        <v>1.6877245660653445E-5</v>
      </c>
      <c r="N1153" s="150"/>
      <c r="O1153" s="154"/>
      <c r="P1153" s="125"/>
      <c r="Q1153" s="154"/>
      <c r="R1153" s="125"/>
      <c r="S1153" s="3"/>
      <c r="T1153" s="150"/>
      <c r="U1153" s="154"/>
      <c r="V1153" s="125"/>
      <c r="W1153" s="154"/>
      <c r="X1153" s="125"/>
      <c r="Y1153" s="3"/>
    </row>
    <row r="1154" spans="8:25" x14ac:dyDescent="0.3">
      <c r="H1154" s="102">
        <v>40476</v>
      </c>
      <c r="I1154" s="93">
        <v>36.382339999999999</v>
      </c>
      <c r="J1154" s="123">
        <f t="shared" si="134"/>
        <v>1.1354349322341599E-2</v>
      </c>
      <c r="K1154" s="93">
        <v>1185.6199999999999</v>
      </c>
      <c r="L1154" s="124">
        <f t="shared" si="135"/>
        <v>2.1469723821540029E-3</v>
      </c>
      <c r="N1154" s="150"/>
      <c r="O1154" s="154"/>
      <c r="P1154" s="125"/>
      <c r="Q1154" s="154"/>
      <c r="R1154" s="125"/>
      <c r="S1154" s="3"/>
      <c r="T1154" s="150"/>
      <c r="U1154" s="154"/>
      <c r="V1154" s="125"/>
      <c r="W1154" s="154"/>
      <c r="X1154" s="125"/>
      <c r="Y1154" s="3"/>
    </row>
    <row r="1155" spans="8:25" x14ac:dyDescent="0.3">
      <c r="H1155" s="102">
        <v>40473</v>
      </c>
      <c r="I1155" s="93">
        <v>35.973880000000001</v>
      </c>
      <c r="J1155" s="123">
        <f t="shared" si="134"/>
        <v>-3.5021859923086299E-3</v>
      </c>
      <c r="K1155" s="93">
        <v>1183.07996</v>
      </c>
      <c r="L1155" s="124">
        <f t="shared" si="135"/>
        <v>2.3892616678591549E-3</v>
      </c>
      <c r="N1155" s="150"/>
      <c r="O1155" s="154"/>
      <c r="P1155" s="125"/>
      <c r="Q1155" s="154"/>
      <c r="R1155" s="125"/>
      <c r="S1155" s="3"/>
      <c r="T1155" s="150"/>
      <c r="U1155" s="154"/>
      <c r="V1155" s="125"/>
      <c r="W1155" s="154"/>
      <c r="X1155" s="125"/>
      <c r="Y1155" s="3"/>
    </row>
    <row r="1156" spans="8:25" x14ac:dyDescent="0.3">
      <c r="H1156" s="102">
        <v>40472</v>
      </c>
      <c r="I1156" s="93">
        <v>36.10031</v>
      </c>
      <c r="J1156" s="123">
        <f t="shared" si="134"/>
        <v>-3.1062370596941041E-2</v>
      </c>
      <c r="K1156" s="93">
        <v>1180.26001</v>
      </c>
      <c r="L1156" s="124">
        <f t="shared" si="135"/>
        <v>1.7739120237686523E-3</v>
      </c>
      <c r="N1156" s="150"/>
      <c r="O1156" s="154"/>
      <c r="P1156" s="125"/>
      <c r="Q1156" s="154"/>
      <c r="R1156" s="125"/>
      <c r="S1156" s="3"/>
      <c r="T1156" s="150"/>
      <c r="U1156" s="154"/>
      <c r="V1156" s="125"/>
      <c r="W1156" s="154"/>
      <c r="X1156" s="125"/>
      <c r="Y1156" s="3"/>
    </row>
    <row r="1157" spans="8:25" x14ac:dyDescent="0.3">
      <c r="H1157" s="102">
        <v>40471</v>
      </c>
      <c r="I1157" s="93">
        <v>37.257620000000003</v>
      </c>
      <c r="J1157" s="123">
        <f t="shared" si="134"/>
        <v>4.7205466072067267E-3</v>
      </c>
      <c r="K1157" s="93">
        <v>1178.17004</v>
      </c>
      <c r="L1157" s="124">
        <f t="shared" si="135"/>
        <v>1.0524075640722547E-2</v>
      </c>
      <c r="N1157" s="150"/>
      <c r="O1157" s="154"/>
      <c r="P1157" s="125"/>
      <c r="Q1157" s="154"/>
      <c r="R1157" s="125"/>
      <c r="S1157" s="3"/>
      <c r="T1157" s="150"/>
      <c r="U1157" s="154"/>
      <c r="V1157" s="125"/>
      <c r="W1157" s="154"/>
      <c r="X1157" s="125"/>
      <c r="Y1157" s="3"/>
    </row>
    <row r="1158" spans="8:25" x14ac:dyDescent="0.3">
      <c r="H1158" s="102">
        <v>40470</v>
      </c>
      <c r="I1158" s="93">
        <v>37.082569999999997</v>
      </c>
      <c r="J1158" s="123">
        <f t="shared" si="134"/>
        <v>-2.004617197050633E-2</v>
      </c>
      <c r="K1158" s="93">
        <v>1165.90002</v>
      </c>
      <c r="L1158" s="124">
        <f t="shared" si="135"/>
        <v>-1.5877253197060882E-2</v>
      </c>
      <c r="N1158" s="150"/>
      <c r="O1158" s="154"/>
      <c r="P1158" s="125"/>
      <c r="Q1158" s="154"/>
      <c r="R1158" s="125"/>
      <c r="S1158" s="3"/>
      <c r="T1158" s="150"/>
      <c r="U1158" s="154"/>
      <c r="V1158" s="125"/>
      <c r="W1158" s="154"/>
      <c r="X1158" s="125"/>
      <c r="Y1158" s="3"/>
    </row>
    <row r="1159" spans="8:25" x14ac:dyDescent="0.3">
      <c r="H1159" s="102">
        <v>40469</v>
      </c>
      <c r="I1159" s="93">
        <v>37.841140000000003</v>
      </c>
      <c r="J1159" s="123">
        <f t="shared" si="134"/>
        <v>-7.6511358957749472E-3</v>
      </c>
      <c r="K1159" s="93">
        <v>1184.7099599999999</v>
      </c>
      <c r="L1159" s="124">
        <f t="shared" si="135"/>
        <v>7.2437450026140602E-3</v>
      </c>
      <c r="N1159" s="150"/>
      <c r="O1159" s="154"/>
      <c r="P1159" s="125"/>
      <c r="Q1159" s="154"/>
      <c r="R1159" s="125"/>
      <c r="S1159" s="3"/>
      <c r="T1159" s="150"/>
      <c r="U1159" s="154"/>
      <c r="V1159" s="125"/>
      <c r="W1159" s="154"/>
      <c r="X1159" s="125"/>
      <c r="Y1159" s="3"/>
    </row>
    <row r="1160" spans="8:25" x14ac:dyDescent="0.3">
      <c r="H1160" s="102">
        <v>40466</v>
      </c>
      <c r="I1160" s="93">
        <v>38.132899999999999</v>
      </c>
      <c r="J1160" s="123">
        <f t="shared" si="134"/>
        <v>1.3178286952887445E-2</v>
      </c>
      <c r="K1160" s="93">
        <v>1176.18994</v>
      </c>
      <c r="L1160" s="124">
        <f t="shared" si="135"/>
        <v>2.0274830495148059E-3</v>
      </c>
      <c r="N1160" s="150"/>
      <c r="O1160" s="154"/>
      <c r="P1160" s="125"/>
      <c r="Q1160" s="154"/>
      <c r="R1160" s="125"/>
      <c r="S1160" s="3"/>
      <c r="T1160" s="150"/>
      <c r="U1160" s="154"/>
      <c r="V1160" s="125"/>
      <c r="W1160" s="154"/>
      <c r="X1160" s="125"/>
      <c r="Y1160" s="3"/>
    </row>
    <row r="1161" spans="8:25" x14ac:dyDescent="0.3">
      <c r="H1161" s="102">
        <v>40465</v>
      </c>
      <c r="I1161" s="93">
        <v>37.63691</v>
      </c>
      <c r="J1161" s="123">
        <f t="shared" si="134"/>
        <v>-3.1046391046586762E-2</v>
      </c>
      <c r="K1161" s="93">
        <v>1173.81006</v>
      </c>
      <c r="L1161" s="124">
        <f t="shared" si="135"/>
        <v>-3.6413887385007325E-3</v>
      </c>
      <c r="N1161" s="150"/>
      <c r="O1161" s="154"/>
      <c r="P1161" s="125"/>
      <c r="Q1161" s="154"/>
      <c r="R1161" s="125"/>
      <c r="S1161" s="3"/>
      <c r="T1161" s="150"/>
      <c r="U1161" s="154"/>
      <c r="V1161" s="125"/>
      <c r="W1161" s="154"/>
      <c r="X1161" s="125"/>
      <c r="Y1161" s="3"/>
    </row>
    <row r="1162" spans="8:25" x14ac:dyDescent="0.3">
      <c r="H1162" s="102">
        <v>40464</v>
      </c>
      <c r="I1162" s="93">
        <v>38.842840000000002</v>
      </c>
      <c r="J1162" s="123">
        <f t="shared" ref="J1162:J1225" si="136">(I1162-I1163)/I1163</f>
        <v>-3.2443512542061769E-3</v>
      </c>
      <c r="K1162" s="93">
        <v>1178.09998</v>
      </c>
      <c r="L1162" s="124">
        <f t="shared" ref="L1162:L1225" si="137">(K1162-K1163)/K1163</f>
        <v>7.1210236692508403E-3</v>
      </c>
      <c r="N1162" s="150"/>
      <c r="O1162" s="154"/>
      <c r="P1162" s="125"/>
      <c r="Q1162" s="154"/>
      <c r="R1162" s="125"/>
      <c r="S1162" s="3"/>
      <c r="T1162" s="150"/>
      <c r="U1162" s="154"/>
      <c r="V1162" s="125"/>
      <c r="W1162" s="154"/>
      <c r="X1162" s="125"/>
      <c r="Y1162" s="3"/>
    </row>
    <row r="1163" spans="8:25" x14ac:dyDescent="0.3">
      <c r="H1163" s="102">
        <v>40463</v>
      </c>
      <c r="I1163" s="93">
        <v>38.969270000000002</v>
      </c>
      <c r="J1163" s="123">
        <f t="shared" si="136"/>
        <v>1.5973530486816098E-2</v>
      </c>
      <c r="K1163" s="93">
        <v>1169.7700199999999</v>
      </c>
      <c r="L1163" s="124">
        <f t="shared" si="137"/>
        <v>3.8187538109167945E-3</v>
      </c>
      <c r="N1163" s="150"/>
      <c r="O1163" s="154"/>
      <c r="P1163" s="125"/>
      <c r="Q1163" s="154"/>
      <c r="R1163" s="125"/>
      <c r="S1163" s="3"/>
      <c r="T1163" s="150"/>
      <c r="U1163" s="154"/>
      <c r="V1163" s="125"/>
      <c r="W1163" s="154"/>
      <c r="X1163" s="125"/>
      <c r="Y1163" s="3"/>
    </row>
    <row r="1164" spans="8:25" x14ac:dyDescent="0.3">
      <c r="H1164" s="102">
        <v>40462</v>
      </c>
      <c r="I1164" s="93">
        <v>38.356580000000001</v>
      </c>
      <c r="J1164" s="123">
        <f t="shared" si="136"/>
        <v>-2.0242293488276987E-3</v>
      </c>
      <c r="K1164" s="93">
        <v>1165.3199500000001</v>
      </c>
      <c r="L1164" s="124">
        <f t="shared" si="137"/>
        <v>1.4584388025845987E-4</v>
      </c>
      <c r="N1164" s="150"/>
      <c r="O1164" s="154"/>
      <c r="P1164" s="125"/>
      <c r="Q1164" s="154"/>
      <c r="R1164" s="125"/>
      <c r="S1164" s="3"/>
      <c r="T1164" s="150"/>
      <c r="U1164" s="154"/>
      <c r="V1164" s="125"/>
      <c r="W1164" s="154"/>
      <c r="X1164" s="125"/>
      <c r="Y1164" s="3"/>
    </row>
    <row r="1165" spans="8:25" x14ac:dyDescent="0.3">
      <c r="H1165" s="102">
        <v>40459</v>
      </c>
      <c r="I1165" s="93">
        <v>38.434379999999997</v>
      </c>
      <c r="J1165" s="123">
        <f t="shared" si="136"/>
        <v>6.0939515948716279E-2</v>
      </c>
      <c r="K1165" s="93">
        <v>1165.15002</v>
      </c>
      <c r="L1165" s="124">
        <f t="shared" si="137"/>
        <v>6.1222731401340434E-3</v>
      </c>
      <c r="N1165" s="150"/>
      <c r="O1165" s="154"/>
      <c r="P1165" s="125"/>
      <c r="Q1165" s="154"/>
      <c r="R1165" s="125"/>
      <c r="S1165" s="3"/>
      <c r="T1165" s="150"/>
      <c r="U1165" s="154"/>
      <c r="V1165" s="125"/>
      <c r="W1165" s="154"/>
      <c r="X1165" s="125"/>
      <c r="Y1165" s="3"/>
    </row>
    <row r="1166" spans="8:25" x14ac:dyDescent="0.3">
      <c r="H1166" s="102">
        <v>40458</v>
      </c>
      <c r="I1166" s="93">
        <v>36.226739999999999</v>
      </c>
      <c r="J1166" s="123">
        <f t="shared" si="136"/>
        <v>-1.8757497626383575E-3</v>
      </c>
      <c r="K1166" s="93">
        <v>1158.06006</v>
      </c>
      <c r="L1166" s="124">
        <f t="shared" si="137"/>
        <v>-1.6465167628435084E-3</v>
      </c>
      <c r="N1166" s="150"/>
      <c r="O1166" s="154"/>
      <c r="P1166" s="125"/>
      <c r="Q1166" s="154"/>
      <c r="R1166" s="125"/>
      <c r="S1166" s="3"/>
      <c r="T1166" s="150"/>
      <c r="U1166" s="154"/>
      <c r="V1166" s="125"/>
      <c r="W1166" s="154"/>
      <c r="X1166" s="125"/>
      <c r="Y1166" s="3"/>
    </row>
    <row r="1167" spans="8:25" x14ac:dyDescent="0.3">
      <c r="H1167" s="102">
        <v>40457</v>
      </c>
      <c r="I1167" s="93">
        <v>36.294820000000001</v>
      </c>
      <c r="J1167" s="123">
        <f t="shared" si="136"/>
        <v>-8.5016047902489178E-3</v>
      </c>
      <c r="K1167" s="93">
        <v>1159.9699700000001</v>
      </c>
      <c r="L1167" s="124">
        <f t="shared" si="137"/>
        <v>-6.7200516907163206E-4</v>
      </c>
      <c r="N1167" s="150"/>
      <c r="O1167" s="154"/>
      <c r="P1167" s="125"/>
      <c r="Q1167" s="154"/>
      <c r="R1167" s="125"/>
      <c r="S1167" s="3"/>
      <c r="T1167" s="150"/>
      <c r="U1167" s="154"/>
      <c r="V1167" s="125"/>
      <c r="W1167" s="154"/>
      <c r="X1167" s="125"/>
      <c r="Y1167" s="3"/>
    </row>
    <row r="1168" spans="8:25" x14ac:dyDescent="0.3">
      <c r="H1168" s="102">
        <v>40456</v>
      </c>
      <c r="I1168" s="93">
        <v>36.606029999999997</v>
      </c>
      <c r="J1168" s="123">
        <f t="shared" si="136"/>
        <v>3.7486487972524053E-2</v>
      </c>
      <c r="K1168" s="93">
        <v>1160.75</v>
      </c>
      <c r="L1168" s="124">
        <f t="shared" si="137"/>
        <v>2.0861339959508462E-2</v>
      </c>
      <c r="N1168" s="150"/>
      <c r="O1168" s="154"/>
      <c r="P1168" s="125"/>
      <c r="Q1168" s="154"/>
      <c r="R1168" s="125"/>
      <c r="S1168" s="3"/>
      <c r="T1168" s="150"/>
      <c r="U1168" s="154"/>
      <c r="V1168" s="125"/>
      <c r="W1168" s="154"/>
      <c r="X1168" s="125"/>
      <c r="Y1168" s="3"/>
    </row>
    <row r="1169" spans="8:25" x14ac:dyDescent="0.3">
      <c r="H1169" s="102">
        <v>40455</v>
      </c>
      <c r="I1169" s="93">
        <v>35.283380000000001</v>
      </c>
      <c r="J1169" s="123">
        <f t="shared" si="136"/>
        <v>-2.0253920969167009E-2</v>
      </c>
      <c r="K1169" s="93">
        <v>1137.0300299999999</v>
      </c>
      <c r="L1169" s="124">
        <f t="shared" si="137"/>
        <v>-8.0349316725550086E-3</v>
      </c>
      <c r="N1169" s="150"/>
      <c r="O1169" s="154"/>
      <c r="P1169" s="125"/>
      <c r="Q1169" s="154"/>
      <c r="R1169" s="125"/>
      <c r="S1169" s="3"/>
      <c r="T1169" s="150"/>
      <c r="U1169" s="154"/>
      <c r="V1169" s="125"/>
      <c r="W1169" s="154"/>
      <c r="X1169" s="125"/>
      <c r="Y1169" s="3"/>
    </row>
    <row r="1170" spans="8:25" x14ac:dyDescent="0.3">
      <c r="H1170" s="102">
        <v>40452</v>
      </c>
      <c r="I1170" s="93">
        <v>36.012779999999999</v>
      </c>
      <c r="J1170" s="123">
        <f t="shared" si="136"/>
        <v>1.0368311280518424E-2</v>
      </c>
      <c r="K1170" s="93">
        <v>1146.23999</v>
      </c>
      <c r="L1170" s="124">
        <f t="shared" si="137"/>
        <v>4.4164390298125147E-3</v>
      </c>
      <c r="N1170" s="150"/>
      <c r="O1170" s="154"/>
      <c r="P1170" s="125"/>
      <c r="Q1170" s="154"/>
      <c r="R1170" s="125"/>
      <c r="S1170" s="3"/>
      <c r="T1170" s="150"/>
      <c r="U1170" s="154"/>
      <c r="V1170" s="125"/>
      <c r="W1170" s="154"/>
      <c r="X1170" s="125"/>
      <c r="Y1170" s="3"/>
    </row>
    <row r="1171" spans="8:25" x14ac:dyDescent="0.3">
      <c r="H1171" s="102">
        <v>40451</v>
      </c>
      <c r="I1171" s="93">
        <v>35.643219999999999</v>
      </c>
      <c r="J1171" s="123">
        <f t="shared" si="136"/>
        <v>-2.6301950798816413E-2</v>
      </c>
      <c r="K1171" s="93">
        <v>1141.1999499999999</v>
      </c>
      <c r="L1171" s="124">
        <f t="shared" si="137"/>
        <v>-3.0837228531396758E-3</v>
      </c>
      <c r="N1171" s="150"/>
      <c r="O1171" s="154"/>
      <c r="P1171" s="125"/>
      <c r="Q1171" s="154"/>
      <c r="R1171" s="125"/>
      <c r="S1171" s="3"/>
      <c r="T1171" s="150"/>
      <c r="U1171" s="154"/>
      <c r="V1171" s="125"/>
      <c r="W1171" s="154"/>
      <c r="X1171" s="125"/>
      <c r="Y1171" s="3"/>
    </row>
    <row r="1172" spans="8:25" x14ac:dyDescent="0.3">
      <c r="H1172" s="102">
        <v>40450</v>
      </c>
      <c r="I1172" s="93">
        <v>36.606029999999997</v>
      </c>
      <c r="J1172" s="123">
        <f t="shared" si="136"/>
        <v>4.6136747559344798E-2</v>
      </c>
      <c r="K1172" s="93">
        <v>1144.7299800000001</v>
      </c>
      <c r="L1172" s="124">
        <f t="shared" si="137"/>
        <v>-2.587758237682136E-3</v>
      </c>
      <c r="N1172" s="150"/>
      <c r="O1172" s="154"/>
      <c r="P1172" s="125"/>
      <c r="Q1172" s="154"/>
      <c r="R1172" s="125"/>
      <c r="S1172" s="3"/>
      <c r="T1172" s="150"/>
      <c r="U1172" s="154"/>
      <c r="V1172" s="125"/>
      <c r="W1172" s="154"/>
      <c r="X1172" s="125"/>
      <c r="Y1172" s="3"/>
    </row>
    <row r="1173" spans="8:25" x14ac:dyDescent="0.3">
      <c r="H1173" s="102">
        <v>40449</v>
      </c>
      <c r="I1173" s="93">
        <v>34.991630000000001</v>
      </c>
      <c r="J1173" s="123">
        <f t="shared" si="136"/>
        <v>2.5077283184497235E-3</v>
      </c>
      <c r="K1173" s="93">
        <v>1147.6999499999999</v>
      </c>
      <c r="L1173" s="124">
        <f t="shared" si="137"/>
        <v>4.8503886097291801E-3</v>
      </c>
      <c r="N1173" s="150"/>
      <c r="O1173" s="154"/>
      <c r="P1173" s="125"/>
      <c r="Q1173" s="154"/>
      <c r="R1173" s="125"/>
      <c r="S1173" s="3"/>
      <c r="T1173" s="150"/>
      <c r="U1173" s="154"/>
      <c r="V1173" s="125"/>
      <c r="W1173" s="154"/>
      <c r="X1173" s="125"/>
      <c r="Y1173" s="3"/>
    </row>
    <row r="1174" spans="8:25" x14ac:dyDescent="0.3">
      <c r="H1174" s="102">
        <v>40448</v>
      </c>
      <c r="I1174" s="93">
        <v>34.9041</v>
      </c>
      <c r="J1174" s="123">
        <f t="shared" si="136"/>
        <v>1.1157257093032066E-3</v>
      </c>
      <c r="K1174" s="93">
        <v>1142.16003</v>
      </c>
      <c r="L1174" s="124">
        <f t="shared" si="137"/>
        <v>-5.6674325727168488E-3</v>
      </c>
      <c r="N1174" s="150"/>
      <c r="O1174" s="154"/>
      <c r="P1174" s="125"/>
      <c r="Q1174" s="154"/>
      <c r="R1174" s="125"/>
      <c r="S1174" s="3"/>
      <c r="T1174" s="150"/>
      <c r="U1174" s="154"/>
      <c r="V1174" s="125"/>
      <c r="W1174" s="154"/>
      <c r="X1174" s="125"/>
      <c r="Y1174" s="3"/>
    </row>
    <row r="1175" spans="8:25" x14ac:dyDescent="0.3">
      <c r="H1175" s="102">
        <v>40445</v>
      </c>
      <c r="I1175" s="93">
        <v>34.865200000000002</v>
      </c>
      <c r="J1175" s="123">
        <f t="shared" si="136"/>
        <v>1.6156696788333702E-2</v>
      </c>
      <c r="K1175" s="93">
        <v>1148.67004</v>
      </c>
      <c r="L1175" s="124">
        <f t="shared" si="137"/>
        <v>2.1194385682970201E-2</v>
      </c>
      <c r="N1175" s="150"/>
      <c r="O1175" s="154"/>
      <c r="P1175" s="125"/>
      <c r="Q1175" s="154"/>
      <c r="R1175" s="125"/>
      <c r="S1175" s="3"/>
      <c r="T1175" s="150"/>
      <c r="U1175" s="154"/>
      <c r="V1175" s="125"/>
      <c r="W1175" s="154"/>
      <c r="X1175" s="125"/>
      <c r="Y1175" s="3"/>
    </row>
    <row r="1176" spans="8:25" x14ac:dyDescent="0.3">
      <c r="H1176" s="102">
        <v>40444</v>
      </c>
      <c r="I1176" s="93">
        <v>34.310850000000002</v>
      </c>
      <c r="J1176" s="123">
        <f t="shared" si="136"/>
        <v>-1.3146881868756125E-2</v>
      </c>
      <c r="K1176" s="93">
        <v>1124.82996</v>
      </c>
      <c r="L1176" s="124">
        <f t="shared" si="137"/>
        <v>-8.3313377208976067E-3</v>
      </c>
      <c r="N1176" s="150"/>
      <c r="O1176" s="154"/>
      <c r="P1176" s="125"/>
      <c r="Q1176" s="154"/>
      <c r="R1176" s="125"/>
      <c r="S1176" s="3"/>
      <c r="T1176" s="150"/>
      <c r="U1176" s="154"/>
      <c r="V1176" s="125"/>
      <c r="W1176" s="154"/>
      <c r="X1176" s="125"/>
      <c r="Y1176" s="3"/>
    </row>
    <row r="1177" spans="8:25" x14ac:dyDescent="0.3">
      <c r="H1177" s="102">
        <v>40443</v>
      </c>
      <c r="I1177" s="93">
        <v>34.767940000000003</v>
      </c>
      <c r="J1177" s="123">
        <f t="shared" si="136"/>
        <v>7.8937512102979189E-3</v>
      </c>
      <c r="K1177" s="93">
        <v>1134.2800299999999</v>
      </c>
      <c r="L1177" s="124">
        <f t="shared" si="137"/>
        <v>-4.825492511919164E-3</v>
      </c>
      <c r="N1177" s="150"/>
      <c r="O1177" s="154"/>
      <c r="P1177" s="125"/>
      <c r="Q1177" s="154"/>
      <c r="R1177" s="125"/>
      <c r="S1177" s="3"/>
      <c r="T1177" s="150"/>
      <c r="U1177" s="154"/>
      <c r="V1177" s="125"/>
      <c r="W1177" s="154"/>
      <c r="X1177" s="125"/>
      <c r="Y1177" s="3"/>
    </row>
    <row r="1178" spans="8:25" x14ac:dyDescent="0.3">
      <c r="H1178" s="102">
        <v>40442</v>
      </c>
      <c r="I1178" s="93">
        <v>34.495640000000002</v>
      </c>
      <c r="J1178" s="123">
        <f t="shared" si="136"/>
        <v>-6.0646090309734516E-2</v>
      </c>
      <c r="K1178" s="93">
        <v>1139.7800299999999</v>
      </c>
      <c r="L1178" s="124">
        <f t="shared" si="137"/>
        <v>-2.5640189571814122E-3</v>
      </c>
      <c r="N1178" s="150"/>
      <c r="O1178" s="154"/>
      <c r="P1178" s="125"/>
      <c r="Q1178" s="154"/>
      <c r="R1178" s="125"/>
      <c r="S1178" s="3"/>
      <c r="T1178" s="150"/>
      <c r="U1178" s="154"/>
      <c r="V1178" s="125"/>
      <c r="W1178" s="154"/>
      <c r="X1178" s="125"/>
      <c r="Y1178" s="3"/>
    </row>
    <row r="1179" spans="8:25" x14ac:dyDescent="0.3">
      <c r="H1179" s="102">
        <v>40441</v>
      </c>
      <c r="I1179" s="93">
        <v>36.722729999999999</v>
      </c>
      <c r="J1179" s="123">
        <f t="shared" si="136"/>
        <v>-9.44384082794846E-3</v>
      </c>
      <c r="K1179" s="93">
        <v>1142.7099599999999</v>
      </c>
      <c r="L1179" s="124">
        <f t="shared" si="137"/>
        <v>1.5209792603251357E-2</v>
      </c>
      <c r="N1179" s="150"/>
      <c r="O1179" s="154"/>
      <c r="P1179" s="125"/>
      <c r="Q1179" s="154"/>
      <c r="R1179" s="125"/>
      <c r="S1179" s="3"/>
      <c r="T1179" s="150"/>
      <c r="U1179" s="154"/>
      <c r="V1179" s="125"/>
      <c r="W1179" s="154"/>
      <c r="X1179" s="125"/>
      <c r="Y1179" s="3"/>
    </row>
    <row r="1180" spans="8:25" x14ac:dyDescent="0.3">
      <c r="H1180" s="102">
        <v>40438</v>
      </c>
      <c r="I1180" s="93">
        <v>37.072839999999999</v>
      </c>
      <c r="J1180" s="123">
        <f t="shared" si="136"/>
        <v>-3.0272180464894917E-2</v>
      </c>
      <c r="K1180" s="93">
        <v>1125.58997</v>
      </c>
      <c r="L1180" s="124">
        <f t="shared" si="137"/>
        <v>8.2686320771974782E-4</v>
      </c>
      <c r="N1180" s="150"/>
      <c r="O1180" s="154"/>
      <c r="P1180" s="125"/>
      <c r="Q1180" s="154"/>
      <c r="R1180" s="125"/>
      <c r="S1180" s="3"/>
      <c r="T1180" s="150"/>
      <c r="U1180" s="154"/>
      <c r="V1180" s="125"/>
      <c r="W1180" s="154"/>
      <c r="X1180" s="125"/>
      <c r="Y1180" s="3"/>
    </row>
    <row r="1181" spans="8:25" x14ac:dyDescent="0.3">
      <c r="H1181" s="102">
        <v>40437</v>
      </c>
      <c r="I1181" s="93">
        <v>38.230150000000002</v>
      </c>
      <c r="J1181" s="123">
        <f t="shared" si="136"/>
        <v>-1.057129125504251E-2</v>
      </c>
      <c r="K1181" s="93">
        <v>1124.66003</v>
      </c>
      <c r="L1181" s="124">
        <f t="shared" si="137"/>
        <v>-3.643506788178428E-4</v>
      </c>
      <c r="N1181" s="150"/>
      <c r="O1181" s="154"/>
      <c r="P1181" s="125"/>
      <c r="Q1181" s="154"/>
      <c r="R1181" s="125"/>
      <c r="S1181" s="3"/>
      <c r="T1181" s="150"/>
      <c r="U1181" s="154"/>
      <c r="V1181" s="125"/>
      <c r="W1181" s="154"/>
      <c r="X1181" s="125"/>
      <c r="Y1181" s="3"/>
    </row>
    <row r="1182" spans="8:25" x14ac:dyDescent="0.3">
      <c r="H1182" s="102">
        <v>40436</v>
      </c>
      <c r="I1182" s="93">
        <v>38.63861</v>
      </c>
      <c r="J1182" s="123">
        <f t="shared" si="136"/>
        <v>5.5680388583788888E-3</v>
      </c>
      <c r="K1182" s="93">
        <v>1125.0699500000001</v>
      </c>
      <c r="L1182" s="124">
        <f t="shared" si="137"/>
        <v>3.5411382310435E-3</v>
      </c>
      <c r="N1182" s="150"/>
      <c r="O1182" s="154"/>
      <c r="P1182" s="125"/>
      <c r="Q1182" s="154"/>
      <c r="R1182" s="125"/>
      <c r="S1182" s="3"/>
      <c r="T1182" s="150"/>
      <c r="U1182" s="154"/>
      <c r="V1182" s="125"/>
      <c r="W1182" s="154"/>
      <c r="X1182" s="125"/>
      <c r="Y1182" s="3"/>
    </row>
    <row r="1183" spans="8:25" x14ac:dyDescent="0.3">
      <c r="H1183" s="102">
        <v>40435</v>
      </c>
      <c r="I1183" s="93">
        <v>38.424660000000003</v>
      </c>
      <c r="J1183" s="123">
        <f t="shared" si="136"/>
        <v>1.8561711866819586E-2</v>
      </c>
      <c r="K1183" s="93">
        <v>1121.09998</v>
      </c>
      <c r="L1183" s="124">
        <f t="shared" si="137"/>
        <v>-7.1311167282097103E-4</v>
      </c>
      <c r="N1183" s="150"/>
      <c r="O1183" s="154"/>
      <c r="P1183" s="125"/>
      <c r="Q1183" s="154"/>
      <c r="R1183" s="125"/>
      <c r="S1183" s="3"/>
      <c r="T1183" s="150"/>
      <c r="U1183" s="154"/>
      <c r="V1183" s="125"/>
      <c r="W1183" s="154"/>
      <c r="X1183" s="125"/>
      <c r="Y1183" s="3"/>
    </row>
    <row r="1184" spans="8:25" x14ac:dyDescent="0.3">
      <c r="H1184" s="102">
        <v>40434</v>
      </c>
      <c r="I1184" s="93">
        <v>37.724429999999998</v>
      </c>
      <c r="J1184" s="123">
        <f t="shared" si="136"/>
        <v>5.0081210290812167E-2</v>
      </c>
      <c r="K1184" s="93">
        <v>1121.90002</v>
      </c>
      <c r="L1184" s="124">
        <f t="shared" si="137"/>
        <v>1.1130611007588151E-2</v>
      </c>
      <c r="N1184" s="150"/>
      <c r="O1184" s="154"/>
      <c r="P1184" s="125"/>
      <c r="Q1184" s="154"/>
      <c r="R1184" s="125"/>
      <c r="S1184" s="3"/>
      <c r="T1184" s="150"/>
      <c r="U1184" s="154"/>
      <c r="V1184" s="125"/>
      <c r="W1184" s="154"/>
      <c r="X1184" s="125"/>
      <c r="Y1184" s="3"/>
    </row>
    <row r="1185" spans="8:25" x14ac:dyDescent="0.3">
      <c r="H1185" s="102">
        <v>40431</v>
      </c>
      <c r="I1185" s="93">
        <v>35.925249999999998</v>
      </c>
      <c r="J1185" s="123">
        <f t="shared" si="136"/>
        <v>-2.6614095613602857E-2</v>
      </c>
      <c r="K1185" s="93">
        <v>1109.5500500000001</v>
      </c>
      <c r="L1185" s="124">
        <f t="shared" si="137"/>
        <v>4.8633372790969362E-3</v>
      </c>
      <c r="N1185" s="150"/>
      <c r="O1185" s="154"/>
      <c r="P1185" s="125"/>
      <c r="Q1185" s="154"/>
      <c r="R1185" s="125"/>
      <c r="S1185" s="3"/>
      <c r="T1185" s="150"/>
      <c r="U1185" s="154"/>
      <c r="V1185" s="125"/>
      <c r="W1185" s="154"/>
      <c r="X1185" s="125"/>
      <c r="Y1185" s="3"/>
    </row>
    <row r="1186" spans="8:25" x14ac:dyDescent="0.3">
      <c r="H1186" s="102">
        <v>40430</v>
      </c>
      <c r="I1186" s="93">
        <v>36.907510000000002</v>
      </c>
      <c r="J1186" s="123">
        <f t="shared" si="136"/>
        <v>1.1730117654798963E-2</v>
      </c>
      <c r="K1186" s="93">
        <v>1104.1800499999999</v>
      </c>
      <c r="L1186" s="124">
        <f t="shared" si="137"/>
        <v>4.8322822535878194E-3</v>
      </c>
      <c r="N1186" s="150"/>
      <c r="O1186" s="154"/>
      <c r="P1186" s="125"/>
      <c r="Q1186" s="154"/>
      <c r="R1186" s="125"/>
      <c r="S1186" s="3"/>
      <c r="T1186" s="150"/>
      <c r="U1186" s="154"/>
      <c r="V1186" s="125"/>
      <c r="W1186" s="154"/>
      <c r="X1186" s="125"/>
      <c r="Y1186" s="3"/>
    </row>
    <row r="1187" spans="8:25" x14ac:dyDescent="0.3">
      <c r="H1187" s="102">
        <v>40429</v>
      </c>
      <c r="I1187" s="93">
        <v>36.479599999999998</v>
      </c>
      <c r="J1187" s="123">
        <f t="shared" si="136"/>
        <v>2.4583533683552906E-2</v>
      </c>
      <c r="K1187" s="93">
        <v>1098.8699999999999</v>
      </c>
      <c r="L1187" s="124">
        <f t="shared" si="137"/>
        <v>6.4386999864090863E-3</v>
      </c>
      <c r="N1187" s="150"/>
      <c r="O1187" s="154"/>
      <c r="P1187" s="125"/>
      <c r="Q1187" s="154"/>
      <c r="R1187" s="125"/>
      <c r="S1187" s="3"/>
      <c r="T1187" s="150"/>
      <c r="U1187" s="154"/>
      <c r="V1187" s="125"/>
      <c r="W1187" s="154"/>
      <c r="X1187" s="125"/>
      <c r="Y1187" s="3"/>
    </row>
    <row r="1188" spans="8:25" x14ac:dyDescent="0.3">
      <c r="H1188" s="102">
        <v>40428</v>
      </c>
      <c r="I1188" s="93">
        <v>35.604320000000001</v>
      </c>
      <c r="J1188" s="123">
        <f t="shared" si="136"/>
        <v>-9.2016191465808996E-3</v>
      </c>
      <c r="K1188" s="93">
        <v>1091.83997</v>
      </c>
      <c r="L1188" s="124">
        <f t="shared" si="137"/>
        <v>-1.1471186214057011E-2</v>
      </c>
      <c r="N1188" s="150"/>
      <c r="O1188" s="154"/>
      <c r="P1188" s="125"/>
      <c r="Q1188" s="154"/>
      <c r="R1188" s="125"/>
      <c r="S1188" s="3"/>
      <c r="T1188" s="150"/>
      <c r="U1188" s="154"/>
      <c r="V1188" s="125"/>
      <c r="W1188" s="154"/>
      <c r="X1188" s="125"/>
      <c r="Y1188" s="3"/>
    </row>
    <row r="1189" spans="8:25" x14ac:dyDescent="0.3">
      <c r="H1189" s="102">
        <v>40424</v>
      </c>
      <c r="I1189" s="93">
        <v>35.934980000000003</v>
      </c>
      <c r="J1189" s="123">
        <f t="shared" si="136"/>
        <v>2.610391538742695E-2</v>
      </c>
      <c r="K1189" s="93">
        <v>1104.51001</v>
      </c>
      <c r="L1189" s="124">
        <f t="shared" si="137"/>
        <v>1.3218998499568825E-2</v>
      </c>
      <c r="N1189" s="150"/>
      <c r="O1189" s="154"/>
      <c r="P1189" s="125"/>
      <c r="Q1189" s="154"/>
      <c r="R1189" s="125"/>
      <c r="S1189" s="3"/>
      <c r="T1189" s="150"/>
      <c r="U1189" s="154"/>
      <c r="V1189" s="125"/>
      <c r="W1189" s="154"/>
      <c r="X1189" s="125"/>
      <c r="Y1189" s="3"/>
    </row>
    <row r="1190" spans="8:25" x14ac:dyDescent="0.3">
      <c r="H1190" s="102">
        <v>40423</v>
      </c>
      <c r="I1190" s="93">
        <v>35.020800000000001</v>
      </c>
      <c r="J1190" s="123">
        <f t="shared" si="136"/>
        <v>3.4472674682908405E-2</v>
      </c>
      <c r="K1190" s="93">
        <v>1090.09998</v>
      </c>
      <c r="L1190" s="124">
        <f t="shared" si="137"/>
        <v>9.0808390679968393E-3</v>
      </c>
      <c r="N1190" s="150"/>
      <c r="O1190" s="154"/>
      <c r="P1190" s="125"/>
      <c r="Q1190" s="154"/>
      <c r="R1190" s="125"/>
      <c r="S1190" s="3"/>
      <c r="T1190" s="150"/>
      <c r="U1190" s="154"/>
      <c r="V1190" s="125"/>
      <c r="W1190" s="154"/>
      <c r="X1190" s="125"/>
      <c r="Y1190" s="3"/>
    </row>
    <row r="1191" spans="8:25" x14ac:dyDescent="0.3">
      <c r="H1191" s="102">
        <v>40422</v>
      </c>
      <c r="I1191" s="93">
        <v>33.853769999999997</v>
      </c>
      <c r="J1191" s="123">
        <f t="shared" si="136"/>
        <v>5.0709312748138273E-2</v>
      </c>
      <c r="K1191" s="93">
        <v>1080.2900400000001</v>
      </c>
      <c r="L1191" s="124">
        <f t="shared" si="137"/>
        <v>2.9504618356651191E-2</v>
      </c>
      <c r="N1191" s="150"/>
      <c r="O1191" s="154"/>
      <c r="P1191" s="125"/>
      <c r="Q1191" s="154"/>
      <c r="R1191" s="125"/>
      <c r="S1191" s="3"/>
      <c r="T1191" s="150"/>
      <c r="U1191" s="154"/>
      <c r="V1191" s="125"/>
      <c r="W1191" s="154"/>
      <c r="X1191" s="125"/>
      <c r="Y1191" s="3"/>
    </row>
    <row r="1192" spans="8:25" x14ac:dyDescent="0.3">
      <c r="H1192" s="102">
        <v>40421</v>
      </c>
      <c r="I1192" s="93">
        <v>32.219920000000002</v>
      </c>
      <c r="J1192" s="123">
        <f t="shared" si="136"/>
        <v>-3.2982811241797666E-2</v>
      </c>
      <c r="K1192" s="93">
        <v>1049.32996</v>
      </c>
      <c r="L1192" s="124">
        <f t="shared" si="137"/>
        <v>3.9080195283527664E-4</v>
      </c>
      <c r="N1192" s="150"/>
      <c r="O1192" s="154"/>
      <c r="P1192" s="125"/>
      <c r="Q1192" s="154"/>
      <c r="R1192" s="125"/>
      <c r="S1192" s="3"/>
      <c r="T1192" s="150"/>
      <c r="U1192" s="154"/>
      <c r="V1192" s="125"/>
      <c r="W1192" s="154"/>
      <c r="X1192" s="125"/>
      <c r="Y1192" s="3"/>
    </row>
    <row r="1193" spans="8:25" x14ac:dyDescent="0.3">
      <c r="H1193" s="102">
        <v>40420</v>
      </c>
      <c r="I1193" s="93">
        <v>33.318869999999997</v>
      </c>
      <c r="J1193" s="123">
        <f t="shared" si="136"/>
        <v>2.0471687899238137E-3</v>
      </c>
      <c r="K1193" s="93">
        <v>1048.92004</v>
      </c>
      <c r="L1193" s="124">
        <f t="shared" si="137"/>
        <v>-1.4719216263140279E-2</v>
      </c>
      <c r="N1193" s="150"/>
      <c r="O1193" s="154"/>
      <c r="P1193" s="125"/>
      <c r="Q1193" s="154"/>
      <c r="R1193" s="125"/>
      <c r="S1193" s="3"/>
      <c r="T1193" s="150"/>
      <c r="U1193" s="154"/>
      <c r="V1193" s="125"/>
      <c r="W1193" s="154"/>
      <c r="X1193" s="125"/>
      <c r="Y1193" s="3"/>
    </row>
    <row r="1194" spans="8:25" x14ac:dyDescent="0.3">
      <c r="H1194" s="102">
        <v>40417</v>
      </c>
      <c r="I1194" s="93">
        <v>33.250799999999998</v>
      </c>
      <c r="J1194" s="123">
        <f t="shared" si="136"/>
        <v>-4.4438160399481376E-2</v>
      </c>
      <c r="K1194" s="93">
        <v>1064.58997</v>
      </c>
      <c r="L1194" s="124">
        <f t="shared" si="137"/>
        <v>1.6586773073091692E-2</v>
      </c>
      <c r="N1194" s="150"/>
      <c r="O1194" s="154"/>
      <c r="P1194" s="125"/>
      <c r="Q1194" s="154"/>
      <c r="R1194" s="125"/>
      <c r="S1194" s="3"/>
      <c r="T1194" s="150"/>
      <c r="U1194" s="154"/>
      <c r="V1194" s="125"/>
      <c r="W1194" s="154"/>
      <c r="X1194" s="125"/>
      <c r="Y1194" s="3"/>
    </row>
    <row r="1195" spans="8:25" x14ac:dyDescent="0.3">
      <c r="H1195" s="102">
        <v>40416</v>
      </c>
      <c r="I1195" s="93">
        <v>34.79712</v>
      </c>
      <c r="J1195" s="123">
        <f t="shared" si="136"/>
        <v>-5.2436461014744792E-2</v>
      </c>
      <c r="K1195" s="93">
        <v>1047.2199700000001</v>
      </c>
      <c r="L1195" s="124">
        <f t="shared" si="137"/>
        <v>-7.6847908307274108E-3</v>
      </c>
      <c r="N1195" s="150"/>
      <c r="O1195" s="154"/>
      <c r="P1195" s="125"/>
      <c r="Q1195" s="154"/>
      <c r="R1195" s="125"/>
      <c r="S1195" s="3"/>
      <c r="T1195" s="150"/>
      <c r="U1195" s="154"/>
      <c r="V1195" s="125"/>
      <c r="W1195" s="154"/>
      <c r="X1195" s="125"/>
      <c r="Y1195" s="3"/>
    </row>
    <row r="1196" spans="8:25" x14ac:dyDescent="0.3">
      <c r="H1196" s="102">
        <v>40415</v>
      </c>
      <c r="I1196" s="93">
        <v>36.722729999999999</v>
      </c>
      <c r="J1196" s="123">
        <f t="shared" si="136"/>
        <v>-1.3326358348701918E-2</v>
      </c>
      <c r="K1196" s="93">
        <v>1055.32996</v>
      </c>
      <c r="L1196" s="124">
        <f t="shared" si="137"/>
        <v>3.2893418388205177E-3</v>
      </c>
      <c r="N1196" s="150"/>
      <c r="O1196" s="154"/>
      <c r="P1196" s="125"/>
      <c r="Q1196" s="154"/>
      <c r="R1196" s="125"/>
      <c r="S1196" s="3"/>
      <c r="T1196" s="150"/>
      <c r="U1196" s="154"/>
      <c r="V1196" s="125"/>
      <c r="W1196" s="154"/>
      <c r="X1196" s="125"/>
      <c r="Y1196" s="3"/>
    </row>
    <row r="1197" spans="8:25" x14ac:dyDescent="0.3">
      <c r="H1197" s="102">
        <v>40414</v>
      </c>
      <c r="I1197" s="93">
        <v>37.218719999999998</v>
      </c>
      <c r="J1197" s="123">
        <f t="shared" si="136"/>
        <v>-6.0397655810966344E-2</v>
      </c>
      <c r="K1197" s="93">
        <v>1051.8699999999999</v>
      </c>
      <c r="L1197" s="124">
        <f t="shared" si="137"/>
        <v>-1.4512432679812212E-2</v>
      </c>
      <c r="N1197" s="150"/>
      <c r="O1197" s="154"/>
      <c r="P1197" s="125"/>
      <c r="Q1197" s="154"/>
      <c r="R1197" s="125"/>
      <c r="S1197" s="3"/>
      <c r="T1197" s="150"/>
      <c r="U1197" s="154"/>
      <c r="V1197" s="125"/>
      <c r="W1197" s="154"/>
      <c r="X1197" s="125"/>
      <c r="Y1197" s="3"/>
    </row>
    <row r="1198" spans="8:25" x14ac:dyDescent="0.3">
      <c r="H1198" s="102">
        <v>40413</v>
      </c>
      <c r="I1198" s="93">
        <v>39.611139999999999</v>
      </c>
      <c r="J1198" s="123">
        <f t="shared" si="136"/>
        <v>-1.8554266242385202E-2</v>
      </c>
      <c r="K1198" s="93">
        <v>1067.3599899999999</v>
      </c>
      <c r="L1198" s="124">
        <f t="shared" si="137"/>
        <v>-4.0403010594650662E-3</v>
      </c>
      <c r="N1198" s="150"/>
      <c r="O1198" s="154"/>
      <c r="P1198" s="125"/>
      <c r="Q1198" s="154"/>
      <c r="R1198" s="125"/>
      <c r="S1198" s="3"/>
      <c r="T1198" s="150"/>
      <c r="U1198" s="154"/>
      <c r="V1198" s="125"/>
      <c r="W1198" s="154"/>
      <c r="X1198" s="125"/>
      <c r="Y1198" s="3"/>
    </row>
    <row r="1199" spans="8:25" x14ac:dyDescent="0.3">
      <c r="H1199" s="102">
        <v>40410</v>
      </c>
      <c r="I1199" s="93">
        <v>40.359990000000003</v>
      </c>
      <c r="J1199" s="123">
        <f t="shared" si="136"/>
        <v>-9.5464919384524519E-3</v>
      </c>
      <c r="K1199" s="93">
        <v>1071.68994</v>
      </c>
      <c r="L1199" s="124">
        <f t="shared" si="137"/>
        <v>-3.6630253897716966E-3</v>
      </c>
      <c r="N1199" s="150"/>
      <c r="O1199" s="154"/>
      <c r="P1199" s="125"/>
      <c r="Q1199" s="154"/>
      <c r="R1199" s="125"/>
      <c r="S1199" s="3"/>
      <c r="T1199" s="150"/>
      <c r="U1199" s="154"/>
      <c r="V1199" s="125"/>
      <c r="W1199" s="154"/>
      <c r="X1199" s="125"/>
      <c r="Y1199" s="3"/>
    </row>
    <row r="1200" spans="8:25" x14ac:dyDescent="0.3">
      <c r="H1200" s="102">
        <v>40409</v>
      </c>
      <c r="I1200" s="93">
        <v>40.749000000000002</v>
      </c>
      <c r="J1200" s="123">
        <f t="shared" si="136"/>
        <v>-6.5983094681382373E-2</v>
      </c>
      <c r="K1200" s="93">
        <v>1075.6300000000001</v>
      </c>
      <c r="L1200" s="124">
        <f t="shared" si="137"/>
        <v>-1.6935392896777538E-2</v>
      </c>
      <c r="N1200" s="150"/>
      <c r="O1200" s="154"/>
      <c r="P1200" s="125"/>
      <c r="Q1200" s="154"/>
      <c r="R1200" s="125"/>
      <c r="S1200" s="3"/>
      <c r="T1200" s="150"/>
      <c r="U1200" s="154"/>
      <c r="V1200" s="125"/>
      <c r="W1200" s="154"/>
      <c r="X1200" s="125"/>
      <c r="Y1200" s="3"/>
    </row>
    <row r="1201" spans="8:25" x14ac:dyDescent="0.3">
      <c r="H1201" s="102">
        <v>40408</v>
      </c>
      <c r="I1201" s="93">
        <v>43.627690000000001</v>
      </c>
      <c r="J1201" s="123">
        <f t="shared" si="136"/>
        <v>2.9607442263528745E-2</v>
      </c>
      <c r="K1201" s="93">
        <v>1094.16003</v>
      </c>
      <c r="L1201" s="124">
        <f t="shared" si="137"/>
        <v>1.482774031787353E-3</v>
      </c>
      <c r="N1201" s="150"/>
      <c r="O1201" s="154"/>
      <c r="P1201" s="125"/>
      <c r="Q1201" s="154"/>
      <c r="R1201" s="125"/>
      <c r="S1201" s="3"/>
      <c r="T1201" s="150"/>
      <c r="U1201" s="154"/>
      <c r="V1201" s="125"/>
      <c r="W1201" s="154"/>
      <c r="X1201" s="125"/>
      <c r="Y1201" s="3"/>
    </row>
    <row r="1202" spans="8:25" x14ac:dyDescent="0.3">
      <c r="H1202" s="102">
        <v>40407</v>
      </c>
      <c r="I1202" s="93">
        <v>42.373130000000003</v>
      </c>
      <c r="J1202" s="123">
        <f t="shared" si="136"/>
        <v>2.4935513895715536E-2</v>
      </c>
      <c r="K1202" s="93">
        <v>1092.5400400000001</v>
      </c>
      <c r="L1202" s="124">
        <f t="shared" si="137"/>
        <v>1.2192221460468028E-2</v>
      </c>
      <c r="N1202" s="150"/>
      <c r="O1202" s="154"/>
      <c r="P1202" s="125"/>
      <c r="Q1202" s="154"/>
      <c r="R1202" s="125"/>
      <c r="S1202" s="3"/>
      <c r="T1202" s="150"/>
      <c r="U1202" s="154"/>
      <c r="V1202" s="125"/>
      <c r="W1202" s="154"/>
      <c r="X1202" s="125"/>
      <c r="Y1202" s="3"/>
    </row>
    <row r="1203" spans="8:25" x14ac:dyDescent="0.3">
      <c r="H1203" s="102">
        <v>40406</v>
      </c>
      <c r="I1203" s="93">
        <v>41.342239999999997</v>
      </c>
      <c r="J1203" s="123">
        <f t="shared" si="136"/>
        <v>2.3350889096210199E-2</v>
      </c>
      <c r="K1203" s="93">
        <v>1079.3800000000001</v>
      </c>
      <c r="L1203" s="124">
        <f t="shared" si="137"/>
        <v>1.2045401899477335E-4</v>
      </c>
      <c r="N1203" s="150"/>
      <c r="O1203" s="154"/>
      <c r="P1203" s="125"/>
      <c r="Q1203" s="154"/>
      <c r="R1203" s="125"/>
      <c r="S1203" s="3"/>
      <c r="T1203" s="150"/>
      <c r="U1203" s="154"/>
      <c r="V1203" s="125"/>
      <c r="W1203" s="154"/>
      <c r="X1203" s="125"/>
      <c r="Y1203" s="3"/>
    </row>
    <row r="1204" spans="8:25" x14ac:dyDescent="0.3">
      <c r="H1204" s="102">
        <v>40403</v>
      </c>
      <c r="I1204" s="93">
        <v>40.398890000000002</v>
      </c>
      <c r="J1204" s="123">
        <f t="shared" si="136"/>
        <v>-1.6106103695037028E-2</v>
      </c>
      <c r="K1204" s="93">
        <v>1079.25</v>
      </c>
      <c r="L1204" s="124">
        <f t="shared" si="137"/>
        <v>-4.0235786309056869E-3</v>
      </c>
      <c r="N1204" s="150"/>
      <c r="O1204" s="154"/>
      <c r="P1204" s="125"/>
      <c r="Q1204" s="154"/>
      <c r="R1204" s="125"/>
      <c r="S1204" s="3"/>
      <c r="T1204" s="150"/>
      <c r="U1204" s="154"/>
      <c r="V1204" s="125"/>
      <c r="W1204" s="154"/>
      <c r="X1204" s="125"/>
      <c r="Y1204" s="3"/>
    </row>
    <row r="1205" spans="8:25" x14ac:dyDescent="0.3">
      <c r="H1205" s="102">
        <v>40402</v>
      </c>
      <c r="I1205" s="93">
        <v>41.060209999999998</v>
      </c>
      <c r="J1205" s="123">
        <f t="shared" si="136"/>
        <v>-1.4242514307334966E-2</v>
      </c>
      <c r="K1205" s="93">
        <v>1083.6099899999999</v>
      </c>
      <c r="L1205" s="124">
        <f t="shared" si="137"/>
        <v>-5.3787439409644098E-3</v>
      </c>
      <c r="N1205" s="150"/>
      <c r="O1205" s="154"/>
      <c r="P1205" s="125"/>
      <c r="Q1205" s="154"/>
      <c r="R1205" s="125"/>
      <c r="S1205" s="3"/>
      <c r="T1205" s="150"/>
      <c r="U1205" s="154"/>
      <c r="V1205" s="125"/>
      <c r="W1205" s="154"/>
      <c r="X1205" s="125"/>
      <c r="Y1205" s="3"/>
    </row>
    <row r="1206" spans="8:25" x14ac:dyDescent="0.3">
      <c r="H1206" s="102">
        <v>40401</v>
      </c>
      <c r="I1206" s="93">
        <v>41.653460000000003</v>
      </c>
      <c r="J1206" s="123">
        <f t="shared" si="136"/>
        <v>-6.074544234425678E-2</v>
      </c>
      <c r="K1206" s="93">
        <v>1089.4699700000001</v>
      </c>
      <c r="L1206" s="124">
        <f t="shared" si="137"/>
        <v>-2.8178766800415596E-2</v>
      </c>
      <c r="N1206" s="150"/>
      <c r="O1206" s="154"/>
      <c r="P1206" s="125"/>
      <c r="Q1206" s="154"/>
      <c r="R1206" s="125"/>
      <c r="S1206" s="3"/>
      <c r="T1206" s="150"/>
      <c r="U1206" s="154"/>
      <c r="V1206" s="125"/>
      <c r="W1206" s="154"/>
      <c r="X1206" s="125"/>
      <c r="Y1206" s="3"/>
    </row>
    <row r="1207" spans="8:25" x14ac:dyDescent="0.3">
      <c r="H1207" s="102">
        <v>40400</v>
      </c>
      <c r="I1207" s="93">
        <v>44.347360000000002</v>
      </c>
      <c r="J1207" s="123">
        <f t="shared" si="136"/>
        <v>-1.6605608320521777E-2</v>
      </c>
      <c r="K1207" s="93">
        <v>1121.06006</v>
      </c>
      <c r="L1207" s="124">
        <f t="shared" si="137"/>
        <v>-5.9674050677022009E-3</v>
      </c>
      <c r="N1207" s="150"/>
      <c r="O1207" s="154"/>
      <c r="P1207" s="125"/>
      <c r="Q1207" s="154"/>
      <c r="R1207" s="125"/>
      <c r="S1207" s="3"/>
      <c r="T1207" s="150"/>
      <c r="U1207" s="154"/>
      <c r="V1207" s="125"/>
      <c r="W1207" s="154"/>
      <c r="X1207" s="125"/>
      <c r="Y1207" s="3"/>
    </row>
    <row r="1208" spans="8:25" x14ac:dyDescent="0.3">
      <c r="H1208" s="102">
        <v>40399</v>
      </c>
      <c r="I1208" s="93">
        <v>45.096209999999999</v>
      </c>
      <c r="J1208" s="123">
        <f t="shared" si="136"/>
        <v>2.7248519362186804E-2</v>
      </c>
      <c r="K1208" s="93">
        <v>1127.7900400000001</v>
      </c>
      <c r="L1208" s="124">
        <f t="shared" si="137"/>
        <v>5.4830693851586256E-3</v>
      </c>
      <c r="N1208" s="150"/>
      <c r="O1208" s="154"/>
      <c r="P1208" s="125"/>
      <c r="Q1208" s="154"/>
      <c r="R1208" s="125"/>
      <c r="S1208" s="3"/>
      <c r="T1208" s="150"/>
      <c r="U1208" s="154"/>
      <c r="V1208" s="125"/>
      <c r="W1208" s="154"/>
      <c r="X1208" s="125"/>
      <c r="Y1208" s="3"/>
    </row>
    <row r="1209" spans="8:25" x14ac:dyDescent="0.3">
      <c r="H1209" s="102">
        <v>40396</v>
      </c>
      <c r="I1209" s="93">
        <v>43.9</v>
      </c>
      <c r="J1209" s="123">
        <f t="shared" si="136"/>
        <v>-1.2253901597088734E-2</v>
      </c>
      <c r="K1209" s="93">
        <v>1121.6400100000001</v>
      </c>
      <c r="L1209" s="124">
        <f t="shared" si="137"/>
        <v>-3.7040440018806958E-3</v>
      </c>
      <c r="N1209" s="150"/>
      <c r="O1209" s="154"/>
      <c r="P1209" s="125"/>
      <c r="Q1209" s="154"/>
      <c r="R1209" s="125"/>
      <c r="S1209" s="3"/>
      <c r="T1209" s="150"/>
      <c r="U1209" s="154"/>
      <c r="V1209" s="125"/>
      <c r="W1209" s="154"/>
      <c r="X1209" s="125"/>
      <c r="Y1209" s="3"/>
    </row>
    <row r="1210" spans="8:25" x14ac:dyDescent="0.3">
      <c r="H1210" s="102">
        <v>40395</v>
      </c>
      <c r="I1210" s="93">
        <v>44.44462</v>
      </c>
      <c r="J1210" s="123">
        <f t="shared" si="136"/>
        <v>-1.1464397511924988E-2</v>
      </c>
      <c r="K1210" s="93">
        <v>1125.81006</v>
      </c>
      <c r="L1210" s="124">
        <f t="shared" si="137"/>
        <v>-1.2685231296664812E-3</v>
      </c>
      <c r="N1210" s="150"/>
      <c r="O1210" s="154"/>
      <c r="P1210" s="125"/>
      <c r="Q1210" s="154"/>
      <c r="R1210" s="125"/>
      <c r="S1210" s="3"/>
      <c r="T1210" s="150"/>
      <c r="U1210" s="154"/>
      <c r="V1210" s="125"/>
      <c r="W1210" s="154"/>
      <c r="X1210" s="125"/>
      <c r="Y1210" s="3"/>
    </row>
    <row r="1211" spans="8:25" x14ac:dyDescent="0.3">
      <c r="H1211" s="102">
        <v>40394</v>
      </c>
      <c r="I1211" s="93">
        <v>44.960059999999999</v>
      </c>
      <c r="J1211" s="123">
        <f t="shared" si="136"/>
        <v>2.5510216882804301E-2</v>
      </c>
      <c r="K1211" s="93">
        <v>1127.23999</v>
      </c>
      <c r="L1211" s="124">
        <f t="shared" si="137"/>
        <v>6.0511131517810993E-3</v>
      </c>
      <c r="N1211" s="150"/>
      <c r="O1211" s="154"/>
      <c r="P1211" s="125"/>
      <c r="Q1211" s="154"/>
      <c r="R1211" s="125"/>
      <c r="S1211" s="3"/>
      <c r="T1211" s="150"/>
      <c r="U1211" s="154"/>
      <c r="V1211" s="125"/>
      <c r="W1211" s="154"/>
      <c r="X1211" s="125"/>
      <c r="Y1211" s="3"/>
    </row>
    <row r="1212" spans="8:25" x14ac:dyDescent="0.3">
      <c r="H1212" s="102">
        <v>40393</v>
      </c>
      <c r="I1212" s="93">
        <v>43.841650000000001</v>
      </c>
      <c r="J1212" s="123">
        <f t="shared" si="136"/>
        <v>-5.076099509523738E-3</v>
      </c>
      <c r="K1212" s="93">
        <v>1120.4599599999999</v>
      </c>
      <c r="L1212" s="124">
        <f t="shared" si="137"/>
        <v>-4.7963601584243305E-3</v>
      </c>
      <c r="N1212" s="150"/>
      <c r="O1212" s="154"/>
      <c r="P1212" s="125"/>
      <c r="Q1212" s="154"/>
      <c r="R1212" s="125"/>
      <c r="S1212" s="3"/>
      <c r="T1212" s="150"/>
      <c r="U1212" s="154"/>
      <c r="V1212" s="125"/>
      <c r="W1212" s="154"/>
      <c r="X1212" s="125"/>
      <c r="Y1212" s="3"/>
    </row>
    <row r="1213" spans="8:25" x14ac:dyDescent="0.3">
      <c r="H1213" s="102">
        <v>40392</v>
      </c>
      <c r="I1213" s="93">
        <v>44.065330000000003</v>
      </c>
      <c r="J1213" s="123">
        <f t="shared" si="136"/>
        <v>3.6842028482177241E-2</v>
      </c>
      <c r="K1213" s="93">
        <v>1125.8599899999999</v>
      </c>
      <c r="L1213" s="124">
        <f t="shared" si="137"/>
        <v>2.2022522186320271E-2</v>
      </c>
      <c r="N1213" s="150"/>
      <c r="O1213" s="154"/>
      <c r="P1213" s="125"/>
      <c r="Q1213" s="154"/>
      <c r="R1213" s="125"/>
      <c r="S1213" s="3"/>
      <c r="T1213" s="150"/>
      <c r="U1213" s="154"/>
      <c r="V1213" s="125"/>
      <c r="W1213" s="154"/>
      <c r="X1213" s="125"/>
      <c r="Y1213" s="3"/>
    </row>
    <row r="1214" spans="8:25" x14ac:dyDescent="0.3">
      <c r="H1214" s="102">
        <v>40389</v>
      </c>
      <c r="I1214" s="93">
        <v>42.499560000000002</v>
      </c>
      <c r="J1214" s="123">
        <f t="shared" si="136"/>
        <v>1.1455579418402104E-3</v>
      </c>
      <c r="K1214" s="93">
        <v>1101.59998</v>
      </c>
      <c r="L1214" s="124">
        <f t="shared" si="137"/>
        <v>6.3502581041810169E-5</v>
      </c>
      <c r="N1214" s="150"/>
      <c r="O1214" s="154"/>
      <c r="P1214" s="125"/>
      <c r="Q1214" s="154"/>
      <c r="R1214" s="125"/>
      <c r="S1214" s="3"/>
      <c r="T1214" s="150"/>
      <c r="U1214" s="154"/>
      <c r="V1214" s="125"/>
      <c r="W1214" s="154"/>
      <c r="X1214" s="125"/>
      <c r="Y1214" s="3"/>
    </row>
    <row r="1215" spans="8:25" x14ac:dyDescent="0.3">
      <c r="H1215" s="102">
        <v>40388</v>
      </c>
      <c r="I1215" s="93">
        <v>42.45093</v>
      </c>
      <c r="J1215" s="123">
        <f t="shared" si="136"/>
        <v>1.346651431976522E-2</v>
      </c>
      <c r="K1215" s="93">
        <v>1101.5300299999999</v>
      </c>
      <c r="L1215" s="124">
        <f t="shared" si="137"/>
        <v>-4.1586160758683086E-3</v>
      </c>
      <c r="N1215" s="150"/>
      <c r="O1215" s="154"/>
      <c r="P1215" s="125"/>
      <c r="Q1215" s="154"/>
      <c r="R1215" s="125"/>
      <c r="S1215" s="3"/>
      <c r="T1215" s="150"/>
      <c r="U1215" s="154"/>
      <c r="V1215" s="125"/>
      <c r="W1215" s="154"/>
      <c r="X1215" s="125"/>
      <c r="Y1215" s="3"/>
    </row>
    <row r="1216" spans="8:25" x14ac:dyDescent="0.3">
      <c r="H1216" s="102">
        <v>40387</v>
      </c>
      <c r="I1216" s="93">
        <v>41.886859999999999</v>
      </c>
      <c r="J1216" s="123">
        <f t="shared" si="136"/>
        <v>-1.056733772347768E-2</v>
      </c>
      <c r="K1216" s="93">
        <v>1106.1300000000001</v>
      </c>
      <c r="L1216" s="124">
        <f t="shared" si="137"/>
        <v>-6.9219728216432068E-3</v>
      </c>
      <c r="N1216" s="150"/>
      <c r="O1216" s="154"/>
      <c r="P1216" s="125"/>
      <c r="Q1216" s="154"/>
      <c r="R1216" s="125"/>
      <c r="S1216" s="3"/>
      <c r="T1216" s="150"/>
      <c r="U1216" s="154"/>
      <c r="V1216" s="125"/>
      <c r="W1216" s="154"/>
      <c r="X1216" s="125"/>
      <c r="Y1216" s="3"/>
    </row>
    <row r="1217" spans="8:25" x14ac:dyDescent="0.3">
      <c r="H1217" s="102">
        <v>40386</v>
      </c>
      <c r="I1217" s="93">
        <v>42.334220000000002</v>
      </c>
      <c r="J1217" s="123">
        <f t="shared" si="136"/>
        <v>2.6408783224338289E-2</v>
      </c>
      <c r="K1217" s="93">
        <v>1113.83997</v>
      </c>
      <c r="L1217" s="124">
        <f t="shared" si="137"/>
        <v>-1.0493538080433662E-3</v>
      </c>
      <c r="N1217" s="150"/>
      <c r="O1217" s="154"/>
      <c r="P1217" s="125"/>
      <c r="Q1217" s="154"/>
      <c r="R1217" s="125"/>
      <c r="S1217" s="3"/>
      <c r="T1217" s="150"/>
      <c r="U1217" s="154"/>
      <c r="V1217" s="125"/>
      <c r="W1217" s="154"/>
      <c r="X1217" s="125"/>
      <c r="Y1217" s="3"/>
    </row>
    <row r="1218" spans="8:25" x14ac:dyDescent="0.3">
      <c r="H1218" s="102">
        <v>40385</v>
      </c>
      <c r="I1218" s="93">
        <v>41.244990000000001</v>
      </c>
      <c r="J1218" s="123">
        <f t="shared" si="136"/>
        <v>2.365437627553521E-2</v>
      </c>
      <c r="K1218" s="93">
        <v>1115.01001</v>
      </c>
      <c r="L1218" s="124">
        <f t="shared" si="137"/>
        <v>1.12001701920763E-2</v>
      </c>
      <c r="N1218" s="150"/>
      <c r="O1218" s="154"/>
      <c r="P1218" s="125"/>
      <c r="Q1218" s="154"/>
      <c r="R1218" s="125"/>
      <c r="S1218" s="3"/>
      <c r="T1218" s="150"/>
      <c r="U1218" s="154"/>
      <c r="V1218" s="125"/>
      <c r="W1218" s="154"/>
      <c r="X1218" s="125"/>
      <c r="Y1218" s="3"/>
    </row>
    <row r="1219" spans="8:25" x14ac:dyDescent="0.3">
      <c r="H1219" s="102">
        <v>40382</v>
      </c>
      <c r="I1219" s="93">
        <v>40.291910000000001</v>
      </c>
      <c r="J1219" s="123">
        <f t="shared" si="136"/>
        <v>-3.8747219441531235E-2</v>
      </c>
      <c r="K1219" s="93">
        <v>1102.66003</v>
      </c>
      <c r="L1219" s="124">
        <f t="shared" si="137"/>
        <v>8.2200203637287483E-3</v>
      </c>
      <c r="N1219" s="150"/>
      <c r="O1219" s="154"/>
      <c r="P1219" s="125"/>
      <c r="Q1219" s="154"/>
      <c r="R1219" s="125"/>
      <c r="S1219" s="3"/>
      <c r="T1219" s="150"/>
      <c r="U1219" s="154"/>
      <c r="V1219" s="125"/>
      <c r="W1219" s="154"/>
      <c r="X1219" s="125"/>
      <c r="Y1219" s="3"/>
    </row>
    <row r="1220" spans="8:25" x14ac:dyDescent="0.3">
      <c r="H1220" s="102">
        <v>40381</v>
      </c>
      <c r="I1220" s="93">
        <v>41.916040000000002</v>
      </c>
      <c r="J1220" s="123">
        <f t="shared" si="136"/>
        <v>2.3266873292359727E-2</v>
      </c>
      <c r="K1220" s="93">
        <v>1093.67004</v>
      </c>
      <c r="L1220" s="124">
        <f t="shared" si="137"/>
        <v>2.251336556568493E-2</v>
      </c>
      <c r="N1220" s="150"/>
      <c r="O1220" s="154"/>
      <c r="P1220" s="125"/>
      <c r="Q1220" s="154"/>
      <c r="R1220" s="125"/>
      <c r="S1220" s="3"/>
      <c r="T1220" s="150"/>
      <c r="U1220" s="154"/>
      <c r="V1220" s="125"/>
      <c r="W1220" s="154"/>
      <c r="X1220" s="125"/>
      <c r="Y1220" s="3"/>
    </row>
    <row r="1221" spans="8:25" x14ac:dyDescent="0.3">
      <c r="H1221" s="102">
        <v>40380</v>
      </c>
      <c r="I1221" s="93">
        <v>40.962960000000002</v>
      </c>
      <c r="J1221" s="123">
        <f t="shared" si="136"/>
        <v>-3.7841792125015987E-3</v>
      </c>
      <c r="K1221" s="93">
        <v>1069.58997</v>
      </c>
      <c r="L1221" s="124">
        <f t="shared" si="137"/>
        <v>-1.2819812323620483E-2</v>
      </c>
      <c r="N1221" s="150"/>
      <c r="O1221" s="154"/>
      <c r="P1221" s="125"/>
      <c r="Q1221" s="154"/>
      <c r="R1221" s="125"/>
      <c r="S1221" s="3"/>
      <c r="T1221" s="150"/>
      <c r="U1221" s="154"/>
      <c r="V1221" s="125"/>
      <c r="W1221" s="154"/>
      <c r="X1221" s="125"/>
      <c r="Y1221" s="3"/>
    </row>
    <row r="1222" spans="8:25" x14ac:dyDescent="0.3">
      <c r="H1222" s="102">
        <v>40379</v>
      </c>
      <c r="I1222" s="93">
        <v>41.118560000000002</v>
      </c>
      <c r="J1222" s="123">
        <f t="shared" si="136"/>
        <v>1.1725303023816237E-2</v>
      </c>
      <c r="K1222" s="93">
        <v>1083.4799800000001</v>
      </c>
      <c r="L1222" s="124">
        <f t="shared" si="137"/>
        <v>1.1416550758459808E-2</v>
      </c>
      <c r="N1222" s="150"/>
      <c r="O1222" s="154"/>
      <c r="P1222" s="125"/>
      <c r="Q1222" s="154"/>
      <c r="R1222" s="125"/>
      <c r="S1222" s="3"/>
      <c r="T1222" s="150"/>
      <c r="U1222" s="154"/>
      <c r="V1222" s="125"/>
      <c r="W1222" s="154"/>
      <c r="X1222" s="125"/>
      <c r="Y1222" s="3"/>
    </row>
    <row r="1223" spans="8:25" x14ac:dyDescent="0.3">
      <c r="H1223" s="102">
        <v>40378</v>
      </c>
      <c r="I1223" s="93">
        <v>40.642020000000002</v>
      </c>
      <c r="J1223" s="123">
        <f t="shared" si="136"/>
        <v>-3.339040633986037E-3</v>
      </c>
      <c r="K1223" s="93">
        <v>1071.25</v>
      </c>
      <c r="L1223" s="124">
        <f t="shared" si="137"/>
        <v>5.9818946735781401E-3</v>
      </c>
      <c r="N1223" s="150"/>
      <c r="O1223" s="154"/>
      <c r="P1223" s="125"/>
      <c r="Q1223" s="154"/>
      <c r="R1223" s="125"/>
      <c r="S1223" s="3"/>
      <c r="T1223" s="150"/>
      <c r="U1223" s="154"/>
      <c r="V1223" s="125"/>
      <c r="W1223" s="154"/>
      <c r="X1223" s="125"/>
      <c r="Y1223" s="3"/>
    </row>
    <row r="1224" spans="8:25" x14ac:dyDescent="0.3">
      <c r="H1224" s="102">
        <v>40375</v>
      </c>
      <c r="I1224" s="93">
        <v>40.778179999999999</v>
      </c>
      <c r="J1224" s="123">
        <f t="shared" si="136"/>
        <v>-4.639524588806835E-2</v>
      </c>
      <c r="K1224" s="93">
        <v>1064.8800000000001</v>
      </c>
      <c r="L1224" s="124">
        <f t="shared" si="137"/>
        <v>-2.8819477397115774E-2</v>
      </c>
      <c r="N1224" s="150"/>
      <c r="O1224" s="154"/>
      <c r="P1224" s="125"/>
      <c r="Q1224" s="154"/>
      <c r="R1224" s="125"/>
      <c r="S1224" s="3"/>
      <c r="T1224" s="150"/>
      <c r="U1224" s="154"/>
      <c r="V1224" s="125"/>
      <c r="W1224" s="154"/>
      <c r="X1224" s="125"/>
      <c r="Y1224" s="3"/>
    </row>
    <row r="1225" spans="8:25" x14ac:dyDescent="0.3">
      <c r="H1225" s="102">
        <v>40374</v>
      </c>
      <c r="I1225" s="93">
        <v>42.762140000000002</v>
      </c>
      <c r="J1225" s="123">
        <f t="shared" si="136"/>
        <v>-2.5703419003801953E-2</v>
      </c>
      <c r="K1225" s="93">
        <v>1096.4799800000001</v>
      </c>
      <c r="L1225" s="124">
        <f t="shared" si="137"/>
        <v>1.1961064968505684E-3</v>
      </c>
      <c r="N1225" s="150"/>
      <c r="O1225" s="154"/>
      <c r="P1225" s="125"/>
      <c r="Q1225" s="154"/>
      <c r="R1225" s="125"/>
      <c r="S1225" s="3"/>
      <c r="T1225" s="150"/>
      <c r="U1225" s="154"/>
      <c r="V1225" s="125"/>
      <c r="W1225" s="154"/>
      <c r="X1225" s="125"/>
      <c r="Y1225" s="3"/>
    </row>
    <row r="1226" spans="8:25" x14ac:dyDescent="0.3">
      <c r="H1226" s="102">
        <v>40373</v>
      </c>
      <c r="I1226" s="93">
        <v>43.890270000000001</v>
      </c>
      <c r="J1226" s="123">
        <f t="shared" ref="J1226:J1257" si="138">(I1226-I1227)/I1227</f>
        <v>-1.2688749849845953E-2</v>
      </c>
      <c r="K1226" s="93">
        <v>1095.17004</v>
      </c>
      <c r="L1226" s="124">
        <f t="shared" ref="L1226:L1257" si="139">(K1226-K1227)/K1227</f>
        <v>-1.551390478337261E-4</v>
      </c>
      <c r="N1226" s="150"/>
      <c r="O1226" s="154"/>
      <c r="P1226" s="125"/>
      <c r="Q1226" s="154"/>
      <c r="R1226" s="125"/>
      <c r="S1226" s="3"/>
      <c r="T1226" s="150"/>
      <c r="U1226" s="154"/>
      <c r="V1226" s="125"/>
      <c r="W1226" s="154"/>
      <c r="X1226" s="125"/>
      <c r="Y1226" s="3"/>
    </row>
    <row r="1227" spans="8:25" x14ac:dyDescent="0.3">
      <c r="H1227" s="102">
        <v>40372</v>
      </c>
      <c r="I1227" s="93">
        <v>44.454340000000002</v>
      </c>
      <c r="J1227" s="123">
        <f t="shared" si="138"/>
        <v>-2.1828626093927379E-3</v>
      </c>
      <c r="K1227" s="93">
        <v>1095.33997</v>
      </c>
      <c r="L1227" s="124">
        <f t="shared" si="139"/>
        <v>1.5378882966396286E-2</v>
      </c>
      <c r="N1227" s="150"/>
      <c r="O1227" s="154"/>
      <c r="P1227" s="125"/>
      <c r="Q1227" s="154"/>
      <c r="R1227" s="125"/>
      <c r="S1227" s="3"/>
      <c r="T1227" s="150"/>
      <c r="U1227" s="154"/>
      <c r="V1227" s="125"/>
      <c r="W1227" s="154"/>
      <c r="X1227" s="125"/>
      <c r="Y1227" s="3"/>
    </row>
    <row r="1228" spans="8:25" x14ac:dyDescent="0.3">
      <c r="H1228" s="102">
        <v>40371</v>
      </c>
      <c r="I1228" s="93">
        <v>44.551589999999997</v>
      </c>
      <c r="J1228" s="123">
        <f t="shared" si="138"/>
        <v>6.7832124085573944E-2</v>
      </c>
      <c r="K1228" s="93">
        <v>1078.75</v>
      </c>
      <c r="L1228" s="124">
        <f t="shared" si="139"/>
        <v>7.3290291784129907E-4</v>
      </c>
      <c r="N1228" s="150"/>
      <c r="O1228" s="154"/>
      <c r="P1228" s="125"/>
      <c r="Q1228" s="154"/>
      <c r="R1228" s="125"/>
      <c r="S1228" s="3"/>
      <c r="T1228" s="150"/>
      <c r="U1228" s="154"/>
      <c r="V1228" s="125"/>
      <c r="W1228" s="154"/>
      <c r="X1228" s="125"/>
      <c r="Y1228" s="3"/>
    </row>
    <row r="1229" spans="8:25" x14ac:dyDescent="0.3">
      <c r="H1229" s="102">
        <v>40368</v>
      </c>
      <c r="I1229" s="93">
        <v>41.721530000000001</v>
      </c>
      <c r="J1229" s="123">
        <f t="shared" si="138"/>
        <v>-1.4699148284465625E-2</v>
      </c>
      <c r="K1229" s="93">
        <v>1077.9599599999999</v>
      </c>
      <c r="L1229" s="124">
        <f t="shared" si="139"/>
        <v>7.2038869423031162E-3</v>
      </c>
      <c r="N1229" s="150"/>
      <c r="O1229" s="154"/>
      <c r="P1229" s="125"/>
      <c r="Q1229" s="154"/>
      <c r="R1229" s="125"/>
      <c r="S1229" s="3"/>
      <c r="T1229" s="150"/>
      <c r="U1229" s="154"/>
      <c r="V1229" s="125"/>
      <c r="W1229" s="154"/>
      <c r="X1229" s="125"/>
      <c r="Y1229" s="3"/>
    </row>
    <row r="1230" spans="8:25" x14ac:dyDescent="0.3">
      <c r="H1230" s="102">
        <v>40367</v>
      </c>
      <c r="I1230" s="93">
        <v>42.34395</v>
      </c>
      <c r="J1230" s="123">
        <f t="shared" si="138"/>
        <v>2.2983770576138107E-4</v>
      </c>
      <c r="K1230" s="93">
        <v>1070.25</v>
      </c>
      <c r="L1230" s="124">
        <f t="shared" si="139"/>
        <v>9.4126777252459427E-3</v>
      </c>
      <c r="N1230" s="150"/>
      <c r="O1230" s="154"/>
      <c r="P1230" s="125"/>
      <c r="Q1230" s="154"/>
      <c r="R1230" s="125"/>
      <c r="S1230" s="3"/>
      <c r="T1230" s="150"/>
      <c r="U1230" s="154"/>
      <c r="V1230" s="125"/>
      <c r="W1230" s="154"/>
      <c r="X1230" s="125"/>
      <c r="Y1230" s="3"/>
    </row>
    <row r="1231" spans="8:25" x14ac:dyDescent="0.3">
      <c r="H1231" s="102">
        <v>40366</v>
      </c>
      <c r="I1231" s="93">
        <v>42.334220000000002</v>
      </c>
      <c r="J1231" s="123">
        <f t="shared" si="138"/>
        <v>4.2135443424677434E-2</v>
      </c>
      <c r="K1231" s="93">
        <v>1060.2700199999999</v>
      </c>
      <c r="L1231" s="124">
        <f t="shared" si="139"/>
        <v>3.1330815438934484E-2</v>
      </c>
      <c r="N1231" s="150"/>
      <c r="O1231" s="154"/>
      <c r="P1231" s="125"/>
      <c r="Q1231" s="154"/>
      <c r="R1231" s="125"/>
      <c r="S1231" s="3"/>
      <c r="T1231" s="150"/>
      <c r="U1231" s="154"/>
      <c r="V1231" s="125"/>
      <c r="W1231" s="154"/>
      <c r="X1231" s="125"/>
      <c r="Y1231" s="3"/>
    </row>
    <row r="1232" spans="8:25" x14ac:dyDescent="0.3">
      <c r="H1232" s="102">
        <v>40365</v>
      </c>
      <c r="I1232" s="93">
        <v>40.622570000000003</v>
      </c>
      <c r="J1232" s="123">
        <f t="shared" si="138"/>
        <v>7.2341715923881413E-3</v>
      </c>
      <c r="K1232" s="93">
        <v>1028.06006</v>
      </c>
      <c r="L1232" s="124">
        <f t="shared" si="139"/>
        <v>5.3590329292763136E-3</v>
      </c>
      <c r="N1232" s="150"/>
      <c r="O1232" s="154"/>
      <c r="P1232" s="125"/>
      <c r="Q1232" s="154"/>
      <c r="R1232" s="125"/>
      <c r="S1232" s="3"/>
      <c r="T1232" s="150"/>
      <c r="U1232" s="154"/>
      <c r="V1232" s="125"/>
      <c r="W1232" s="154"/>
      <c r="X1232" s="125"/>
      <c r="Y1232" s="3"/>
    </row>
    <row r="1233" spans="8:25" x14ac:dyDescent="0.3">
      <c r="H1233" s="102">
        <v>40361</v>
      </c>
      <c r="I1233" s="93">
        <v>40.33081</v>
      </c>
      <c r="J1233" s="123">
        <f t="shared" si="138"/>
        <v>-1.6599697792745872E-2</v>
      </c>
      <c r="K1233" s="93">
        <v>1022.58002</v>
      </c>
      <c r="L1233" s="124">
        <f t="shared" si="139"/>
        <v>-4.6623709082413353E-3</v>
      </c>
      <c r="N1233" s="150"/>
      <c r="O1233" s="154"/>
      <c r="P1233" s="125"/>
      <c r="Q1233" s="154"/>
      <c r="R1233" s="125"/>
      <c r="S1233" s="3"/>
      <c r="T1233" s="150"/>
      <c r="U1233" s="154"/>
      <c r="V1233" s="125"/>
      <c r="W1233" s="154"/>
      <c r="X1233" s="125"/>
      <c r="Y1233" s="3"/>
    </row>
    <row r="1234" spans="8:25" x14ac:dyDescent="0.3">
      <c r="H1234" s="102">
        <v>40360</v>
      </c>
      <c r="I1234" s="93">
        <v>41.011589999999998</v>
      </c>
      <c r="J1234" s="123">
        <f t="shared" si="138"/>
        <v>2.3771622314235274E-3</v>
      </c>
      <c r="K1234" s="93">
        <v>1027.3699999999999</v>
      </c>
      <c r="L1234" s="124">
        <f t="shared" si="139"/>
        <v>-3.2404460319758813E-3</v>
      </c>
      <c r="N1234" s="150"/>
      <c r="O1234" s="154"/>
      <c r="P1234" s="125"/>
      <c r="Q1234" s="154"/>
      <c r="R1234" s="125"/>
      <c r="S1234" s="3"/>
      <c r="T1234" s="150"/>
      <c r="U1234" s="154"/>
      <c r="V1234" s="125"/>
      <c r="W1234" s="154"/>
      <c r="X1234" s="125"/>
      <c r="Y1234" s="3"/>
    </row>
    <row r="1235" spans="8:25" x14ac:dyDescent="0.3">
      <c r="H1235" s="102">
        <v>40359</v>
      </c>
      <c r="I1235" s="93">
        <v>40.91433</v>
      </c>
      <c r="J1235" s="123">
        <f t="shared" si="138"/>
        <v>-1.336768215619173E-2</v>
      </c>
      <c r="K1235" s="93">
        <v>1030.7099599999999</v>
      </c>
      <c r="L1235" s="124">
        <f t="shared" si="139"/>
        <v>-1.0112971170075905E-2</v>
      </c>
      <c r="N1235" s="150"/>
      <c r="O1235" s="154"/>
      <c r="P1235" s="125"/>
      <c r="Q1235" s="154"/>
      <c r="R1235" s="125"/>
      <c r="S1235" s="3"/>
      <c r="T1235" s="150"/>
      <c r="U1235" s="154"/>
      <c r="V1235" s="125"/>
      <c r="W1235" s="154"/>
      <c r="X1235" s="125"/>
      <c r="Y1235" s="3"/>
    </row>
    <row r="1236" spans="8:25" x14ac:dyDescent="0.3">
      <c r="H1236" s="102">
        <v>40358</v>
      </c>
      <c r="I1236" s="93">
        <v>41.468670000000003</v>
      </c>
      <c r="J1236" s="123">
        <f t="shared" si="138"/>
        <v>-6.9808125790559422E-2</v>
      </c>
      <c r="K1236" s="93">
        <v>1041.23999</v>
      </c>
      <c r="L1236" s="124">
        <f t="shared" si="139"/>
        <v>-3.1017022205022601E-2</v>
      </c>
      <c r="N1236" s="150"/>
      <c r="O1236" s="154"/>
      <c r="P1236" s="125"/>
      <c r="Q1236" s="154"/>
      <c r="R1236" s="125"/>
      <c r="S1236" s="3"/>
      <c r="T1236" s="150"/>
      <c r="U1236" s="154"/>
      <c r="V1236" s="125"/>
      <c r="W1236" s="154"/>
      <c r="X1236" s="125"/>
      <c r="Y1236" s="3"/>
    </row>
    <row r="1237" spans="8:25" x14ac:dyDescent="0.3">
      <c r="H1237" s="102">
        <v>40357</v>
      </c>
      <c r="I1237" s="93">
        <v>44.580770000000001</v>
      </c>
      <c r="J1237" s="123">
        <f t="shared" si="138"/>
        <v>-5.6399626798008173E-3</v>
      </c>
      <c r="K1237" s="93">
        <v>1074.5699500000001</v>
      </c>
      <c r="L1237" s="124">
        <f t="shared" si="139"/>
        <v>-2.0339351198600912E-3</v>
      </c>
      <c r="N1237" s="150"/>
      <c r="O1237" s="154"/>
      <c r="P1237" s="125"/>
      <c r="Q1237" s="154"/>
      <c r="R1237" s="125"/>
      <c r="S1237" s="3"/>
      <c r="T1237" s="150"/>
      <c r="U1237" s="154"/>
      <c r="V1237" s="125"/>
      <c r="W1237" s="154"/>
      <c r="X1237" s="125"/>
      <c r="Y1237" s="3"/>
    </row>
    <row r="1238" spans="8:25" x14ac:dyDescent="0.3">
      <c r="H1238" s="102">
        <v>40354</v>
      </c>
      <c r="I1238" s="93">
        <v>44.833629999999999</v>
      </c>
      <c r="J1238" s="123">
        <f t="shared" si="138"/>
        <v>6.5502413796276731E-3</v>
      </c>
      <c r="K1238" s="93">
        <v>1076.76001</v>
      </c>
      <c r="L1238" s="124">
        <f t="shared" si="139"/>
        <v>2.859363663219185E-3</v>
      </c>
      <c r="N1238" s="150"/>
      <c r="O1238" s="154"/>
      <c r="P1238" s="125"/>
      <c r="Q1238" s="154"/>
      <c r="R1238" s="125"/>
      <c r="S1238" s="3"/>
      <c r="T1238" s="150"/>
      <c r="U1238" s="154"/>
      <c r="V1238" s="125"/>
      <c r="W1238" s="154"/>
      <c r="X1238" s="125"/>
      <c r="Y1238" s="3"/>
    </row>
    <row r="1239" spans="8:25" x14ac:dyDescent="0.3">
      <c r="H1239" s="102">
        <v>40353</v>
      </c>
      <c r="I1239" s="93">
        <v>44.541870000000003</v>
      </c>
      <c r="J1239" s="123">
        <f t="shared" si="138"/>
        <v>-2.2828951568442817E-2</v>
      </c>
      <c r="K1239" s="93">
        <v>1073.68994</v>
      </c>
      <c r="L1239" s="124">
        <f t="shared" si="139"/>
        <v>-1.6803504750613457E-2</v>
      </c>
      <c r="N1239" s="150"/>
      <c r="O1239" s="154"/>
      <c r="P1239" s="125"/>
      <c r="Q1239" s="154"/>
      <c r="R1239" s="125"/>
      <c r="S1239" s="3"/>
      <c r="T1239" s="150"/>
      <c r="U1239" s="154"/>
      <c r="V1239" s="125"/>
      <c r="W1239" s="154"/>
      <c r="X1239" s="125"/>
      <c r="Y1239" s="3"/>
    </row>
    <row r="1240" spans="8:25" x14ac:dyDescent="0.3">
      <c r="H1240" s="102">
        <v>40352</v>
      </c>
      <c r="I1240" s="93">
        <v>45.582470000000001</v>
      </c>
      <c r="J1240" s="123">
        <f t="shared" si="138"/>
        <v>-4.4606830235236084E-3</v>
      </c>
      <c r="K1240" s="93">
        <v>1092.0400400000001</v>
      </c>
      <c r="L1240" s="124">
        <f t="shared" si="139"/>
        <v>-2.9854742683545982E-3</v>
      </c>
      <c r="N1240" s="150"/>
      <c r="O1240" s="154"/>
      <c r="P1240" s="125"/>
      <c r="Q1240" s="154"/>
      <c r="R1240" s="125"/>
      <c r="S1240" s="3"/>
      <c r="T1240" s="150"/>
      <c r="U1240" s="154"/>
      <c r="V1240" s="125"/>
      <c r="W1240" s="154"/>
      <c r="X1240" s="125"/>
      <c r="Y1240" s="3"/>
    </row>
    <row r="1241" spans="8:25" x14ac:dyDescent="0.3">
      <c r="H1241" s="102">
        <v>40351</v>
      </c>
      <c r="I1241" s="93">
        <v>45.786709999999999</v>
      </c>
      <c r="J1241" s="123">
        <f t="shared" si="138"/>
        <v>-1.9983373408669562E-2</v>
      </c>
      <c r="K1241" s="93">
        <v>1095.31006</v>
      </c>
      <c r="L1241" s="124">
        <f t="shared" si="139"/>
        <v>-1.6070688828183945E-2</v>
      </c>
      <c r="N1241" s="150"/>
      <c r="O1241" s="154"/>
      <c r="P1241" s="125"/>
      <c r="Q1241" s="154"/>
      <c r="R1241" s="125"/>
      <c r="S1241" s="3"/>
      <c r="T1241" s="150"/>
      <c r="U1241" s="154"/>
      <c r="V1241" s="125"/>
      <c r="W1241" s="154"/>
      <c r="X1241" s="125"/>
      <c r="Y1241" s="3"/>
    </row>
    <row r="1242" spans="8:25" x14ac:dyDescent="0.3">
      <c r="H1242" s="102">
        <v>40350</v>
      </c>
      <c r="I1242" s="93">
        <v>46.72034</v>
      </c>
      <c r="J1242" s="123">
        <f t="shared" si="138"/>
        <v>-1.9991852902518845E-2</v>
      </c>
      <c r="K1242" s="93">
        <v>1113.1999499999999</v>
      </c>
      <c r="L1242" s="124">
        <f t="shared" si="139"/>
        <v>-3.856842409850111E-3</v>
      </c>
      <c r="N1242" s="150"/>
      <c r="O1242" s="154"/>
      <c r="P1242" s="125"/>
      <c r="Q1242" s="154"/>
      <c r="R1242" s="125"/>
      <c r="S1242" s="3"/>
      <c r="T1242" s="150"/>
      <c r="U1242" s="154"/>
      <c r="V1242" s="125"/>
      <c r="W1242" s="154"/>
      <c r="X1242" s="125"/>
      <c r="Y1242" s="3"/>
    </row>
    <row r="1243" spans="8:25" x14ac:dyDescent="0.3">
      <c r="H1243" s="102">
        <v>40347</v>
      </c>
      <c r="I1243" s="93">
        <v>47.67342</v>
      </c>
      <c r="J1243" s="123">
        <f t="shared" si="138"/>
        <v>-1.3682084562780236E-2</v>
      </c>
      <c r="K1243" s="93">
        <v>1117.51001</v>
      </c>
      <c r="L1243" s="124">
        <f t="shared" si="139"/>
        <v>1.3171301631793387E-3</v>
      </c>
      <c r="N1243" s="150"/>
      <c r="O1243" s="154"/>
      <c r="P1243" s="125"/>
      <c r="Q1243" s="154"/>
      <c r="R1243" s="125"/>
      <c r="S1243" s="3"/>
      <c r="T1243" s="150"/>
      <c r="U1243" s="154"/>
      <c r="V1243" s="125"/>
      <c r="W1243" s="154"/>
      <c r="X1243" s="125"/>
      <c r="Y1243" s="3"/>
    </row>
    <row r="1244" spans="8:25" x14ac:dyDescent="0.3">
      <c r="H1244" s="102">
        <v>40346</v>
      </c>
      <c r="I1244" s="93">
        <v>48.334739999999996</v>
      </c>
      <c r="J1244" s="123">
        <f t="shared" si="138"/>
        <v>6.2766937486011046E-3</v>
      </c>
      <c r="K1244" s="93">
        <v>1116.0400400000001</v>
      </c>
      <c r="L1244" s="124">
        <f t="shared" si="139"/>
        <v>1.2830048293396015E-3</v>
      </c>
      <c r="N1244" s="150"/>
      <c r="O1244" s="154"/>
      <c r="P1244" s="125"/>
      <c r="Q1244" s="154"/>
      <c r="R1244" s="125"/>
      <c r="S1244" s="3"/>
      <c r="T1244" s="150"/>
      <c r="U1244" s="154"/>
      <c r="V1244" s="125"/>
      <c r="W1244" s="154"/>
      <c r="X1244" s="125"/>
      <c r="Y1244" s="3"/>
    </row>
    <row r="1245" spans="8:25" x14ac:dyDescent="0.3">
      <c r="H1245" s="102">
        <v>40345</v>
      </c>
      <c r="I1245" s="93">
        <v>48.033250000000002</v>
      </c>
      <c r="J1245" s="123">
        <f t="shared" si="138"/>
        <v>1.4585126550527801E-2</v>
      </c>
      <c r="K1245" s="93">
        <v>1114.6099899999999</v>
      </c>
      <c r="L1245" s="124">
        <f t="shared" si="139"/>
        <v>-5.5593017684132148E-4</v>
      </c>
      <c r="N1245" s="150"/>
      <c r="O1245" s="154"/>
      <c r="P1245" s="125"/>
      <c r="Q1245" s="154"/>
      <c r="R1245" s="125"/>
      <c r="S1245" s="3"/>
      <c r="T1245" s="150"/>
      <c r="U1245" s="154"/>
      <c r="V1245" s="125"/>
      <c r="W1245" s="154"/>
      <c r="X1245" s="125"/>
      <c r="Y1245" s="3"/>
    </row>
    <row r="1246" spans="8:25" x14ac:dyDescent="0.3">
      <c r="H1246" s="102">
        <v>40344</v>
      </c>
      <c r="I1246" s="93">
        <v>47.342750000000002</v>
      </c>
      <c r="J1246" s="123">
        <f t="shared" si="138"/>
        <v>2.8305650986749111E-2</v>
      </c>
      <c r="K1246" s="93">
        <v>1115.2299800000001</v>
      </c>
      <c r="L1246" s="124">
        <f t="shared" si="139"/>
        <v>2.3494195277295925E-2</v>
      </c>
      <c r="N1246" s="150"/>
      <c r="O1246" s="154"/>
      <c r="P1246" s="125"/>
      <c r="Q1246" s="154"/>
      <c r="R1246" s="125"/>
      <c r="S1246" s="3"/>
      <c r="T1246" s="150"/>
      <c r="U1246" s="154"/>
      <c r="V1246" s="125"/>
      <c r="W1246" s="154"/>
      <c r="X1246" s="125"/>
      <c r="Y1246" s="3"/>
    </row>
    <row r="1247" spans="8:25" x14ac:dyDescent="0.3">
      <c r="H1247" s="102">
        <v>40343</v>
      </c>
      <c r="I1247" s="93">
        <v>46.039569999999998</v>
      </c>
      <c r="J1247" s="123">
        <f t="shared" si="138"/>
        <v>6.1435168737260633E-2</v>
      </c>
      <c r="K1247" s="93">
        <v>1089.6300000000001</v>
      </c>
      <c r="L1247" s="124">
        <f t="shared" si="139"/>
        <v>-1.804672074105251E-3</v>
      </c>
      <c r="N1247" s="150"/>
      <c r="O1247" s="154"/>
      <c r="P1247" s="125"/>
      <c r="Q1247" s="154"/>
      <c r="R1247" s="125"/>
      <c r="S1247" s="3"/>
      <c r="T1247" s="150"/>
      <c r="U1247" s="154"/>
      <c r="V1247" s="125"/>
      <c r="W1247" s="154"/>
      <c r="X1247" s="125"/>
      <c r="Y1247" s="3"/>
    </row>
    <row r="1248" spans="8:25" x14ac:dyDescent="0.3">
      <c r="H1248" s="102">
        <v>40340</v>
      </c>
      <c r="I1248" s="93">
        <v>43.374830000000003</v>
      </c>
      <c r="J1248" s="123">
        <f t="shared" si="138"/>
        <v>2.4722738771920777E-3</v>
      </c>
      <c r="K1248" s="93">
        <v>1091.59998</v>
      </c>
      <c r="L1248" s="124">
        <f t="shared" si="139"/>
        <v>4.3796788224488709E-3</v>
      </c>
      <c r="N1248" s="150"/>
      <c r="O1248" s="154"/>
      <c r="P1248" s="125"/>
      <c r="Q1248" s="154"/>
      <c r="R1248" s="125"/>
      <c r="S1248" s="3"/>
      <c r="T1248" s="150"/>
      <c r="U1248" s="154"/>
      <c r="V1248" s="125"/>
      <c r="W1248" s="154"/>
      <c r="X1248" s="125"/>
      <c r="Y1248" s="3"/>
    </row>
    <row r="1249" spans="1:26" x14ac:dyDescent="0.3">
      <c r="H1249" s="102">
        <v>40339</v>
      </c>
      <c r="I1249" s="93">
        <v>43.267859999999999</v>
      </c>
      <c r="J1249" s="123">
        <f t="shared" si="138"/>
        <v>4.0701949338134119E-2</v>
      </c>
      <c r="K1249" s="93">
        <v>1086.83997</v>
      </c>
      <c r="L1249" s="124">
        <f t="shared" si="139"/>
        <v>2.950679817977617E-2</v>
      </c>
      <c r="N1249" s="150"/>
      <c r="O1249" s="154"/>
      <c r="P1249" s="125"/>
      <c r="Q1249" s="154"/>
      <c r="R1249" s="125"/>
      <c r="S1249" s="3"/>
      <c r="T1249" s="150"/>
      <c r="U1249" s="154"/>
      <c r="V1249" s="125"/>
      <c r="W1249" s="154"/>
      <c r="X1249" s="125"/>
      <c r="Y1249" s="3"/>
    </row>
    <row r="1250" spans="1:26" x14ac:dyDescent="0.3">
      <c r="H1250" s="102">
        <v>40338</v>
      </c>
      <c r="I1250" s="93">
        <v>41.575650000000003</v>
      </c>
      <c r="J1250" s="123">
        <f t="shared" si="138"/>
        <v>-6.5071272291408562E-3</v>
      </c>
      <c r="K1250" s="93">
        <v>1055.68994</v>
      </c>
      <c r="L1250" s="124">
        <f t="shared" si="139"/>
        <v>-5.941676082862544E-3</v>
      </c>
      <c r="N1250" s="150"/>
      <c r="O1250" s="154"/>
      <c r="P1250" s="125"/>
      <c r="Q1250" s="154"/>
      <c r="R1250" s="125"/>
      <c r="S1250" s="3"/>
      <c r="T1250" s="150"/>
      <c r="U1250" s="154"/>
      <c r="V1250" s="125"/>
      <c r="W1250" s="154"/>
      <c r="X1250" s="125"/>
      <c r="Y1250" s="3"/>
    </row>
    <row r="1251" spans="1:26" x14ac:dyDescent="0.3">
      <c r="H1251" s="102">
        <v>40337</v>
      </c>
      <c r="I1251" s="93">
        <v>41.84796</v>
      </c>
      <c r="J1251" s="123">
        <f t="shared" si="138"/>
        <v>-4.3960969472843408E-3</v>
      </c>
      <c r="K1251" s="93">
        <v>1062</v>
      </c>
      <c r="L1251" s="124">
        <f t="shared" si="139"/>
        <v>1.0976068168802479E-2</v>
      </c>
      <c r="N1251" s="150"/>
      <c r="O1251" s="154"/>
      <c r="P1251" s="125"/>
      <c r="Q1251" s="154"/>
      <c r="R1251" s="125"/>
      <c r="S1251" s="3"/>
      <c r="T1251" s="150"/>
      <c r="U1251" s="154"/>
      <c r="V1251" s="125"/>
      <c r="W1251" s="154"/>
      <c r="X1251" s="125"/>
      <c r="Y1251" s="3"/>
    </row>
    <row r="1252" spans="1:26" x14ac:dyDescent="0.3">
      <c r="H1252" s="102">
        <v>40336</v>
      </c>
      <c r="I1252" s="93">
        <v>42.032739999999997</v>
      </c>
      <c r="J1252" s="123">
        <f t="shared" si="138"/>
        <v>-3.6987532287338948E-2</v>
      </c>
      <c r="K1252" s="93">
        <v>1050.4699700000001</v>
      </c>
      <c r="L1252" s="124">
        <f t="shared" si="139"/>
        <v>-1.3532069341146424E-2</v>
      </c>
      <c r="N1252" s="150"/>
      <c r="O1252" s="154"/>
      <c r="P1252" s="125"/>
      <c r="Q1252" s="154"/>
      <c r="R1252" s="125"/>
      <c r="S1252" s="3"/>
      <c r="T1252" s="150"/>
      <c r="U1252" s="154"/>
      <c r="V1252" s="125"/>
      <c r="W1252" s="154"/>
      <c r="X1252" s="125"/>
      <c r="Y1252" s="3"/>
    </row>
    <row r="1253" spans="1:26" x14ac:dyDescent="0.3">
      <c r="H1253" s="102">
        <v>40333</v>
      </c>
      <c r="I1253" s="93">
        <v>43.64714</v>
      </c>
      <c r="J1253" s="123">
        <f t="shared" si="138"/>
        <v>-4.7133835274556918E-2</v>
      </c>
      <c r="K1253" s="93">
        <v>1064.8800000000001</v>
      </c>
      <c r="L1253" s="124">
        <f t="shared" si="139"/>
        <v>-3.4411433653833562E-2</v>
      </c>
      <c r="N1253" s="150"/>
      <c r="O1253" s="154"/>
      <c r="P1253" s="125"/>
      <c r="Q1253" s="154"/>
      <c r="R1253" s="125"/>
      <c r="S1253" s="3"/>
      <c r="T1253" s="150"/>
      <c r="U1253" s="154"/>
      <c r="V1253" s="125"/>
      <c r="W1253" s="154"/>
      <c r="X1253" s="125"/>
      <c r="Y1253" s="3"/>
    </row>
    <row r="1254" spans="1:26" x14ac:dyDescent="0.3">
      <c r="H1254" s="102">
        <v>40332</v>
      </c>
      <c r="I1254" s="93">
        <v>45.806159999999998</v>
      </c>
      <c r="J1254" s="123">
        <f t="shared" si="138"/>
        <v>1.4430436261586913E-2</v>
      </c>
      <c r="K1254" s="93">
        <v>1102.82996</v>
      </c>
      <c r="L1254" s="124">
        <f t="shared" si="139"/>
        <v>4.0513847666562739E-3</v>
      </c>
      <c r="N1254" s="150"/>
      <c r="O1254" s="154"/>
      <c r="P1254" s="125"/>
      <c r="Q1254" s="154"/>
      <c r="R1254" s="125"/>
      <c r="S1254" s="3"/>
      <c r="T1254" s="150"/>
      <c r="U1254" s="154"/>
      <c r="V1254" s="125"/>
      <c r="W1254" s="154"/>
      <c r="X1254" s="125"/>
      <c r="Y1254" s="3"/>
    </row>
    <row r="1255" spans="1:26" x14ac:dyDescent="0.3">
      <c r="H1255" s="102">
        <v>40331</v>
      </c>
      <c r="I1255" s="93">
        <v>45.154559999999996</v>
      </c>
      <c r="J1255" s="123">
        <f t="shared" si="138"/>
        <v>3.1777833023793035E-2</v>
      </c>
      <c r="K1255" s="93">
        <v>1098.3800000000001</v>
      </c>
      <c r="L1255" s="124">
        <f t="shared" si="139"/>
        <v>2.5842703471255841E-2</v>
      </c>
      <c r="N1255" s="150"/>
      <c r="O1255" s="154"/>
      <c r="P1255" s="125"/>
      <c r="Q1255" s="154"/>
      <c r="R1255" s="125"/>
      <c r="S1255" s="3"/>
      <c r="T1255" s="150"/>
      <c r="U1255" s="154"/>
      <c r="V1255" s="125"/>
      <c r="W1255" s="154"/>
      <c r="X1255" s="125"/>
      <c r="Y1255" s="3"/>
    </row>
    <row r="1256" spans="1:26" x14ac:dyDescent="0.3">
      <c r="H1256" s="102">
        <v>40330</v>
      </c>
      <c r="I1256" s="93">
        <v>43.763840000000002</v>
      </c>
      <c r="J1256" s="123">
        <f t="shared" si="138"/>
        <v>-3.4749072218519243E-2</v>
      </c>
      <c r="K1256" s="93">
        <v>1070.7099599999999</v>
      </c>
      <c r="L1256" s="124">
        <f t="shared" si="139"/>
        <v>-1.7165318369613412E-2</v>
      </c>
      <c r="N1256" s="150"/>
      <c r="O1256" s="154"/>
      <c r="P1256" s="125"/>
      <c r="Q1256" s="154"/>
      <c r="R1256" s="125"/>
      <c r="S1256" s="3"/>
      <c r="T1256" s="150"/>
      <c r="U1256" s="154"/>
      <c r="V1256" s="125"/>
      <c r="W1256" s="154"/>
      <c r="X1256" s="125"/>
      <c r="Y1256" s="3"/>
    </row>
    <row r="1257" spans="1:26" x14ac:dyDescent="0.3">
      <c r="H1257" s="102">
        <v>40326</v>
      </c>
      <c r="I1257" s="93">
        <v>45.33934</v>
      </c>
      <c r="J1257" s="123">
        <f t="shared" si="138"/>
        <v>-4.9092443828350632E-3</v>
      </c>
      <c r="K1257" s="93">
        <v>1089.41003</v>
      </c>
      <c r="L1257" s="124">
        <f t="shared" si="139"/>
        <v>-1.237469335985206E-2</v>
      </c>
      <c r="N1257" s="150"/>
      <c r="O1257" s="154"/>
      <c r="P1257" s="125"/>
      <c r="Q1257" s="154"/>
      <c r="R1257" s="125"/>
      <c r="S1257" s="3"/>
      <c r="T1257" s="150"/>
      <c r="U1257" s="154"/>
      <c r="V1257" s="125"/>
      <c r="W1257" s="154"/>
      <c r="X1257" s="125"/>
      <c r="Y1257" s="3"/>
    </row>
    <row r="1258" spans="1:26" x14ac:dyDescent="0.3">
      <c r="H1258" s="102">
        <v>40325</v>
      </c>
      <c r="I1258" s="93">
        <v>45.563020000000002</v>
      </c>
      <c r="J1258" s="123"/>
      <c r="K1258" s="93">
        <v>1103.06006</v>
      </c>
      <c r="L1258" s="124"/>
      <c r="N1258" s="150"/>
      <c r="O1258" s="154"/>
      <c r="P1258" s="125"/>
      <c r="Q1258" s="154"/>
      <c r="R1258" s="125"/>
      <c r="S1258" s="3"/>
      <c r="T1258" s="150"/>
      <c r="U1258" s="154"/>
      <c r="V1258" s="125"/>
      <c r="W1258" s="154"/>
      <c r="X1258" s="125"/>
      <c r="Y1258" s="3"/>
    </row>
    <row r="1259" spans="1:26" ht="46.8" customHeight="1" x14ac:dyDescent="0.3">
      <c r="H1259" s="102"/>
      <c r="I1259" s="93"/>
      <c r="J1259" s="125"/>
      <c r="K1259" s="154"/>
      <c r="L1259" s="125"/>
      <c r="M1259" s="3"/>
      <c r="N1259" s="150"/>
      <c r="O1259" s="154"/>
      <c r="P1259" s="125"/>
      <c r="Q1259" s="154"/>
      <c r="R1259" s="125"/>
      <c r="S1259" s="3"/>
      <c r="T1259" s="150"/>
      <c r="U1259" s="154"/>
      <c r="V1259" s="125"/>
      <c r="W1259" s="154"/>
      <c r="X1259" s="125"/>
      <c r="Y1259" s="3"/>
    </row>
    <row r="1260" spans="1:26" s="353" customFormat="1" ht="46.8" customHeight="1" x14ac:dyDescent="0.3">
      <c r="A1260" s="142"/>
      <c r="H1260" s="354"/>
      <c r="I1260" s="355"/>
      <c r="J1260" s="356"/>
      <c r="K1260" s="357"/>
      <c r="L1260" s="356"/>
      <c r="M1260" s="331"/>
      <c r="N1260" s="358"/>
      <c r="O1260" s="357"/>
      <c r="P1260" s="356"/>
      <c r="Q1260" s="357"/>
      <c r="R1260" s="356"/>
      <c r="S1260" s="331"/>
      <c r="T1260" s="358"/>
      <c r="U1260" s="357"/>
      <c r="V1260" s="356"/>
      <c r="W1260" s="357"/>
      <c r="X1260" s="356"/>
      <c r="Y1260" s="331"/>
      <c r="Z1260" s="350"/>
    </row>
    <row r="1261" spans="1:26" x14ac:dyDescent="0.3">
      <c r="H1261" s="102"/>
      <c r="I1261" s="93"/>
      <c r="J1261" s="125"/>
      <c r="K1261" s="154"/>
      <c r="L1261" s="125"/>
      <c r="M1261" s="3"/>
      <c r="N1261" s="150"/>
      <c r="O1261" s="154"/>
      <c r="P1261" s="125"/>
      <c r="Q1261" s="154"/>
      <c r="R1261" s="125"/>
      <c r="S1261" s="3"/>
      <c r="T1261" s="150"/>
      <c r="U1261" s="154"/>
      <c r="V1261" s="125"/>
      <c r="W1261" s="154"/>
      <c r="X1261" s="125"/>
      <c r="Y1261" s="3"/>
    </row>
    <row r="1262" spans="1:26" x14ac:dyDescent="0.3">
      <c r="H1262" s="102"/>
      <c r="I1262" s="93"/>
      <c r="J1262" s="125"/>
      <c r="K1262" s="154"/>
      <c r="L1262" s="125"/>
      <c r="M1262" s="3"/>
      <c r="N1262" s="150"/>
      <c r="O1262" s="154"/>
      <c r="P1262" s="125"/>
      <c r="Q1262" s="154"/>
      <c r="R1262" s="125"/>
      <c r="S1262" s="3"/>
      <c r="T1262" s="150"/>
      <c r="U1262" s="154"/>
      <c r="V1262" s="125"/>
      <c r="W1262" s="154"/>
      <c r="X1262" s="125"/>
      <c r="Y1262" s="3"/>
    </row>
    <row r="1263" spans="1:26" x14ac:dyDescent="0.3">
      <c r="H1263" s="102"/>
      <c r="I1263" s="93"/>
      <c r="J1263" s="125"/>
      <c r="K1263" s="154"/>
      <c r="L1263" s="125"/>
      <c r="M1263" s="3"/>
      <c r="N1263" s="150"/>
      <c r="O1263" s="154"/>
      <c r="P1263" s="125"/>
      <c r="Q1263" s="154"/>
      <c r="R1263" s="125"/>
      <c r="S1263" s="3"/>
      <c r="T1263" s="150"/>
      <c r="U1263" s="154"/>
      <c r="V1263" s="125"/>
      <c r="W1263" s="154"/>
      <c r="X1263" s="125"/>
      <c r="Y1263" s="3"/>
    </row>
    <row r="1264" spans="1:26" x14ac:dyDescent="0.3">
      <c r="H1264" s="102"/>
      <c r="I1264" s="93"/>
      <c r="J1264" s="125"/>
      <c r="K1264" s="154"/>
      <c r="L1264" s="125"/>
      <c r="M1264" s="3"/>
      <c r="N1264" s="150"/>
      <c r="O1264" s="154"/>
      <c r="P1264" s="125"/>
      <c r="Q1264" s="154"/>
      <c r="R1264" s="125"/>
      <c r="S1264" s="3"/>
      <c r="T1264" s="150"/>
      <c r="U1264" s="154"/>
      <c r="V1264" s="125"/>
      <c r="W1264" s="154"/>
      <c r="X1264" s="125"/>
      <c r="Y1264" s="3"/>
    </row>
    <row r="1265" spans="8:25" x14ac:dyDescent="0.3">
      <c r="H1265" s="102"/>
      <c r="I1265" s="93"/>
      <c r="J1265" s="125"/>
      <c r="K1265" s="154"/>
      <c r="L1265" s="125"/>
      <c r="M1265" s="3"/>
      <c r="N1265" s="150"/>
      <c r="O1265" s="154"/>
      <c r="P1265" s="125"/>
      <c r="Q1265" s="154"/>
      <c r="R1265" s="125"/>
      <c r="S1265" s="3"/>
      <c r="T1265" s="150"/>
      <c r="U1265" s="154"/>
      <c r="V1265" s="125"/>
      <c r="W1265" s="154"/>
      <c r="X1265" s="125"/>
      <c r="Y1265" s="3"/>
    </row>
    <row r="1266" spans="8:25" x14ac:dyDescent="0.3">
      <c r="H1266" s="102"/>
      <c r="I1266" s="93"/>
      <c r="J1266" s="125"/>
      <c r="K1266" s="154"/>
      <c r="L1266" s="125"/>
      <c r="M1266" s="3"/>
      <c r="N1266" s="150"/>
      <c r="O1266" s="154"/>
      <c r="P1266" s="125"/>
      <c r="Q1266" s="154"/>
      <c r="R1266" s="125"/>
      <c r="S1266" s="3"/>
      <c r="T1266" s="150"/>
      <c r="U1266" s="154"/>
      <c r="V1266" s="125"/>
      <c r="W1266" s="154"/>
      <c r="X1266" s="125"/>
      <c r="Y1266" s="3"/>
    </row>
    <row r="1267" spans="8:25" x14ac:dyDescent="0.3"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8:25" x14ac:dyDescent="0.3">
      <c r="J1268" s="3"/>
      <c r="K1268" s="3"/>
      <c r="L1268" s="3"/>
      <c r="M1268" s="3"/>
    </row>
  </sheetData>
  <mergeCells count="6">
    <mergeCell ref="U6:V6"/>
    <mergeCell ref="W6:X6"/>
    <mergeCell ref="I6:J6"/>
    <mergeCell ref="K6:L6"/>
    <mergeCell ref="O6:P6"/>
    <mergeCell ref="Q6:R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17"/>
  <sheetViews>
    <sheetView showGridLines="0" zoomScale="93" zoomScaleNormal="93" zoomScalePageLayoutView="93" workbookViewId="0">
      <selection activeCell="C15" sqref="C15"/>
    </sheetView>
  </sheetViews>
  <sheetFormatPr defaultColWidth="8.77734375" defaultRowHeight="14.4" x14ac:dyDescent="0.3"/>
  <cols>
    <col min="1" max="1" width="3.44140625" customWidth="1"/>
    <col min="2" max="2" width="46.6640625" bestFit="1" customWidth="1"/>
    <col min="3" max="3" width="15" bestFit="1" customWidth="1"/>
    <col min="4" max="4" width="15.109375" bestFit="1" customWidth="1"/>
    <col min="5" max="7" width="15" bestFit="1" customWidth="1"/>
    <col min="9" max="9" width="8.77734375" style="350"/>
  </cols>
  <sheetData>
    <row r="1" spans="2:9" ht="18" customHeight="1" thickBot="1" x14ac:dyDescent="0.25">
      <c r="I1" s="149"/>
    </row>
    <row r="2" spans="2:9" ht="72.75" customHeight="1" x14ac:dyDescent="0.2">
      <c r="C2" s="8"/>
      <c r="D2" s="8"/>
      <c r="E2" s="8"/>
      <c r="F2" s="8"/>
      <c r="G2" s="9"/>
    </row>
    <row r="3" spans="2:9" ht="3.75" customHeight="1" x14ac:dyDescent="0.2">
      <c r="B3" s="128"/>
      <c r="C3" s="129"/>
      <c r="D3" s="129"/>
      <c r="E3" s="129"/>
      <c r="F3" s="129"/>
      <c r="G3" s="130"/>
    </row>
    <row r="4" spans="2:9" ht="15" x14ac:dyDescent="0.2">
      <c r="B4" s="12" t="s">
        <v>261</v>
      </c>
      <c r="C4" s="3"/>
      <c r="D4" s="3"/>
      <c r="E4" s="3"/>
      <c r="F4" s="3"/>
      <c r="G4" s="2"/>
    </row>
    <row r="5" spans="2:9" s="4" customFormat="1" ht="16.05" thickBot="1" x14ac:dyDescent="0.25">
      <c r="B5" s="12"/>
      <c r="C5" s="520" t="s">
        <v>30</v>
      </c>
      <c r="D5" s="520"/>
      <c r="E5" s="520"/>
      <c r="F5" s="520"/>
      <c r="G5" s="521"/>
      <c r="I5" s="350"/>
    </row>
    <row r="6" spans="2:9" ht="15" customHeight="1" thickBot="1" x14ac:dyDescent="0.25">
      <c r="B6" s="127"/>
      <c r="C6" s="22" t="s">
        <v>25</v>
      </c>
      <c r="D6" s="23" t="s">
        <v>29</v>
      </c>
      <c r="E6" s="23" t="s">
        <v>26</v>
      </c>
      <c r="F6" s="22" t="s">
        <v>27</v>
      </c>
      <c r="G6" s="24" t="s">
        <v>28</v>
      </c>
    </row>
    <row r="7" spans="2:9" ht="15" x14ac:dyDescent="0.2">
      <c r="B7" s="12" t="s">
        <v>264</v>
      </c>
      <c r="C7" s="180">
        <v>255</v>
      </c>
      <c r="D7" s="181">
        <v>255</v>
      </c>
      <c r="E7" s="180"/>
      <c r="F7" s="180"/>
      <c r="G7" s="182"/>
    </row>
    <row r="8" spans="2:9" ht="15" x14ac:dyDescent="0.2">
      <c r="B8" s="12" t="s">
        <v>265</v>
      </c>
      <c r="C8" s="180">
        <v>2312</v>
      </c>
      <c r="D8" s="180">
        <v>156</v>
      </c>
      <c r="E8" s="180">
        <v>469</v>
      </c>
      <c r="F8" s="183">
        <v>1687</v>
      </c>
      <c r="G8" s="184"/>
    </row>
    <row r="9" spans="2:9" ht="15" x14ac:dyDescent="0.2">
      <c r="B9" s="12" t="s">
        <v>262</v>
      </c>
      <c r="C9" s="25">
        <v>185</v>
      </c>
      <c r="D9" s="25">
        <v>40</v>
      </c>
      <c r="E9" s="25">
        <v>58</v>
      </c>
      <c r="F9" s="25">
        <v>42</v>
      </c>
      <c r="G9" s="28">
        <v>45</v>
      </c>
    </row>
    <row r="10" spans="2:9" ht="15" x14ac:dyDescent="0.2">
      <c r="B10" s="12" t="s">
        <v>263</v>
      </c>
      <c r="C10" s="25">
        <v>2844</v>
      </c>
      <c r="D10" s="25">
        <v>2809</v>
      </c>
      <c r="E10" s="27">
        <v>28</v>
      </c>
      <c r="F10" s="27">
        <v>6</v>
      </c>
      <c r="G10" s="28">
        <v>1</v>
      </c>
    </row>
    <row r="11" spans="2:9" ht="16.05" thickBot="1" x14ac:dyDescent="0.25">
      <c r="B11" s="29" t="s">
        <v>24</v>
      </c>
      <c r="C11" s="185">
        <v>5596</v>
      </c>
      <c r="D11" s="185">
        <v>3260</v>
      </c>
      <c r="E11" s="185">
        <v>555</v>
      </c>
      <c r="F11" s="185">
        <v>1735</v>
      </c>
      <c r="G11" s="186">
        <v>46</v>
      </c>
    </row>
    <row r="12" spans="2:9" ht="16.05" thickBot="1" x14ac:dyDescent="0.25"/>
    <row r="13" spans="2:9" ht="15" x14ac:dyDescent="0.2">
      <c r="B13" s="7" t="s">
        <v>33</v>
      </c>
      <c r="C13" s="8"/>
      <c r="D13" s="8"/>
      <c r="E13" s="8">
        <v>2</v>
      </c>
      <c r="F13" s="8">
        <v>4</v>
      </c>
      <c r="G13" s="9">
        <v>5</v>
      </c>
    </row>
    <row r="14" spans="2:9" ht="15" x14ac:dyDescent="0.2">
      <c r="B14" s="64" t="s">
        <v>82</v>
      </c>
      <c r="C14" s="309">
        <v>2.64E-2</v>
      </c>
      <c r="D14" s="59"/>
      <c r="E14" s="81">
        <f>E9/((1+$C$14)^E13)</f>
        <v>55.054738838543969</v>
      </c>
      <c r="F14" s="81">
        <f>F9/((1+$C$14)^F13)</f>
        <v>37.842752461466063</v>
      </c>
      <c r="G14" s="63">
        <f>G9/((1+$C$14)^G13)</f>
        <v>39.502928886120067</v>
      </c>
    </row>
    <row r="15" spans="2:9" ht="16.05" thickBot="1" x14ac:dyDescent="0.25">
      <c r="B15" s="58" t="s">
        <v>103</v>
      </c>
      <c r="C15" s="80">
        <f>SUM(E14:G14)</f>
        <v>132.40042018613011</v>
      </c>
      <c r="D15" s="20"/>
      <c r="E15" s="20"/>
      <c r="F15" s="20"/>
      <c r="G15" s="15"/>
    </row>
    <row r="16" spans="2:9" ht="47.55" customHeight="1" x14ac:dyDescent="0.2"/>
    <row r="17" spans="9:9" s="353" customFormat="1" ht="48" customHeight="1" x14ac:dyDescent="0.2">
      <c r="I17" s="350"/>
    </row>
  </sheetData>
  <mergeCells count="1">
    <mergeCell ref="C5:G5"/>
  </mergeCell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3"/>
  <sheetViews>
    <sheetView showGridLines="0" zoomScale="82" zoomScaleNormal="82" zoomScalePageLayoutView="82" workbookViewId="0">
      <pane xSplit="1" ySplit="1" topLeftCell="B78" activePane="bottomRight" state="frozen"/>
      <selection pane="topRight" activeCell="B1" sqref="B1"/>
      <selection pane="bottomLeft" activeCell="A10" sqref="A10"/>
      <selection pane="bottomRight" activeCell="L12" sqref="L12"/>
    </sheetView>
  </sheetViews>
  <sheetFormatPr defaultColWidth="11.44140625" defaultRowHeight="14.4" x14ac:dyDescent="0.3"/>
  <cols>
    <col min="1" max="1" width="2.77734375" style="142" customWidth="1"/>
    <col min="2" max="2" width="35.44140625" customWidth="1"/>
    <col min="3" max="3" width="12.6640625" customWidth="1"/>
    <col min="4" max="7" width="12.77734375" bestFit="1" customWidth="1"/>
    <col min="11" max="11" width="11.44140625" style="350"/>
  </cols>
  <sheetData>
    <row r="1" spans="2:11" s="142" customFormat="1" x14ac:dyDescent="0.3">
      <c r="K1" s="149"/>
    </row>
    <row r="2" spans="2:11" ht="15" thickBot="1" x14ac:dyDescent="0.35">
      <c r="B2" s="167"/>
      <c r="C2" s="167"/>
      <c r="D2" s="167"/>
      <c r="E2" s="167"/>
      <c r="F2" s="167"/>
      <c r="G2" s="167"/>
      <c r="H2" s="167"/>
      <c r="I2" s="167"/>
    </row>
    <row r="3" spans="2:11" x14ac:dyDescent="0.3">
      <c r="B3" s="7"/>
      <c r="C3" s="8"/>
      <c r="D3" s="8"/>
      <c r="E3" s="8"/>
      <c r="F3" s="8"/>
      <c r="G3" s="8"/>
      <c r="H3" s="8"/>
      <c r="I3" s="9"/>
    </row>
    <row r="4" spans="2:11" x14ac:dyDescent="0.3">
      <c r="B4" s="187"/>
      <c r="C4" s="188"/>
      <c r="D4" s="188"/>
      <c r="E4" s="188"/>
      <c r="F4" s="188"/>
      <c r="G4" s="188"/>
      <c r="H4" s="188"/>
      <c r="I4" s="189"/>
    </row>
    <row r="5" spans="2:11" x14ac:dyDescent="0.3">
      <c r="B5" s="12" t="s">
        <v>31</v>
      </c>
      <c r="C5" s="3"/>
      <c r="D5" s="3"/>
      <c r="E5" s="3"/>
      <c r="F5" s="3"/>
      <c r="G5" s="3"/>
      <c r="H5" s="3"/>
      <c r="I5" s="2"/>
    </row>
    <row r="6" spans="2:11" x14ac:dyDescent="0.3">
      <c r="B6" s="12"/>
      <c r="C6" s="3"/>
      <c r="D6" s="3"/>
      <c r="E6" s="3"/>
      <c r="F6" s="3"/>
      <c r="G6" s="3"/>
      <c r="H6" s="3"/>
      <c r="I6" s="2"/>
    </row>
    <row r="7" spans="2:11" x14ac:dyDescent="0.3">
      <c r="B7" s="38" t="s">
        <v>32</v>
      </c>
      <c r="C7" s="32">
        <v>2011</v>
      </c>
      <c r="D7" s="32">
        <v>2012</v>
      </c>
      <c r="E7" s="32">
        <v>2013</v>
      </c>
      <c r="F7" s="32">
        <v>2014</v>
      </c>
      <c r="G7" s="31">
        <v>2015</v>
      </c>
      <c r="H7" s="33" t="s">
        <v>52</v>
      </c>
      <c r="I7" s="39" t="s">
        <v>53</v>
      </c>
    </row>
    <row r="8" spans="2:11" x14ac:dyDescent="0.3">
      <c r="B8" s="12" t="s">
        <v>33</v>
      </c>
      <c r="C8" s="3"/>
      <c r="D8" s="3">
        <v>1</v>
      </c>
      <c r="E8" s="3">
        <v>2</v>
      </c>
      <c r="F8" s="3">
        <v>3</v>
      </c>
      <c r="G8" s="30">
        <v>4</v>
      </c>
      <c r="H8" s="3"/>
      <c r="I8" s="2"/>
    </row>
    <row r="9" spans="2:11" x14ac:dyDescent="0.3">
      <c r="B9" s="13"/>
      <c r="C9" s="1"/>
      <c r="D9" s="1"/>
      <c r="E9" s="1"/>
      <c r="F9" s="1"/>
      <c r="G9" s="34"/>
      <c r="H9" s="1"/>
      <c r="I9" s="14"/>
    </row>
    <row r="10" spans="2:11" x14ac:dyDescent="0.3">
      <c r="B10" s="12" t="s">
        <v>16</v>
      </c>
      <c r="C10" s="180">
        <f>IS!C5</f>
        <v>9526</v>
      </c>
      <c r="D10" s="180">
        <f>IS!D5</f>
        <v>12478</v>
      </c>
      <c r="E10" s="180">
        <f>IS!E5</f>
        <v>15351</v>
      </c>
      <c r="F10" s="180">
        <f>IS!F5</f>
        <v>15130</v>
      </c>
      <c r="G10" s="180">
        <f>IS!K5</f>
        <v>14572</v>
      </c>
      <c r="H10" s="3"/>
      <c r="I10" s="2"/>
    </row>
    <row r="11" spans="2:11" x14ac:dyDescent="0.3">
      <c r="B11" s="26" t="s">
        <v>34</v>
      </c>
      <c r="C11" s="3"/>
      <c r="D11" s="18">
        <f>(D10-C10)/C10</f>
        <v>0.30988872559311359</v>
      </c>
      <c r="E11" s="18">
        <f t="shared" ref="E11:G11" si="0">(E10-D10)/D10</f>
        <v>0.23024523160762944</v>
      </c>
      <c r="F11" s="18">
        <f t="shared" si="0"/>
        <v>-1.4396456256921373E-2</v>
      </c>
      <c r="G11" s="18">
        <f t="shared" si="0"/>
        <v>-3.6880370125578321E-2</v>
      </c>
      <c r="H11" s="40">
        <f>AVERAGE(D11:G11)</f>
        <v>0.12221428270456086</v>
      </c>
      <c r="I11" s="41">
        <f>MEDIAN(D11:G11)</f>
        <v>0.10792438767535403</v>
      </c>
    </row>
    <row r="12" spans="2:11" x14ac:dyDescent="0.3">
      <c r="B12" s="26" t="s">
        <v>35</v>
      </c>
      <c r="C12" s="3"/>
      <c r="D12" s="18">
        <f>(D10/$C10)^(1/D$8)-1</f>
        <v>0.30988872559311353</v>
      </c>
      <c r="E12" s="18">
        <f t="shared" ref="E12:G12" si="1">(E10/$C10)^(1/E$8)-1</f>
        <v>0.26944253851740863</v>
      </c>
      <c r="F12" s="18">
        <f t="shared" si="1"/>
        <v>0.16674545274783692</v>
      </c>
      <c r="G12" s="18">
        <f t="shared" si="1"/>
        <v>0.11212126839217573</v>
      </c>
      <c r="H12" s="40">
        <f>AVERAGE(D12:G12)</f>
        <v>0.2145494963126337</v>
      </c>
      <c r="I12" s="41">
        <f>MEDIAN(D12:G12)</f>
        <v>0.21809399563262277</v>
      </c>
    </row>
    <row r="13" spans="2:11" x14ac:dyDescent="0.3">
      <c r="B13" s="13"/>
      <c r="C13" s="1"/>
      <c r="D13" s="1"/>
      <c r="E13" s="1"/>
      <c r="F13" s="1"/>
      <c r="G13" s="34"/>
      <c r="H13" s="1"/>
      <c r="I13" s="14"/>
    </row>
    <row r="14" spans="2:11" x14ac:dyDescent="0.3">
      <c r="B14" s="12" t="s">
        <v>36</v>
      </c>
      <c r="C14" s="25">
        <f>IS!C6</f>
        <v>7735</v>
      </c>
      <c r="D14" s="25">
        <f>IS!D6</f>
        <v>8840</v>
      </c>
      <c r="E14" s="25">
        <f>IS!E6</f>
        <v>10988</v>
      </c>
      <c r="F14" s="25">
        <f>IS!F6</f>
        <v>10770</v>
      </c>
      <c r="G14" s="25">
        <f>IS!K6</f>
        <v>10351</v>
      </c>
      <c r="H14" s="3"/>
      <c r="I14" s="2"/>
    </row>
    <row r="15" spans="2:11" x14ac:dyDescent="0.3">
      <c r="B15" s="26" t="s">
        <v>37</v>
      </c>
      <c r="C15" s="40">
        <f>C14/C$10</f>
        <v>0.81198824270417802</v>
      </c>
      <c r="D15" s="40">
        <f t="shared" ref="D15:G15" si="2">D14/D$10</f>
        <v>0.70844686648501365</v>
      </c>
      <c r="E15" s="40">
        <f t="shared" si="2"/>
        <v>0.71578398801381016</v>
      </c>
      <c r="F15" s="40">
        <f t="shared" si="2"/>
        <v>0.71183079973562458</v>
      </c>
      <c r="G15" s="40">
        <f t="shared" si="2"/>
        <v>0.71033488882788909</v>
      </c>
      <c r="H15" s="40">
        <f>AVERAGE(C15:G15)</f>
        <v>0.73167695715330316</v>
      </c>
      <c r="I15" s="41">
        <f>MEDIAN(C15:G15)</f>
        <v>0.71183079973562458</v>
      </c>
    </row>
    <row r="16" spans="2:11" x14ac:dyDescent="0.3">
      <c r="B16" s="26" t="s">
        <v>34</v>
      </c>
      <c r="C16" s="6"/>
      <c r="D16" s="18">
        <f>(D14-C14)/C14</f>
        <v>0.14285714285714285</v>
      </c>
      <c r="E16" s="18">
        <f t="shared" ref="E16" si="3">(E14-D14)/D14</f>
        <v>0.24298642533936651</v>
      </c>
      <c r="F16" s="18">
        <f t="shared" ref="F16" si="4">(F14-E14)/E14</f>
        <v>-1.983982526392428E-2</v>
      </c>
      <c r="G16" s="36">
        <f t="shared" ref="G16" si="5">(G14-F14)/F14</f>
        <v>-3.8904363974001856E-2</v>
      </c>
      <c r="H16" s="40">
        <f>AVERAGE(D16:G16)</f>
        <v>8.1774844739645788E-2</v>
      </c>
      <c r="I16" s="41">
        <f>MEDIAN(D16:G16)</f>
        <v>6.1508658796609286E-2</v>
      </c>
    </row>
    <row r="17" spans="1:11" x14ac:dyDescent="0.3">
      <c r="B17" s="26" t="s">
        <v>35</v>
      </c>
      <c r="C17" s="6"/>
      <c r="D17" s="18">
        <f>(D14/$C14)^(1/D$8)-1</f>
        <v>0.14285714285714279</v>
      </c>
      <c r="E17" s="18">
        <f t="shared" ref="E17:G17" si="6">(E14/$C14)^(1/E$8)-1</f>
        <v>0.19187076257183255</v>
      </c>
      <c r="F17" s="18">
        <f t="shared" si="6"/>
        <v>0.11665357778591612</v>
      </c>
      <c r="G17" s="18">
        <f t="shared" si="6"/>
        <v>7.554973508612628E-2</v>
      </c>
      <c r="H17" s="40">
        <f>AVERAGE(D17:G17)</f>
        <v>0.13173280457525444</v>
      </c>
      <c r="I17" s="41">
        <f>MEDIAN(D17:G17)</f>
        <v>0.12975536032152946</v>
      </c>
    </row>
    <row r="18" spans="1:11" s="4" customFormat="1" x14ac:dyDescent="0.3">
      <c r="A18" s="142"/>
      <c r="B18" s="13"/>
      <c r="C18" s="11"/>
      <c r="D18" s="11"/>
      <c r="E18" s="11"/>
      <c r="F18" s="11"/>
      <c r="G18" s="35"/>
      <c r="H18" s="1"/>
      <c r="I18" s="14"/>
      <c r="K18" s="350"/>
    </row>
    <row r="19" spans="1:11" x14ac:dyDescent="0.3">
      <c r="B19" s="12" t="s">
        <v>38</v>
      </c>
      <c r="C19" s="213">
        <f>IS!C9</f>
        <v>703</v>
      </c>
      <c r="D19" s="213">
        <f>IS!D9</f>
        <v>1055</v>
      </c>
      <c r="E19" s="213">
        <f>IS!E9</f>
        <v>1572</v>
      </c>
      <c r="F19" s="213">
        <f>IS!F9</f>
        <v>1661</v>
      </c>
      <c r="G19" s="216">
        <f>IS!K9</f>
        <v>1646</v>
      </c>
      <c r="H19" s="3"/>
      <c r="I19" s="2"/>
    </row>
    <row r="20" spans="1:11" x14ac:dyDescent="0.3">
      <c r="B20" s="26" t="s">
        <v>37</v>
      </c>
      <c r="C20" s="18">
        <f>C19/C$10</f>
        <v>7.3798026453915602E-2</v>
      </c>
      <c r="D20" s="18">
        <f t="shared" ref="D20:G20" si="7">D19/D$10</f>
        <v>8.4548805898381152E-2</v>
      </c>
      <c r="E20" s="18">
        <f t="shared" si="7"/>
        <v>0.10240375219855384</v>
      </c>
      <c r="F20" s="18">
        <f t="shared" si="7"/>
        <v>0.10978189028420357</v>
      </c>
      <c r="G20" s="18">
        <f t="shared" si="7"/>
        <v>0.11295635465275872</v>
      </c>
      <c r="H20" s="40">
        <f>AVERAGE(C20:G20)</f>
        <v>9.6697765897562571E-2</v>
      </c>
      <c r="I20" s="41">
        <f>MEDIAN(C20:G20)</f>
        <v>0.10240375219855384</v>
      </c>
    </row>
    <row r="21" spans="1:11" x14ac:dyDescent="0.3">
      <c r="B21" s="26" t="s">
        <v>34</v>
      </c>
      <c r="C21" s="6"/>
      <c r="D21" s="18">
        <f>(D20-C20)/C20</f>
        <v>0.14567841392315622</v>
      </c>
      <c r="E21" s="18">
        <f t="shared" ref="E21" si="8">(E20-D20)/D20</f>
        <v>0.21117916581379603</v>
      </c>
      <c r="F21" s="18">
        <f t="shared" ref="F21" si="9">(F20-E20)/E20</f>
        <v>7.2049489664636771E-2</v>
      </c>
      <c r="G21" s="36">
        <f t="shared" ref="G21" si="10">(G20-F20)/F20</f>
        <v>2.8916102285514368E-2</v>
      </c>
      <c r="H21" s="40">
        <f>AVERAGE(D21:G21)</f>
        <v>0.11445579292177585</v>
      </c>
      <c r="I21" s="41">
        <f>MEDIAN(D21:G21)</f>
        <v>0.10886395179389649</v>
      </c>
    </row>
    <row r="22" spans="1:11" x14ac:dyDescent="0.3">
      <c r="B22" s="26" t="s">
        <v>35</v>
      </c>
      <c r="C22" s="6"/>
      <c r="D22" s="18">
        <f>(D19/$C19)^(1/D$8)-1</f>
        <v>0.5007112375533429</v>
      </c>
      <c r="E22" s="18">
        <f t="shared" ref="E22:G22" si="11">(E19/$C19)^(1/E$8)-1</f>
        <v>0.49536980968247968</v>
      </c>
      <c r="F22" s="18">
        <f t="shared" si="11"/>
        <v>0.33189943843915115</v>
      </c>
      <c r="G22" s="18">
        <f t="shared" si="11"/>
        <v>0.23699694331027144</v>
      </c>
      <c r="H22" s="40">
        <f>AVERAGE(D22:G22)</f>
        <v>0.39124435724631129</v>
      </c>
      <c r="I22" s="41">
        <f>MEDIAN(D22:G22)</f>
        <v>0.41363462406081541</v>
      </c>
    </row>
    <row r="23" spans="1:11" x14ac:dyDescent="0.3">
      <c r="B23" s="13"/>
      <c r="C23" s="11"/>
      <c r="D23" s="11"/>
      <c r="E23" s="11"/>
      <c r="F23" s="11"/>
      <c r="G23" s="35"/>
      <c r="H23" s="1"/>
      <c r="I23" s="14"/>
    </row>
    <row r="24" spans="1:11" x14ac:dyDescent="0.3">
      <c r="B24" s="12" t="s">
        <v>63</v>
      </c>
      <c r="C24" s="213">
        <f>IS!C10</f>
        <v>282</v>
      </c>
      <c r="D24" s="213">
        <f>IS!D10</f>
        <v>518</v>
      </c>
      <c r="E24" s="213">
        <f>IS!E10</f>
        <v>706</v>
      </c>
      <c r="F24" s="213">
        <f>IS!F10</f>
        <v>761</v>
      </c>
      <c r="G24" s="213">
        <f>IS!K10</f>
        <v>773</v>
      </c>
      <c r="H24" s="3"/>
      <c r="I24" s="2"/>
    </row>
    <row r="25" spans="1:11" x14ac:dyDescent="0.3">
      <c r="B25" s="26" t="s">
        <v>37</v>
      </c>
      <c r="C25" s="18">
        <f>C24/C$10</f>
        <v>2.9603191266008817E-2</v>
      </c>
      <c r="D25" s="18">
        <f t="shared" ref="D25:G25" si="12">D24/D$10</f>
        <v>4.1513062990863922E-2</v>
      </c>
      <c r="E25" s="18">
        <f t="shared" si="12"/>
        <v>4.5990489218943394E-2</v>
      </c>
      <c r="F25" s="18">
        <f t="shared" si="12"/>
        <v>5.0297422339722404E-2</v>
      </c>
      <c r="G25" s="18">
        <f t="shared" si="12"/>
        <v>5.3046939335712327E-2</v>
      </c>
      <c r="H25" s="40">
        <f>AVERAGE(C25:G25)</f>
        <v>4.4090221030250169E-2</v>
      </c>
      <c r="I25" s="41">
        <f>MEDIAN(C25:G25)</f>
        <v>4.5990489218943394E-2</v>
      </c>
    </row>
    <row r="26" spans="1:11" x14ac:dyDescent="0.3">
      <c r="B26" s="26" t="s">
        <v>34</v>
      </c>
      <c r="C26" s="6"/>
      <c r="D26" s="18">
        <f>(D24-C24)/C24</f>
        <v>0.83687943262411346</v>
      </c>
      <c r="E26" s="18">
        <f t="shared" ref="E26" si="13">(E24-D24)/D24</f>
        <v>0.36293436293436293</v>
      </c>
      <c r="F26" s="18">
        <f t="shared" ref="F26" si="14">(F24-E24)/E24</f>
        <v>7.7903682719546744E-2</v>
      </c>
      <c r="G26" s="36">
        <f t="shared" ref="G26" si="15">(G24-F24)/F24</f>
        <v>1.5768725361366621E-2</v>
      </c>
      <c r="H26" s="40">
        <f>AVERAGE(D26:G26)</f>
        <v>0.32337155090984743</v>
      </c>
      <c r="I26" s="41">
        <f>MEDIAN(D26:G26)</f>
        <v>0.22041902282695486</v>
      </c>
    </row>
    <row r="27" spans="1:11" x14ac:dyDescent="0.3">
      <c r="B27" s="26" t="s">
        <v>35</v>
      </c>
      <c r="C27" s="6"/>
      <c r="D27" s="18">
        <f>(D24/$C24)^(1/D$8)-1</f>
        <v>0.83687943262411357</v>
      </c>
      <c r="E27" s="18">
        <f t="shared" ref="E27:G27" si="16">(E24/$C24)^(1/E$8)-1</f>
        <v>0.58225980777202957</v>
      </c>
      <c r="F27" s="18">
        <f t="shared" si="16"/>
        <v>0.3922327624091575</v>
      </c>
      <c r="G27" s="18">
        <f t="shared" si="16"/>
        <v>0.28671568909061884</v>
      </c>
      <c r="H27" s="40">
        <f>AVERAGE(D27:G27)</f>
        <v>0.52452192297397993</v>
      </c>
      <c r="I27" s="41">
        <f>MEDIAN(D27:G27)</f>
        <v>0.48724628509059353</v>
      </c>
    </row>
    <row r="28" spans="1:11" x14ac:dyDescent="0.3">
      <c r="B28" s="42"/>
      <c r="C28" s="11"/>
      <c r="D28" s="11"/>
      <c r="E28" s="11"/>
      <c r="F28" s="11"/>
      <c r="G28" s="35"/>
      <c r="H28" s="1"/>
      <c r="I28" s="14"/>
    </row>
    <row r="29" spans="1:11" ht="28.8" x14ac:dyDescent="0.3">
      <c r="B29" s="296" t="s">
        <v>11</v>
      </c>
      <c r="C29" s="214">
        <f>IS!C11+IS!C12</f>
        <v>25</v>
      </c>
      <c r="D29" s="214">
        <f>IS!D11+IS!D12</f>
        <v>294</v>
      </c>
      <c r="E29" s="214">
        <f>IS!E11+IS!E12</f>
        <v>819</v>
      </c>
      <c r="F29" s="214">
        <f>IS!F11+IS!F12</f>
        <v>147</v>
      </c>
      <c r="G29" s="214">
        <f>IS!G11+IS!G12</f>
        <v>23</v>
      </c>
      <c r="H29" s="3"/>
      <c r="I29" s="2"/>
    </row>
    <row r="30" spans="1:11" x14ac:dyDescent="0.3">
      <c r="B30" s="26" t="s">
        <v>37</v>
      </c>
      <c r="C30" s="18">
        <f>C29/C$10</f>
        <v>2.6243963888305691E-3</v>
      </c>
      <c r="D30" s="18">
        <f t="shared" ref="D30:G30" si="17">D29/D$10</f>
        <v>2.3561468184003845E-2</v>
      </c>
      <c r="E30" s="18">
        <f t="shared" si="17"/>
        <v>5.33515731874145E-2</v>
      </c>
      <c r="F30" s="18">
        <f t="shared" si="17"/>
        <v>9.7157964309319226E-3</v>
      </c>
      <c r="G30" s="18">
        <f t="shared" si="17"/>
        <v>1.5783694757068351E-3</v>
      </c>
      <c r="H30" s="40">
        <f>AVERAGE(C30:G30)</f>
        <v>1.8166320733377532E-2</v>
      </c>
      <c r="I30" s="41">
        <f>MEDIAN(C30:G30)</f>
        <v>9.7157964309319226E-3</v>
      </c>
    </row>
    <row r="31" spans="1:11" x14ac:dyDescent="0.3">
      <c r="B31" s="26" t="s">
        <v>34</v>
      </c>
      <c r="C31" s="6"/>
      <c r="D31" s="18">
        <f>(D29-C29)/C29</f>
        <v>10.76</v>
      </c>
      <c r="E31" s="18">
        <f t="shared" ref="E31" si="18">(E29-D29)/D29</f>
        <v>1.7857142857142858</v>
      </c>
      <c r="F31" s="18">
        <f t="shared" ref="F31" si="19">(F29-E29)/E29</f>
        <v>-0.82051282051282048</v>
      </c>
      <c r="G31" s="36">
        <f t="shared" ref="G31" si="20">(G29-F29)/F29</f>
        <v>-0.84353741496598644</v>
      </c>
      <c r="H31" s="40">
        <f>AVERAGE(D31:G31)</f>
        <v>2.7204160125588697</v>
      </c>
      <c r="I31" s="41">
        <f>MEDIAN(D31:G31)</f>
        <v>0.48260073260073266</v>
      </c>
    </row>
    <row r="32" spans="1:11" x14ac:dyDescent="0.3">
      <c r="B32" s="26" t="s">
        <v>35</v>
      </c>
      <c r="C32" s="6"/>
      <c r="D32" s="18">
        <f>(D29/$C29)^(1/D$8)-1</f>
        <v>10.76</v>
      </c>
      <c r="E32" s="18">
        <f t="shared" ref="E32:G32" si="21">(E29/$C29)^(1/E$8)-1</f>
        <v>4.7236352085016735</v>
      </c>
      <c r="F32" s="18">
        <f t="shared" si="21"/>
        <v>0.80492478514501697</v>
      </c>
      <c r="G32" s="18">
        <f t="shared" si="21"/>
        <v>-2.0629638664440675E-2</v>
      </c>
      <c r="H32" s="40">
        <f>AVERAGE(D32:G32)</f>
        <v>4.066982588745562</v>
      </c>
      <c r="I32" s="41">
        <f>MEDIAN(D32:G32)</f>
        <v>2.7642799968233449</v>
      </c>
    </row>
    <row r="33" spans="2:9" x14ac:dyDescent="0.3">
      <c r="B33" s="13"/>
      <c r="C33" s="11"/>
      <c r="D33" s="11"/>
      <c r="E33" s="11"/>
      <c r="F33" s="11"/>
      <c r="G33" s="35"/>
      <c r="H33" s="1"/>
      <c r="I33" s="14"/>
    </row>
    <row r="34" spans="2:9" x14ac:dyDescent="0.3">
      <c r="B34" s="12" t="s">
        <v>39</v>
      </c>
      <c r="C34" s="212">
        <f>IS!C14</f>
        <v>1010</v>
      </c>
      <c r="D34" s="212">
        <f>IS!D14</f>
        <v>1867</v>
      </c>
      <c r="E34" s="212">
        <f>IS!E14</f>
        <v>3097</v>
      </c>
      <c r="F34" s="212">
        <f>IS!F14</f>
        <v>2569</v>
      </c>
      <c r="G34" s="217">
        <f>IS!K14</f>
        <v>2610</v>
      </c>
      <c r="H34" s="3"/>
      <c r="I34" s="2"/>
    </row>
    <row r="35" spans="2:9" x14ac:dyDescent="0.3">
      <c r="B35" s="26" t="s">
        <v>37</v>
      </c>
      <c r="C35" s="18">
        <f>C34/C$10</f>
        <v>0.10602561410875498</v>
      </c>
      <c r="D35" s="18">
        <f t="shared" ref="D35:G35" si="22">D34/D$10</f>
        <v>0.14962333707324893</v>
      </c>
      <c r="E35" s="18">
        <f t="shared" si="22"/>
        <v>0.20174581460491173</v>
      </c>
      <c r="F35" s="18">
        <f t="shared" si="22"/>
        <v>0.1697951090548579</v>
      </c>
      <c r="G35" s="18">
        <f t="shared" si="22"/>
        <v>0.17911062311281911</v>
      </c>
      <c r="H35" s="40">
        <f>AVERAGE(C35:G35)</f>
        <v>0.16126009959091853</v>
      </c>
      <c r="I35" s="41">
        <f>MEDIAN(C35:G35)</f>
        <v>0.1697951090548579</v>
      </c>
    </row>
    <row r="36" spans="2:9" x14ac:dyDescent="0.3">
      <c r="B36" s="26" t="s">
        <v>34</v>
      </c>
      <c r="C36" s="6"/>
      <c r="D36" s="18">
        <f>(D34-C34)/C34</f>
        <v>0.84851485148514849</v>
      </c>
      <c r="E36" s="18">
        <f t="shared" ref="E36" si="23">(E34-D34)/D34</f>
        <v>0.65881092662024643</v>
      </c>
      <c r="F36" s="18">
        <f t="shared" ref="F36" si="24">(F34-E34)/E34</f>
        <v>-0.1704875686147885</v>
      </c>
      <c r="G36" s="36">
        <f t="shared" ref="G36" si="25">(G34-F34)/F34</f>
        <v>1.5959517321915143E-2</v>
      </c>
      <c r="H36" s="40">
        <f>AVERAGE(D36:G36)</f>
        <v>0.33819943170313044</v>
      </c>
      <c r="I36" s="41">
        <f>MEDIAN(D36:G36)</f>
        <v>0.33738522197108078</v>
      </c>
    </row>
    <row r="37" spans="2:9" x14ac:dyDescent="0.3">
      <c r="B37" s="26" t="s">
        <v>35</v>
      </c>
      <c r="C37" s="6"/>
      <c r="D37" s="18">
        <f>(D34/$C34)^(1/D$8)-1</f>
        <v>0.8485148514851486</v>
      </c>
      <c r="E37" s="18">
        <f t="shared" ref="E37:G37" si="26">(E34/$C34)^(1/E$8)-1</f>
        <v>0.7510958379435908</v>
      </c>
      <c r="F37" s="18">
        <f t="shared" si="26"/>
        <v>0.36504691192664263</v>
      </c>
      <c r="G37" s="18">
        <f t="shared" si="26"/>
        <v>0.26788476509210035</v>
      </c>
      <c r="H37" s="40">
        <f>AVERAGE(D37:G37)</f>
        <v>0.55813559161187065</v>
      </c>
      <c r="I37" s="41">
        <f>MEDIAN(D37:G37)</f>
        <v>0.55807137493511672</v>
      </c>
    </row>
    <row r="38" spans="2:9" x14ac:dyDescent="0.3">
      <c r="B38" s="13"/>
      <c r="C38" s="11"/>
      <c r="D38" s="11"/>
      <c r="E38" s="11"/>
      <c r="F38" s="11"/>
      <c r="G38" s="35"/>
      <c r="H38" s="1"/>
      <c r="I38" s="14"/>
    </row>
    <row r="39" spans="2:9" x14ac:dyDescent="0.3">
      <c r="B39" s="12" t="s">
        <v>40</v>
      </c>
      <c r="C39" s="212">
        <f>IS!C17</f>
        <v>9</v>
      </c>
      <c r="D39" s="212">
        <f>IS!D17</f>
        <v>12</v>
      </c>
      <c r="E39" s="212">
        <f>IS!E17</f>
        <v>11</v>
      </c>
      <c r="F39" s="212">
        <f>IS!F17</f>
        <v>17</v>
      </c>
      <c r="G39" s="212">
        <f>IS!G17</f>
        <v>4</v>
      </c>
      <c r="H39" s="3"/>
      <c r="I39" s="2"/>
    </row>
    <row r="40" spans="2:9" x14ac:dyDescent="0.3">
      <c r="B40" s="26" t="s">
        <v>37</v>
      </c>
      <c r="C40" s="18">
        <f>C39/C$10</f>
        <v>9.4478269997900479E-4</v>
      </c>
      <c r="D40" s="18">
        <f t="shared" ref="D40:G40" si="27">D39/D$10</f>
        <v>9.6169257893893249E-4</v>
      </c>
      <c r="E40" s="18">
        <f t="shared" si="27"/>
        <v>7.1656569604586023E-4</v>
      </c>
      <c r="F40" s="18">
        <f t="shared" si="27"/>
        <v>1.1235955056179776E-3</v>
      </c>
      <c r="G40" s="18">
        <f t="shared" si="27"/>
        <v>2.7449903925336259E-4</v>
      </c>
      <c r="H40" s="40">
        <f>AVERAGE(C40:G40)</f>
        <v>8.0422710396702761E-4</v>
      </c>
      <c r="I40" s="41">
        <f>MEDIAN(C40:G40)</f>
        <v>9.4478269997900479E-4</v>
      </c>
    </row>
    <row r="41" spans="2:9" x14ac:dyDescent="0.3">
      <c r="B41" s="26" t="s">
        <v>34</v>
      </c>
      <c r="C41" s="6"/>
      <c r="D41" s="18">
        <f>(D39-C39)/C39</f>
        <v>0.33333333333333331</v>
      </c>
      <c r="E41" s="18">
        <f t="shared" ref="E41" si="28">(E39-D39)/D39</f>
        <v>-8.3333333333333329E-2</v>
      </c>
      <c r="F41" s="18">
        <f t="shared" ref="F41" si="29">(F39-E39)/E39</f>
        <v>0.54545454545454541</v>
      </c>
      <c r="G41" s="36">
        <f t="shared" ref="G41" si="30">(G39-F39)/F39</f>
        <v>-0.76470588235294112</v>
      </c>
      <c r="H41" s="40">
        <f>AVERAGE(D41:G41)</f>
        <v>7.6871657754010725E-3</v>
      </c>
      <c r="I41" s="41">
        <f>MEDIAN(D41:G41)</f>
        <v>0.12499999999999999</v>
      </c>
    </row>
    <row r="42" spans="2:9" x14ac:dyDescent="0.3">
      <c r="B42" s="26" t="s">
        <v>35</v>
      </c>
      <c r="C42" s="6"/>
      <c r="D42" s="18">
        <f>(D39/$C39)^(1/D$8)-1</f>
        <v>0.33333333333333326</v>
      </c>
      <c r="E42" s="18">
        <f t="shared" ref="E42:G42" si="31">(E39/$C39)^(1/E$8)-1</f>
        <v>0.10554159678513342</v>
      </c>
      <c r="F42" s="18">
        <f t="shared" si="31"/>
        <v>0.23614325642206313</v>
      </c>
      <c r="G42" s="18">
        <f t="shared" si="31"/>
        <v>-0.18350341907227397</v>
      </c>
      <c r="H42" s="40">
        <f>AVERAGE(D42:G42)</f>
        <v>0.12287869186706396</v>
      </c>
      <c r="I42" s="41">
        <f>MEDIAN(D42:G42)</f>
        <v>0.17084242660359827</v>
      </c>
    </row>
    <row r="43" spans="2:9" x14ac:dyDescent="0.3">
      <c r="B43" s="13"/>
      <c r="C43" s="11"/>
      <c r="D43" s="11"/>
      <c r="E43" s="11"/>
      <c r="F43" s="11"/>
      <c r="G43" s="35"/>
      <c r="H43" s="1"/>
      <c r="I43" s="14"/>
    </row>
    <row r="44" spans="2:9" ht="28.8" x14ac:dyDescent="0.3">
      <c r="B44" s="44" t="s">
        <v>41</v>
      </c>
      <c r="C44" s="213">
        <f>IS!C18</f>
        <v>-10</v>
      </c>
      <c r="D44" s="213">
        <f>IS!D18</f>
        <v>-26</v>
      </c>
      <c r="E44" s="213">
        <f>IS!E18</f>
        <v>-55</v>
      </c>
      <c r="F44" s="213">
        <f>IS!F18</f>
        <v>-56</v>
      </c>
      <c r="G44" s="213">
        <f>IS!K18</f>
        <v>-49</v>
      </c>
      <c r="H44" s="3"/>
      <c r="I44" s="2"/>
    </row>
    <row r="45" spans="2:9" x14ac:dyDescent="0.3">
      <c r="B45" s="26" t="s">
        <v>37</v>
      </c>
      <c r="C45" s="18">
        <f>C44/C$10</f>
        <v>-1.0497585555322277E-3</v>
      </c>
      <c r="D45" s="18">
        <f t="shared" ref="D45:F45" si="32">D44/D$10</f>
        <v>-2.0836672543676871E-3</v>
      </c>
      <c r="E45" s="18">
        <f t="shared" si="32"/>
        <v>-3.5828284802293009E-3</v>
      </c>
      <c r="F45" s="18">
        <f t="shared" si="32"/>
        <v>-3.7012557832121614E-3</v>
      </c>
      <c r="G45" s="18">
        <f>G44/G$10</f>
        <v>-3.362613230853692E-3</v>
      </c>
      <c r="H45" s="40">
        <f>AVERAGE(C45:G45)</f>
        <v>-2.7560246608390139E-3</v>
      </c>
      <c r="I45" s="41">
        <f>MEDIAN(C45:G45)</f>
        <v>-3.362613230853692E-3</v>
      </c>
    </row>
    <row r="46" spans="2:9" x14ac:dyDescent="0.3">
      <c r="B46" s="26" t="s">
        <v>34</v>
      </c>
      <c r="C46" s="6"/>
      <c r="D46" s="18">
        <f>(D44-C44)/C44</f>
        <v>1.6</v>
      </c>
      <c r="E46" s="18">
        <f t="shared" ref="E46" si="33">(E44-D44)/D44</f>
        <v>1.1153846153846154</v>
      </c>
      <c r="F46" s="18">
        <f t="shared" ref="F46" si="34">(F44-E44)/E44</f>
        <v>1.8181818181818181E-2</v>
      </c>
      <c r="G46" s="36">
        <f t="shared" ref="G46" si="35">(G44-F44)/F44</f>
        <v>-0.125</v>
      </c>
      <c r="H46" s="40">
        <f>AVERAGE(D46:G46)</f>
        <v>0.6521416083916084</v>
      </c>
      <c r="I46" s="41">
        <f>MEDIAN(D46:G46)</f>
        <v>0.56678321678321686</v>
      </c>
    </row>
    <row r="47" spans="2:9" x14ac:dyDescent="0.3">
      <c r="B47" s="26" t="s">
        <v>35</v>
      </c>
      <c r="C47" s="6"/>
      <c r="D47" s="18">
        <f>(D44/$C44)^(1/D$8)-1</f>
        <v>1.6</v>
      </c>
      <c r="E47" s="18">
        <f t="shared" ref="E47:G47" si="36">(E44/$C44)^(1/E$8)-1</f>
        <v>1.3452078799117149</v>
      </c>
      <c r="F47" s="18">
        <f t="shared" si="36"/>
        <v>0.77580800348520129</v>
      </c>
      <c r="G47" s="18">
        <f t="shared" si="36"/>
        <v>0.4878152983881654</v>
      </c>
      <c r="H47" s="37">
        <f>AVERAGE(D47:G47)</f>
        <v>1.0522077954462703</v>
      </c>
      <c r="I47" s="41">
        <f>MEDIAN(D47:G47)</f>
        <v>1.0605079416984582</v>
      </c>
    </row>
    <row r="48" spans="2:9" x14ac:dyDescent="0.3">
      <c r="B48" s="13"/>
      <c r="C48" s="11"/>
      <c r="D48" s="11"/>
      <c r="E48" s="11"/>
      <c r="F48" s="11"/>
      <c r="G48" s="35"/>
      <c r="H48" s="1"/>
      <c r="I48" s="14"/>
    </row>
    <row r="49" spans="2:9" x14ac:dyDescent="0.3">
      <c r="B49" s="201" t="s">
        <v>42</v>
      </c>
      <c r="C49" s="214">
        <f>IS!C19</f>
        <v>-1</v>
      </c>
      <c r="D49" s="214">
        <f>IS!D19</f>
        <v>-14</v>
      </c>
      <c r="E49" s="214">
        <f>IS!E19</f>
        <v>-44</v>
      </c>
      <c r="F49" s="214">
        <f>IS!F19</f>
        <v>-39</v>
      </c>
      <c r="G49" s="214">
        <f>IS!K19</f>
        <v>-34</v>
      </c>
      <c r="H49" s="143"/>
      <c r="I49" s="85"/>
    </row>
    <row r="50" spans="2:9" x14ac:dyDescent="0.3">
      <c r="B50" s="203" t="s">
        <v>37</v>
      </c>
      <c r="C50" s="37">
        <f>C49/C$10</f>
        <v>-1.0497585555322275E-4</v>
      </c>
      <c r="D50" s="37">
        <f t="shared" ref="D50:G50" si="37">D49/D$10</f>
        <v>-1.1219746754287546E-3</v>
      </c>
      <c r="E50" s="37">
        <f t="shared" si="37"/>
        <v>-2.8662627841834409E-3</v>
      </c>
      <c r="F50" s="37">
        <f t="shared" si="37"/>
        <v>-2.5776602775941836E-3</v>
      </c>
      <c r="G50" s="37">
        <f t="shared" si="37"/>
        <v>-2.3332418336535822E-3</v>
      </c>
      <c r="H50" s="205">
        <f>AVERAGE(C50:G50)</f>
        <v>-1.8008230852826369E-3</v>
      </c>
      <c r="I50" s="206">
        <f>MEDIAN(C50:G50)</f>
        <v>-2.3332418336535822E-3</v>
      </c>
    </row>
    <row r="51" spans="2:9" x14ac:dyDescent="0.3">
      <c r="B51" s="203" t="s">
        <v>34</v>
      </c>
      <c r="C51" s="202"/>
      <c r="D51" s="37">
        <f>(D49-C49)/C49</f>
        <v>13</v>
      </c>
      <c r="E51" s="37">
        <f t="shared" ref="E51" si="38">(E49-D49)/D49</f>
        <v>2.1428571428571428</v>
      </c>
      <c r="F51" s="37">
        <f t="shared" ref="F51" si="39">(F49-E49)/E49</f>
        <v>-0.11363636363636363</v>
      </c>
      <c r="G51" s="204">
        <f t="shared" ref="G51" si="40">(G49-F49)/F49</f>
        <v>-0.12820512820512819</v>
      </c>
      <c r="H51" s="205">
        <f>AVERAGE(D51:G51)</f>
        <v>3.7252539127539128</v>
      </c>
      <c r="I51" s="206">
        <f>MEDIAN(D51:G51)</f>
        <v>1.0146103896103897</v>
      </c>
    </row>
    <row r="52" spans="2:9" x14ac:dyDescent="0.3">
      <c r="B52" s="203" t="s">
        <v>35</v>
      </c>
      <c r="C52" s="202"/>
      <c r="D52" s="37">
        <f>(D49/$C49)^(1/D$8)-1</f>
        <v>13</v>
      </c>
      <c r="E52" s="37">
        <f>(E49/$C49)^(1/E$8)-1</f>
        <v>5.6332495807107996</v>
      </c>
      <c r="F52" s="37">
        <f>(F49/$C49)^(1/F$8)-1</f>
        <v>2.391211443014166</v>
      </c>
      <c r="G52" s="37">
        <f>(G49/$C49)^(1/G$8)-1</f>
        <v>1.414736402766418</v>
      </c>
      <c r="H52" s="205">
        <f>AVERAGE(D52:G52)</f>
        <v>5.6097993566228466</v>
      </c>
      <c r="I52" s="206">
        <f>MEDIAN(D52:G52)</f>
        <v>4.0122305118624828</v>
      </c>
    </row>
    <row r="53" spans="2:9" x14ac:dyDescent="0.3">
      <c r="B53" s="207"/>
      <c r="C53" s="208"/>
      <c r="D53" s="208"/>
      <c r="E53" s="208"/>
      <c r="F53" s="208"/>
      <c r="G53" s="209"/>
      <c r="H53" s="210"/>
      <c r="I53" s="211"/>
    </row>
    <row r="54" spans="2:9" x14ac:dyDescent="0.3">
      <c r="B54" s="12" t="s">
        <v>43</v>
      </c>
      <c r="C54" s="212">
        <f>IS!C21</f>
        <v>54</v>
      </c>
      <c r="D54" s="212">
        <f>IS!D21</f>
        <v>145</v>
      </c>
      <c r="E54" s="212">
        <f>IS!E21</f>
        <v>242</v>
      </c>
      <c r="F54" s="212">
        <f>IS!F21</f>
        <v>135</v>
      </c>
      <c r="G54" s="217">
        <f>IS!K21</f>
        <v>112</v>
      </c>
      <c r="H54" s="3"/>
      <c r="I54" s="2"/>
    </row>
    <row r="55" spans="2:9" x14ac:dyDescent="0.3">
      <c r="B55" s="12" t="s">
        <v>44</v>
      </c>
      <c r="C55" s="212">
        <f>IS!C20</f>
        <v>780</v>
      </c>
      <c r="D55" s="212">
        <f>IS!D20</f>
        <v>1757</v>
      </c>
      <c r="E55" s="212">
        <f>IS!E20</f>
        <v>1222</v>
      </c>
      <c r="F55" s="212">
        <f>IS!F20</f>
        <v>1752</v>
      </c>
      <c r="G55" s="217">
        <f>IS!K20</f>
        <v>1577</v>
      </c>
      <c r="H55" s="3"/>
      <c r="I55" s="2"/>
    </row>
    <row r="56" spans="2:9" x14ac:dyDescent="0.3">
      <c r="B56" s="26" t="s">
        <v>45</v>
      </c>
      <c r="C56" s="18">
        <f>C54/C55</f>
        <v>6.9230769230769235E-2</v>
      </c>
      <c r="D56" s="18">
        <f>D54/D55</f>
        <v>8.2527034718269776E-2</v>
      </c>
      <c r="E56" s="18">
        <f t="shared" ref="E56:G56" si="41">E54/E55</f>
        <v>0.19803600654664485</v>
      </c>
      <c r="F56" s="18">
        <f t="shared" si="41"/>
        <v>7.7054794520547948E-2</v>
      </c>
      <c r="G56" s="36">
        <f t="shared" si="41"/>
        <v>7.1020925808497143E-2</v>
      </c>
      <c r="H56" s="40">
        <f>AVERAGE(C56:G56)</f>
        <v>9.9573906164945797E-2</v>
      </c>
      <c r="I56" s="41">
        <f>MEDIAN(C56:G56)</f>
        <v>7.7054794520547948E-2</v>
      </c>
    </row>
    <row r="57" spans="2:9" x14ac:dyDescent="0.3">
      <c r="B57" s="26" t="s">
        <v>37</v>
      </c>
      <c r="C57" s="18">
        <f>C54/C$10</f>
        <v>5.6686961998740288E-3</v>
      </c>
      <c r="D57" s="18">
        <f>D54/D$10</f>
        <v>1.1620451995512102E-2</v>
      </c>
      <c r="E57" s="18">
        <f t="shared" ref="E57:G57" si="42">E54/E$10</f>
        <v>1.5764445313008923E-2</v>
      </c>
      <c r="F57" s="18">
        <f t="shared" si="42"/>
        <v>8.9226701916721753E-3</v>
      </c>
      <c r="G57" s="18">
        <f t="shared" si="42"/>
        <v>7.6859730990941535E-3</v>
      </c>
      <c r="H57" s="40">
        <f>AVERAGE(C57:G57)</f>
        <v>9.9324473598322756E-3</v>
      </c>
      <c r="I57" s="41">
        <f>MEDIAN(C57:G57)</f>
        <v>8.9226701916721753E-3</v>
      </c>
    </row>
    <row r="58" spans="2:9" x14ac:dyDescent="0.3">
      <c r="B58" s="26" t="s">
        <v>34</v>
      </c>
      <c r="C58" s="6"/>
      <c r="D58" s="18">
        <f>(D54-C54)/C54</f>
        <v>1.6851851851851851</v>
      </c>
      <c r="E58" s="18">
        <f t="shared" ref="E58" si="43">(E54-D54)/D54</f>
        <v>0.66896551724137931</v>
      </c>
      <c r="F58" s="18">
        <f t="shared" ref="F58" si="44">(F54-E54)/E54</f>
        <v>-0.44214876033057854</v>
      </c>
      <c r="G58" s="36">
        <f t="shared" ref="G58" si="45">(G54-F54)/F54</f>
        <v>-0.17037037037037037</v>
      </c>
      <c r="H58" s="40">
        <f>AVERAGE(D58:G58)</f>
        <v>0.43540789293140397</v>
      </c>
      <c r="I58" s="41">
        <f>MEDIAN(D58:G58)</f>
        <v>0.24929757343550449</v>
      </c>
    </row>
    <row r="59" spans="2:9" x14ac:dyDescent="0.3">
      <c r="B59" s="26" t="s">
        <v>35</v>
      </c>
      <c r="C59" s="6"/>
      <c r="D59" s="18">
        <f>(D54/$C54)^(1/D$8)-1</f>
        <v>1.6851851851851851</v>
      </c>
      <c r="E59" s="18">
        <f>(E54/$C54)^(1/E$8)-1</f>
        <v>1.1169509870286278</v>
      </c>
      <c r="F59" s="18">
        <f>(F54/$C54)^(1/F$8)-1</f>
        <v>0.35720880829745338</v>
      </c>
      <c r="G59" s="18">
        <f>(G54/$C54)^(1/G$8)-1</f>
        <v>0.20006858122616933</v>
      </c>
      <c r="H59" s="40">
        <f>AVERAGE(D59:G59)</f>
        <v>0.83985339043435892</v>
      </c>
      <c r="I59" s="41">
        <f>MEDIAN(D59:G59)</f>
        <v>0.73707989766304061</v>
      </c>
    </row>
    <row r="60" spans="2:9" x14ac:dyDescent="0.3">
      <c r="B60" s="13"/>
      <c r="C60" s="11"/>
      <c r="D60" s="11"/>
      <c r="E60" s="11"/>
      <c r="F60" s="11"/>
      <c r="G60" s="35"/>
      <c r="H60" s="1"/>
      <c r="I60" s="14"/>
    </row>
    <row r="61" spans="2:9" x14ac:dyDescent="0.3">
      <c r="B61" s="43" t="s">
        <v>46</v>
      </c>
      <c r="C61" s="212">
        <f>CF!C11</f>
        <v>602</v>
      </c>
      <c r="D61" s="212">
        <f>CF!D11</f>
        <v>825</v>
      </c>
      <c r="E61" s="212">
        <f>CF!E11</f>
        <v>1233</v>
      </c>
      <c r="F61" s="212">
        <f>CF!F11</f>
        <v>1244</v>
      </c>
      <c r="G61" s="217">
        <f>CF!K11</f>
        <v>1114</v>
      </c>
      <c r="H61" s="3"/>
      <c r="I61" s="2"/>
    </row>
    <row r="62" spans="2:9" x14ac:dyDescent="0.3">
      <c r="B62" s="26" t="s">
        <v>37</v>
      </c>
      <c r="C62" s="18">
        <f>C61/C$10</f>
        <v>6.3195465043040105E-2</v>
      </c>
      <c r="D62" s="18">
        <f>D61/D$10</f>
        <v>6.6116364802051616E-2</v>
      </c>
      <c r="E62" s="18">
        <f t="shared" ref="E62:F62" si="46">E61/E$10</f>
        <v>8.0320500293140515E-2</v>
      </c>
      <c r="F62" s="18">
        <f t="shared" si="46"/>
        <v>8.2220753469927299E-2</v>
      </c>
      <c r="G62" s="18">
        <f>G61/G$10</f>
        <v>7.6447982432061481E-2</v>
      </c>
      <c r="H62" s="40">
        <f>AVERAGE(C62:G62)</f>
        <v>7.3660213208044195E-2</v>
      </c>
      <c r="I62" s="41">
        <f>MEDIAN(C62:G62)</f>
        <v>7.6447982432061481E-2</v>
      </c>
    </row>
    <row r="63" spans="2:9" x14ac:dyDescent="0.3">
      <c r="B63" s="26" t="s">
        <v>34</v>
      </c>
      <c r="C63" s="6"/>
      <c r="D63" s="18">
        <f>(D61-C61)/C61</f>
        <v>0.37043189368770763</v>
      </c>
      <c r="E63" s="18">
        <f t="shared" ref="E63" si="47">(E61-D61)/D61</f>
        <v>0.49454545454545457</v>
      </c>
      <c r="F63" s="18">
        <f t="shared" ref="F63" si="48">(F61-E61)/E61</f>
        <v>8.9213300892133016E-3</v>
      </c>
      <c r="G63" s="36">
        <f t="shared" ref="G63" si="49">(G61-F61)/F61</f>
        <v>-0.1045016077170418</v>
      </c>
      <c r="H63" s="40">
        <f>AVERAGE(D63:G63)</f>
        <v>0.19234926765133342</v>
      </c>
      <c r="I63" s="41">
        <f>MEDIAN(D63:G63)</f>
        <v>0.18967661188846047</v>
      </c>
    </row>
    <row r="64" spans="2:9" x14ac:dyDescent="0.3">
      <c r="B64" s="26" t="s">
        <v>35</v>
      </c>
      <c r="C64" s="6"/>
      <c r="D64" s="18">
        <f>(D61/$C61)^(1/D$8)-1</f>
        <v>0.37043189368770757</v>
      </c>
      <c r="E64" s="18">
        <f>(E61/$C61)^(1/E$8)-1</f>
        <v>0.43114386330483323</v>
      </c>
      <c r="F64" s="18">
        <f>(F61/$C61)^(1/F$8)-1</f>
        <v>0.27372194015953388</v>
      </c>
      <c r="G64" s="18">
        <f>(G61/$C61)^(1/G$8)-1</f>
        <v>0.16633195598447514</v>
      </c>
      <c r="H64" s="40">
        <f>AVERAGE(D64:G64)</f>
        <v>0.31040741328413746</v>
      </c>
      <c r="I64" s="41">
        <f>MEDIAN(D64:G64)</f>
        <v>0.32207691692362073</v>
      </c>
    </row>
    <row r="65" spans="1:11" x14ac:dyDescent="0.3">
      <c r="B65" s="13"/>
      <c r="C65" s="11"/>
      <c r="D65" s="11"/>
      <c r="E65" s="11"/>
      <c r="F65" s="11"/>
      <c r="G65" s="35"/>
      <c r="H65" s="1"/>
      <c r="I65" s="14"/>
    </row>
    <row r="66" spans="1:11" x14ac:dyDescent="0.3">
      <c r="B66" s="12" t="s">
        <v>47</v>
      </c>
      <c r="C66" s="212">
        <f>CF!C28</f>
        <v>-778</v>
      </c>
      <c r="D66" s="212">
        <f>CF!D28</f>
        <v>-717</v>
      </c>
      <c r="E66" s="212">
        <f>CF!E28</f>
        <v>-952</v>
      </c>
      <c r="F66" s="212">
        <f>CF!F28</f>
        <v>-628</v>
      </c>
      <c r="G66" s="212">
        <f>CF!K28</f>
        <v>-612</v>
      </c>
      <c r="H66" s="3"/>
      <c r="I66" s="2"/>
    </row>
    <row r="67" spans="1:11" s="4" customFormat="1" x14ac:dyDescent="0.3">
      <c r="A67" s="142"/>
      <c r="B67" s="26" t="s">
        <v>37</v>
      </c>
      <c r="C67" s="18">
        <f>C66/C$10</f>
        <v>-8.16712156204073E-2</v>
      </c>
      <c r="D67" s="18">
        <f>D66/D$10</f>
        <v>-5.7461131591601218E-2</v>
      </c>
      <c r="E67" s="18">
        <f t="shared" ref="E67:G67" si="50">E66/E$10</f>
        <v>-6.2015503875968991E-2</v>
      </c>
      <c r="F67" s="18">
        <f t="shared" si="50"/>
        <v>-4.1506939854593521E-2</v>
      </c>
      <c r="G67" s="18">
        <f t="shared" si="50"/>
        <v>-4.1998353005764481E-2</v>
      </c>
      <c r="H67" s="40">
        <f>AVERAGE(C67:G67)</f>
        <v>-5.6930628789667106E-2</v>
      </c>
      <c r="I67" s="41">
        <f>MEDIAN(C67:G67)</f>
        <v>-5.7461131591601218E-2</v>
      </c>
      <c r="K67" s="350"/>
    </row>
    <row r="68" spans="1:11" x14ac:dyDescent="0.3">
      <c r="B68" s="26" t="s">
        <v>34</v>
      </c>
      <c r="C68" s="6"/>
      <c r="D68" s="18">
        <f>(D67-C67)/C67</f>
        <v>-0.29643349673317065</v>
      </c>
      <c r="E68" s="18">
        <f t="shared" ref="E68" si="51">(E67-D67)/D67</f>
        <v>7.9260052112051713E-2</v>
      </c>
      <c r="F68" s="18">
        <f t="shared" ref="F68" si="52">(F67-E67)/E67</f>
        <v>-0.33070059484467945</v>
      </c>
      <c r="G68" s="36">
        <f t="shared" ref="G68" si="53">(G67-F67)/F67</f>
        <v>1.1839300919134771E-2</v>
      </c>
      <c r="H68" s="40">
        <f>AVERAGE(D68:G68)</f>
        <v>-0.1340086846366659</v>
      </c>
      <c r="I68" s="41">
        <f>MEDIAN(D68:G68)</f>
        <v>-0.14229709790701794</v>
      </c>
    </row>
    <row r="69" spans="1:11" x14ac:dyDescent="0.3">
      <c r="B69" s="26" t="s">
        <v>35</v>
      </c>
      <c r="C69" s="6"/>
      <c r="D69" s="18">
        <f>(D66/$C66)^(1/D$8)-1</f>
        <v>-7.8406169665809822E-2</v>
      </c>
      <c r="E69" s="18">
        <f>(E66/$C66)^(1/E$8)-1</f>
        <v>0.10618731940124548</v>
      </c>
      <c r="F69" s="18">
        <f>(F66/$C66)^(1/F$8)-1</f>
        <v>-6.8906384048887159E-2</v>
      </c>
      <c r="G69" s="18">
        <f>(G66/$C66)^(1/G$8)-1</f>
        <v>-5.8234110666107397E-2</v>
      </c>
      <c r="H69" s="40">
        <f>AVERAGE(D69:G69)</f>
        <v>-2.4839836244889724E-2</v>
      </c>
      <c r="I69" s="41">
        <f>MEDIAN(D69:G69)</f>
        <v>-6.3570247357497278E-2</v>
      </c>
    </row>
    <row r="70" spans="1:11" x14ac:dyDescent="0.3">
      <c r="B70" s="13"/>
      <c r="C70" s="11"/>
      <c r="D70" s="11"/>
      <c r="E70" s="11"/>
      <c r="F70" s="11"/>
      <c r="G70" s="35"/>
      <c r="H70" s="1"/>
      <c r="I70" s="14"/>
    </row>
    <row r="71" spans="1:11" s="4" customFormat="1" x14ac:dyDescent="0.3">
      <c r="A71" s="142"/>
      <c r="B71" s="12" t="s">
        <v>48</v>
      </c>
      <c r="C71" s="212">
        <f>BS!C15</f>
        <v>8118</v>
      </c>
      <c r="D71" s="212">
        <f>BS!D15</f>
        <v>14206</v>
      </c>
      <c r="E71" s="212">
        <f>BS!E15</f>
        <v>14036</v>
      </c>
      <c r="F71" s="212">
        <f>BS!F15</f>
        <v>15499</v>
      </c>
      <c r="G71" s="212">
        <f>BS!K15</f>
        <v>15181</v>
      </c>
      <c r="H71" s="3"/>
      <c r="I71" s="2"/>
      <c r="K71" s="350"/>
    </row>
    <row r="72" spans="1:11" s="4" customFormat="1" x14ac:dyDescent="0.3">
      <c r="A72" s="142"/>
      <c r="B72" s="26" t="s">
        <v>37</v>
      </c>
      <c r="C72" s="18">
        <f>C71/C$10</f>
        <v>0.85219399538106233</v>
      </c>
      <c r="D72" s="18">
        <f>D71/D$10</f>
        <v>1.1384837313672063</v>
      </c>
      <c r="E72" s="18">
        <f t="shared" ref="E72:G72" si="54">E71/E$10</f>
        <v>0.91433782815451758</v>
      </c>
      <c r="F72" s="18">
        <f t="shared" si="54"/>
        <v>1.0243886318572373</v>
      </c>
      <c r="G72" s="18">
        <f t="shared" si="54"/>
        <v>1.0417924787263244</v>
      </c>
      <c r="H72" s="40">
        <f>AVERAGE(C72:G72)</f>
        <v>0.99423933309726953</v>
      </c>
      <c r="I72" s="41">
        <f>MEDIAN(C72:G72)</f>
        <v>1.0243886318572373</v>
      </c>
      <c r="K72" s="350"/>
    </row>
    <row r="73" spans="1:11" s="4" customFormat="1" x14ac:dyDescent="0.3">
      <c r="A73" s="142"/>
      <c r="B73" s="26" t="s">
        <v>34</v>
      </c>
      <c r="C73" s="6"/>
      <c r="D73" s="18">
        <f>(D71-C71)/C71</f>
        <v>0.74993840847499382</v>
      </c>
      <c r="E73" s="18">
        <f t="shared" ref="E73" si="55">(E71-D71)/D71</f>
        <v>-1.1966774602280726E-2</v>
      </c>
      <c r="F73" s="18">
        <f t="shared" ref="F73" si="56">(F71-E71)/E71</f>
        <v>0.1042319749216301</v>
      </c>
      <c r="G73" s="36">
        <f t="shared" ref="G73" si="57">(G71-F71)/F71</f>
        <v>-2.0517452738886381E-2</v>
      </c>
      <c r="H73" s="40">
        <f>AVERAGE(D73:G73)</f>
        <v>0.2054215390138642</v>
      </c>
      <c r="I73" s="41">
        <f>MEDIAN(D73:G73)</f>
        <v>4.6132600159674686E-2</v>
      </c>
      <c r="K73" s="350"/>
    </row>
    <row r="74" spans="1:11" s="4" customFormat="1" x14ac:dyDescent="0.3">
      <c r="A74" s="142"/>
      <c r="B74" s="26" t="s">
        <v>35</v>
      </c>
      <c r="C74" s="6"/>
      <c r="D74" s="18">
        <f>(D71/$C71)^(1/D$8)-1</f>
        <v>0.74993840847499382</v>
      </c>
      <c r="E74" s="18">
        <f>(E71/$C71)^(1/E$8)-1</f>
        <v>0.31491341539011608</v>
      </c>
      <c r="F74" s="18">
        <f>(F71/$C71)^(1/F$8)-1</f>
        <v>0.24056124700200221</v>
      </c>
      <c r="G74" s="18">
        <f>(G71/$C71)^(1/G$8)-1</f>
        <v>0.16939931019924992</v>
      </c>
      <c r="H74" s="40">
        <f>AVERAGE(D74:G74)</f>
        <v>0.36870309526659051</v>
      </c>
      <c r="I74" s="41">
        <f>MEDIAN(D74:G74)</f>
        <v>0.27773733119605915</v>
      </c>
      <c r="K74" s="350"/>
    </row>
    <row r="75" spans="1:11" s="4" customFormat="1" x14ac:dyDescent="0.3">
      <c r="A75" s="142"/>
      <c r="B75" s="13"/>
      <c r="C75" s="11"/>
      <c r="D75" s="11"/>
      <c r="E75" s="11"/>
      <c r="F75" s="11"/>
      <c r="G75" s="35"/>
      <c r="H75" s="1"/>
      <c r="I75" s="14"/>
      <c r="K75" s="350"/>
    </row>
    <row r="76" spans="1:11" x14ac:dyDescent="0.3">
      <c r="B76" s="12" t="s">
        <v>49</v>
      </c>
      <c r="C76" s="212">
        <f>BS!C5</f>
        <v>3490</v>
      </c>
      <c r="D76" s="212">
        <f>BS!D5</f>
        <v>3208</v>
      </c>
      <c r="E76" s="212">
        <f>BS!E5</f>
        <v>4309</v>
      </c>
      <c r="F76" s="212">
        <f>BS!F5</f>
        <v>4804</v>
      </c>
      <c r="G76" s="212">
        <f>BS!K5</f>
        <v>5024</v>
      </c>
      <c r="H76" s="3"/>
      <c r="I76" s="2"/>
    </row>
    <row r="77" spans="1:11" x14ac:dyDescent="0.3">
      <c r="B77" s="26" t="s">
        <v>68</v>
      </c>
      <c r="C77" s="18">
        <f>C76/C71</f>
        <v>0.42990884454299089</v>
      </c>
      <c r="D77" s="18">
        <f t="shared" ref="D77:G77" si="58">D76/D71</f>
        <v>0.22582007602421511</v>
      </c>
      <c r="E77" s="18">
        <f t="shared" si="58"/>
        <v>0.30699629524080935</v>
      </c>
      <c r="F77" s="18">
        <f t="shared" si="58"/>
        <v>0.30995548099877412</v>
      </c>
      <c r="G77" s="36">
        <f t="shared" si="58"/>
        <v>0.33093999077794611</v>
      </c>
      <c r="H77" s="40">
        <f>AVERAGE(C77:G77)</f>
        <v>0.32072413751694712</v>
      </c>
      <c r="I77" s="41">
        <f>MEDIAN(C77:G77)</f>
        <v>0.30995548099877412</v>
      </c>
    </row>
    <row r="78" spans="1:11" x14ac:dyDescent="0.3">
      <c r="B78" s="26" t="s">
        <v>37</v>
      </c>
      <c r="C78" s="18">
        <f>C76/C$10</f>
        <v>0.36636573588074745</v>
      </c>
      <c r="D78" s="18">
        <f>D76/D$10</f>
        <v>0.25709248276967461</v>
      </c>
      <c r="E78" s="18">
        <f t="shared" ref="E78:G78" si="59">E76/E$10</f>
        <v>0.28069832584196469</v>
      </c>
      <c r="F78" s="18">
        <f t="shared" si="59"/>
        <v>0.31751487111698612</v>
      </c>
      <c r="G78" s="18">
        <f t="shared" si="59"/>
        <v>0.34477079330222343</v>
      </c>
      <c r="H78" s="40">
        <f>AVERAGE(C78:G78)</f>
        <v>0.31328844178231929</v>
      </c>
      <c r="I78" s="41">
        <f>MEDIAN(C78:G78)</f>
        <v>0.31751487111698612</v>
      </c>
    </row>
    <row r="79" spans="1:11" x14ac:dyDescent="0.3">
      <c r="B79" s="26" t="s">
        <v>34</v>
      </c>
      <c r="C79" s="6"/>
      <c r="D79" s="18">
        <f>(D76-C76)/C76</f>
        <v>-8.0802292263610312E-2</v>
      </c>
      <c r="E79" s="18">
        <f t="shared" ref="E79" si="60">(E76-D76)/D76</f>
        <v>0.34320448877805487</v>
      </c>
      <c r="F79" s="18">
        <f t="shared" ref="F79" si="61">(F76-E76)/E76</f>
        <v>0.1148758412624739</v>
      </c>
      <c r="G79" s="36">
        <f t="shared" ref="G79" si="62">(G76-F76)/F76</f>
        <v>4.5795170691090757E-2</v>
      </c>
      <c r="H79" s="40">
        <f>AVERAGE(D79:G79)</f>
        <v>0.10576830211700231</v>
      </c>
      <c r="I79" s="41">
        <f>MEDIAN(D79:G79)</f>
        <v>8.0335505976782323E-2</v>
      </c>
    </row>
    <row r="80" spans="1:11" x14ac:dyDescent="0.3">
      <c r="B80" s="26" t="s">
        <v>35</v>
      </c>
      <c r="C80" s="6"/>
      <c r="D80" s="18">
        <f>(D76/$C76)^(1/D$8)-1</f>
        <v>-8.0802292263610354E-2</v>
      </c>
      <c r="E80" s="18">
        <f>(E76/$C76)^(1/E$8)-1</f>
        <v>0.11115727379431628</v>
      </c>
      <c r="F80" s="18">
        <f>(F76/$C76)^(1/F$8)-1</f>
        <v>0.11239541613178239</v>
      </c>
      <c r="G80" s="18">
        <f>(G76/$C76)^(1/G$8)-1</f>
        <v>9.5357915398496473E-2</v>
      </c>
      <c r="H80" s="40">
        <f>AVERAGE(D80:G80)</f>
        <v>5.9527078265246197E-2</v>
      </c>
      <c r="I80" s="41">
        <f>MEDIAN(D80:G80)</f>
        <v>0.10325759459640638</v>
      </c>
    </row>
    <row r="81" spans="1:11" s="4" customFormat="1" x14ac:dyDescent="0.3">
      <c r="A81" s="142"/>
      <c r="B81" s="26"/>
      <c r="C81" s="6"/>
      <c r="D81" s="18"/>
      <c r="E81" s="18"/>
      <c r="F81" s="18"/>
      <c r="G81" s="36"/>
      <c r="H81" s="3"/>
      <c r="I81" s="2"/>
      <c r="K81" s="350"/>
    </row>
    <row r="82" spans="1:11" s="4" customFormat="1" x14ac:dyDescent="0.3">
      <c r="A82" s="142"/>
      <c r="B82" s="45" t="s">
        <v>269</v>
      </c>
      <c r="C82" s="220">
        <f>BS!C6</f>
        <v>0</v>
      </c>
      <c r="D82" s="220">
        <f>BS!D6</f>
        <v>0</v>
      </c>
      <c r="E82" s="220">
        <f>BS!E6</f>
        <v>0</v>
      </c>
      <c r="F82" s="220">
        <f>BS!F6</f>
        <v>2840</v>
      </c>
      <c r="G82" s="220">
        <f>BS!G6</f>
        <v>222</v>
      </c>
      <c r="H82" s="32"/>
      <c r="I82" s="46"/>
      <c r="K82" s="350"/>
    </row>
    <row r="83" spans="1:11" s="4" customFormat="1" x14ac:dyDescent="0.3">
      <c r="A83" s="142"/>
      <c r="B83" s="26" t="s">
        <v>68</v>
      </c>
      <c r="C83" s="18">
        <f>C82/C71</f>
        <v>0</v>
      </c>
      <c r="D83" s="18">
        <f>D82/D71</f>
        <v>0</v>
      </c>
      <c r="E83" s="18">
        <f>E82/E71</f>
        <v>0</v>
      </c>
      <c r="F83" s="18">
        <f>F82/F71</f>
        <v>0.18323762823407963</v>
      </c>
      <c r="G83" s="36">
        <f>G82/G71</f>
        <v>1.4623542586127396E-2</v>
      </c>
      <c r="H83" s="40">
        <f>AVERAGE(C83:G83)</f>
        <v>3.9572234164041403E-2</v>
      </c>
      <c r="I83" s="41">
        <f>MEDIAN(C83:G83)</f>
        <v>0</v>
      </c>
      <c r="K83" s="350"/>
    </row>
    <row r="84" spans="1:11" s="4" customFormat="1" x14ac:dyDescent="0.3">
      <c r="A84" s="142"/>
      <c r="B84" s="26" t="s">
        <v>34</v>
      </c>
      <c r="C84" s="6"/>
      <c r="D84" s="18" t="e">
        <f>(D82-C82)/C82</f>
        <v>#DIV/0!</v>
      </c>
      <c r="E84" s="18" t="e">
        <f>(E82-D82)/D82</f>
        <v>#DIV/0!</v>
      </c>
      <c r="F84" s="18" t="e">
        <f>(F82-E82)/E82</f>
        <v>#DIV/0!</v>
      </c>
      <c r="G84" s="36">
        <f>(G82-F82)/F82</f>
        <v>-0.92183098591549295</v>
      </c>
      <c r="H84" s="37">
        <v>-0.92</v>
      </c>
      <c r="I84" s="41">
        <v>-0.92</v>
      </c>
      <c r="K84" s="350"/>
    </row>
    <row r="85" spans="1:11" s="4" customFormat="1" x14ac:dyDescent="0.3">
      <c r="A85" s="142"/>
      <c r="B85" s="26" t="s">
        <v>35</v>
      </c>
      <c r="C85" s="6"/>
      <c r="D85" s="18" t="e">
        <f>(D82/$C82)^(1/D$8)-1</f>
        <v>#DIV/0!</v>
      </c>
      <c r="E85" s="18" t="e">
        <f>(E82/$C82)^(1/E$8)-1</f>
        <v>#DIV/0!</v>
      </c>
      <c r="F85" s="18" t="e">
        <f>(F82/$C82)^(1/F$8)-1</f>
        <v>#DIV/0!</v>
      </c>
      <c r="G85" s="18" t="e">
        <f>(G82/$C82)^(1/G$8)-1</f>
        <v>#DIV/0!</v>
      </c>
      <c r="H85" s="40" t="e">
        <f>AVERAGE(D85:G85)</f>
        <v>#DIV/0!</v>
      </c>
      <c r="I85" s="41" t="e">
        <f>MEDIAN(D85:G85)</f>
        <v>#DIV/0!</v>
      </c>
      <c r="K85" s="350"/>
    </row>
    <row r="86" spans="1:11" x14ac:dyDescent="0.3">
      <c r="B86" s="13"/>
      <c r="C86" s="11"/>
      <c r="D86" s="11"/>
      <c r="E86" s="11"/>
      <c r="F86" s="11"/>
      <c r="G86" s="35"/>
      <c r="H86" s="1"/>
      <c r="I86" s="14"/>
    </row>
    <row r="87" spans="1:11" s="4" customFormat="1" x14ac:dyDescent="0.3">
      <c r="A87" s="142"/>
      <c r="B87" s="12" t="s">
        <v>50</v>
      </c>
      <c r="C87" s="180">
        <f>BS!C27</f>
        <v>2630</v>
      </c>
      <c r="D87" s="180">
        <f>BS!D27</f>
        <v>6537</v>
      </c>
      <c r="E87" s="180">
        <f>BS!E27</f>
        <v>6143</v>
      </c>
      <c r="F87" s="180">
        <f>BS!F27</f>
        <v>6657</v>
      </c>
      <c r="G87" s="180">
        <f>BS!G27</f>
        <v>6689</v>
      </c>
      <c r="H87" s="3"/>
      <c r="I87" s="2"/>
      <c r="K87" s="350"/>
    </row>
    <row r="88" spans="1:11" x14ac:dyDescent="0.3">
      <c r="B88" s="26" t="s">
        <v>37</v>
      </c>
      <c r="C88" s="18">
        <f>C87/C$10</f>
        <v>0.27608650010497587</v>
      </c>
      <c r="D88" s="18">
        <f>D87/D$10</f>
        <v>0.5238820323769835</v>
      </c>
      <c r="E88" s="18">
        <f t="shared" ref="E88:G88" si="63">E87/E$10</f>
        <v>0.40016937007361086</v>
      </c>
      <c r="F88" s="18">
        <f t="shared" si="63"/>
        <v>0.43998678122934565</v>
      </c>
      <c r="G88" s="18">
        <f t="shared" si="63"/>
        <v>0.45903101839143562</v>
      </c>
      <c r="H88" s="40">
        <f>AVERAGE(C88:G88)</f>
        <v>0.41983114043527026</v>
      </c>
      <c r="I88" s="41">
        <f>MEDIAN(C88:G88)</f>
        <v>0.43998678122934565</v>
      </c>
    </row>
    <row r="89" spans="1:11" x14ac:dyDescent="0.3">
      <c r="B89" s="26" t="s">
        <v>34</v>
      </c>
      <c r="C89" s="3"/>
      <c r="D89" s="18">
        <f>(D87-C87)/C87</f>
        <v>1.4855513307984791</v>
      </c>
      <c r="E89" s="18">
        <f t="shared" ref="E89" si="64">(E87-D87)/D87</f>
        <v>-6.0272296160318185E-2</v>
      </c>
      <c r="F89" s="18">
        <f t="shared" ref="F89" si="65">(F87-E87)/E87</f>
        <v>8.3672472733192255E-2</v>
      </c>
      <c r="G89" s="36">
        <f t="shared" ref="G89" si="66">(G87-F87)/F87</f>
        <v>4.8069701066546493E-3</v>
      </c>
      <c r="H89" s="40">
        <f>AVERAGE(D89:G89)</f>
        <v>0.37843961936950199</v>
      </c>
      <c r="I89" s="41">
        <f>MEDIAN(D89:G89)</f>
        <v>4.4239721419923453E-2</v>
      </c>
    </row>
    <row r="90" spans="1:11" x14ac:dyDescent="0.3">
      <c r="B90" s="26" t="s">
        <v>35</v>
      </c>
      <c r="C90" s="3"/>
      <c r="D90" s="18">
        <f>(D87/$C87)^(1/D$8)-1</f>
        <v>1.4855513307984789</v>
      </c>
      <c r="E90" s="18">
        <f>(E87/$C87)^(1/E$8)-1</f>
        <v>0.52831326790907629</v>
      </c>
      <c r="F90" s="18">
        <f>(F87/$C87)^(1/F$8)-1</f>
        <v>0.36282764968217496</v>
      </c>
      <c r="G90" s="18">
        <f>(G87/$C87)^(1/G$8)-1</f>
        <v>0.26284881736300214</v>
      </c>
      <c r="H90" s="40">
        <f>AVERAGE(D90:G90)</f>
        <v>0.65988526643818313</v>
      </c>
      <c r="I90" s="41">
        <f>MEDIAN(D90:G90)</f>
        <v>0.44557045879562562</v>
      </c>
    </row>
    <row r="91" spans="1:11" x14ac:dyDescent="0.3">
      <c r="B91" s="26"/>
      <c r="C91" s="3"/>
      <c r="D91" s="18"/>
      <c r="E91" s="18"/>
      <c r="F91" s="18"/>
      <c r="G91" s="36"/>
      <c r="H91" s="40"/>
      <c r="I91" s="41"/>
    </row>
    <row r="92" spans="1:11" x14ac:dyDescent="0.3">
      <c r="B92" s="290" t="s">
        <v>66</v>
      </c>
      <c r="C92" s="291">
        <f>BS!C23</f>
        <v>144</v>
      </c>
      <c r="D92" s="291">
        <f>BS!D23</f>
        <v>230</v>
      </c>
      <c r="E92" s="291">
        <f>BS!E23</f>
        <v>230</v>
      </c>
      <c r="F92" s="291">
        <f>BS!F23</f>
        <v>125</v>
      </c>
      <c r="G92" s="291">
        <f>BS!G23</f>
        <v>125</v>
      </c>
      <c r="H92" s="83"/>
      <c r="I92" s="84"/>
    </row>
    <row r="93" spans="1:11" x14ac:dyDescent="0.3">
      <c r="B93" s="26" t="s">
        <v>167</v>
      </c>
      <c r="C93" s="18">
        <f>C92/C87</f>
        <v>5.4752851711026618E-2</v>
      </c>
      <c r="D93" s="18">
        <f>D92/D87</f>
        <v>3.5184335322013156E-2</v>
      </c>
      <c r="E93" s="18">
        <f t="shared" ref="E93:G93" si="67">E92/E87</f>
        <v>3.7440989744424551E-2</v>
      </c>
      <c r="F93" s="18">
        <f t="shared" si="67"/>
        <v>1.8777226979119724E-2</v>
      </c>
      <c r="G93" s="36">
        <f t="shared" si="67"/>
        <v>1.8687397219315293E-2</v>
      </c>
      <c r="H93" s="40">
        <f>AVERAGE(C93:G93)</f>
        <v>3.2968560195179866E-2</v>
      </c>
      <c r="I93" s="41">
        <f>MEDIAN(C93:G93)</f>
        <v>3.5184335322013156E-2</v>
      </c>
    </row>
    <row r="94" spans="1:11" x14ac:dyDescent="0.3">
      <c r="B94" s="26" t="s">
        <v>34</v>
      </c>
      <c r="C94" s="3"/>
      <c r="D94" s="18">
        <f>(D93-C93)/C93</f>
        <v>-0.35739720904934308</v>
      </c>
      <c r="E94" s="18">
        <f t="shared" ref="E94" si="68">(E93-D93)/D93</f>
        <v>6.4138043301318629E-2</v>
      </c>
      <c r="F94" s="18">
        <f t="shared" ref="F94" si="69">(F93-E93)/E93</f>
        <v>-0.49848475942290238</v>
      </c>
      <c r="G94" s="36">
        <f t="shared" ref="G94" si="70">(G93-F93)/F93</f>
        <v>-4.7839736881447655E-3</v>
      </c>
      <c r="H94" s="40">
        <f>AVERAGE(D94:G94)</f>
        <v>-0.1991319747147679</v>
      </c>
      <c r="I94" s="41">
        <f>MEDIAN(D94:G94)</f>
        <v>-0.18109059136874392</v>
      </c>
    </row>
    <row r="95" spans="1:11" x14ac:dyDescent="0.3">
      <c r="B95" s="26" t="s">
        <v>35</v>
      </c>
      <c r="C95" s="3"/>
      <c r="D95" s="18">
        <f>(D93/$C93)^(1/D$8)-1</f>
        <v>-0.35739720904934302</v>
      </c>
      <c r="E95" s="18">
        <f>(E93/$C93)^(1/E$8)-1</f>
        <v>-0.17306706645448056</v>
      </c>
      <c r="F95" s="18">
        <f>(F93/$C93)^(1/F$8)-1</f>
        <v>-0.30003728961356524</v>
      </c>
      <c r="G95" s="18">
        <f>(G93/$C93)^(1/G$8)-1</f>
        <v>-0.2356618825080089</v>
      </c>
      <c r="H95" s="40">
        <f>AVERAGE(D95:G95)</f>
        <v>-0.2665408619063494</v>
      </c>
      <c r="I95" s="41">
        <f>MEDIAN(D95:G95)</f>
        <v>-0.26784958606078707</v>
      </c>
    </row>
    <row r="96" spans="1:11" ht="15" thickBot="1" x14ac:dyDescent="0.35">
      <c r="B96" s="12"/>
      <c r="C96" s="3"/>
      <c r="D96" s="3"/>
      <c r="E96" s="3"/>
      <c r="F96" s="3"/>
      <c r="G96" s="30"/>
      <c r="H96" s="3"/>
      <c r="I96" s="2"/>
    </row>
    <row r="97" spans="1:11" x14ac:dyDescent="0.3">
      <c r="B97" s="7"/>
      <c r="C97" s="218">
        <v>2010</v>
      </c>
      <c r="D97" s="8">
        <v>2011</v>
      </c>
      <c r="E97" s="8">
        <v>2012</v>
      </c>
      <c r="F97" s="8">
        <v>2013</v>
      </c>
      <c r="G97" s="8">
        <v>2014</v>
      </c>
      <c r="H97" s="50">
        <v>2015</v>
      </c>
      <c r="I97" s="8"/>
    </row>
    <row r="98" spans="1:11" x14ac:dyDescent="0.3">
      <c r="B98" s="12" t="s">
        <v>51</v>
      </c>
      <c r="C98" s="219">
        <v>5.93</v>
      </c>
      <c r="D98" s="49">
        <f>IS!C25</f>
        <v>3.09</v>
      </c>
      <c r="E98" s="49">
        <f>IS!D25</f>
        <v>6.58</v>
      </c>
      <c r="F98" s="49">
        <f>IS!E25</f>
        <v>3.98</v>
      </c>
      <c r="G98" s="49">
        <f>IS!F25</f>
        <v>6.68</v>
      </c>
      <c r="H98" s="49">
        <f>IS!K25</f>
        <v>6.18</v>
      </c>
      <c r="I98" s="5" t="s">
        <v>54</v>
      </c>
    </row>
    <row r="99" spans="1:11" x14ac:dyDescent="0.3">
      <c r="B99" s="26" t="s">
        <v>34</v>
      </c>
      <c r="C99" s="3"/>
      <c r="D99" s="18">
        <f>(D98-C98)/C98</f>
        <v>-0.47892074198988194</v>
      </c>
      <c r="E99" s="18">
        <f t="shared" ref="E99" si="71">(E98-D98)/D98</f>
        <v>1.1294498381877023</v>
      </c>
      <c r="F99" s="18">
        <f t="shared" ref="F99" si="72">(F98-E98)/E98</f>
        <v>-0.39513677811550152</v>
      </c>
      <c r="G99" s="18">
        <f t="shared" ref="G99" si="73">(G98-F98)/F98</f>
        <v>0.67839195979899491</v>
      </c>
      <c r="H99" s="36">
        <f t="shared" ref="H99" si="74">(H98-G98)/G98</f>
        <v>-7.4850299401197612E-2</v>
      </c>
      <c r="I99" s="37">
        <f>AVERAGE(F99:H99)</f>
        <v>6.946829409409859E-2</v>
      </c>
    </row>
    <row r="100" spans="1:11" ht="15" thickBot="1" x14ac:dyDescent="0.35">
      <c r="B100" s="47" t="s">
        <v>35</v>
      </c>
      <c r="C100" s="20"/>
      <c r="D100" s="48">
        <f>(D98/$C98)^(1/D$101)-1</f>
        <v>-0.47892074198988199</v>
      </c>
      <c r="E100" s="48">
        <f>(E98/$C98)^(1/E$101)-1</f>
        <v>5.3381289777169938E-2</v>
      </c>
      <c r="F100" s="48">
        <f t="shared" ref="F100:H100" si="75">(F98/$C98)^(1/F$101)-1</f>
        <v>-0.12445972955969842</v>
      </c>
      <c r="G100" s="48">
        <f t="shared" si="75"/>
        <v>3.0221104363206575E-2</v>
      </c>
      <c r="H100" s="48">
        <f t="shared" si="75"/>
        <v>8.2930097575732997E-3</v>
      </c>
      <c r="I100" s="51">
        <f>AVERAGE(F100:H100)</f>
        <v>-2.8648538479639513E-2</v>
      </c>
    </row>
    <row r="101" spans="1:11" x14ac:dyDescent="0.3">
      <c r="B101" s="167"/>
      <c r="C101" s="167"/>
      <c r="D101" s="167">
        <v>1</v>
      </c>
      <c r="E101" s="167">
        <v>2</v>
      </c>
      <c r="F101" s="167">
        <v>3</v>
      </c>
      <c r="G101" s="167">
        <v>4</v>
      </c>
      <c r="H101" s="167">
        <v>5</v>
      </c>
      <c r="I101" s="167"/>
    </row>
    <row r="102" spans="1:11" ht="47.55" customHeight="1" x14ac:dyDescent="0.3"/>
    <row r="103" spans="1:11" s="353" customFormat="1" ht="47.55" customHeight="1" x14ac:dyDescent="0.3">
      <c r="A103" s="142"/>
      <c r="K103" s="350"/>
    </row>
  </sheetData>
  <pageMargins left="0.75" right="0.75" top="1" bottom="1" header="0.5" footer="0.5"/>
  <pageSetup orientation="portrait" horizontalDpi="4294967292" verticalDpi="4294967292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2"/>
  <sheetViews>
    <sheetView showGridLines="0" tabSelected="1" zoomScale="60" zoomScaleNormal="60" workbookViewId="0">
      <pane xSplit="1" ySplit="1" topLeftCell="B20" activePane="bottomRight" state="frozen"/>
      <selection pane="topRight" activeCell="B1" sqref="B1"/>
      <selection pane="bottomLeft" activeCell="A7" sqref="A7"/>
      <selection pane="bottomRight" activeCell="Q52" sqref="Q52"/>
    </sheetView>
  </sheetViews>
  <sheetFormatPr defaultColWidth="8.77734375" defaultRowHeight="14.4" outlineLevelRow="1" x14ac:dyDescent="0.3"/>
  <cols>
    <col min="1" max="1" width="3.33203125" style="142" customWidth="1"/>
    <col min="2" max="2" width="34.44140625" bestFit="1" customWidth="1"/>
    <col min="3" max="3" width="12.21875" customWidth="1"/>
    <col min="4" max="4" width="12.109375" customWidth="1"/>
    <col min="5" max="6" width="12.21875" customWidth="1"/>
    <col min="7" max="7" width="12.21875" style="311" customWidth="1"/>
    <col min="8" max="9" width="12.21875" customWidth="1"/>
    <col min="10" max="10" width="12.109375" customWidth="1"/>
    <col min="11" max="11" width="12.33203125" customWidth="1"/>
    <col min="12" max="12" width="12.21875" customWidth="1"/>
    <col min="14" max="14" width="9.33203125" customWidth="1"/>
    <col min="16" max="16" width="12.77734375" bestFit="1" customWidth="1"/>
    <col min="17" max="17" width="16" customWidth="1"/>
    <col min="18" max="18" width="11.44140625" bestFit="1" customWidth="1"/>
    <col min="19" max="19" width="8.77734375" style="350" customWidth="1"/>
  </cols>
  <sheetData>
    <row r="1" spans="1:19" s="142" customFormat="1" ht="18" customHeight="1" thickBot="1" x14ac:dyDescent="0.25"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71"/>
      <c r="N1" s="417"/>
      <c r="O1" s="471"/>
      <c r="P1" s="471"/>
      <c r="Q1" s="140"/>
      <c r="S1" s="149"/>
    </row>
    <row r="2" spans="1:19" s="167" customFormat="1" ht="15" x14ac:dyDescent="0.2">
      <c r="A2" s="142"/>
      <c r="B2" s="222"/>
      <c r="C2" s="223"/>
      <c r="D2" s="223"/>
      <c r="E2" s="223"/>
      <c r="F2" s="223"/>
      <c r="G2" s="223"/>
      <c r="H2" s="223"/>
      <c r="I2" s="223"/>
      <c r="J2" s="223"/>
      <c r="K2" s="223"/>
      <c r="L2" s="224"/>
      <c r="M2" s="221"/>
      <c r="N2" s="474"/>
      <c r="O2" s="410"/>
      <c r="P2" s="474"/>
      <c r="S2" s="350"/>
    </row>
    <row r="3" spans="1:19" s="167" customFormat="1" ht="15" x14ac:dyDescent="0.2">
      <c r="A3" s="142"/>
      <c r="B3" s="312"/>
      <c r="C3" s="313"/>
      <c r="D3" s="313"/>
      <c r="E3" s="313"/>
      <c r="F3" s="313"/>
      <c r="G3" s="313"/>
      <c r="H3" s="305"/>
      <c r="I3" s="305"/>
      <c r="J3" s="305"/>
      <c r="K3" s="305"/>
      <c r="L3" s="306"/>
      <c r="M3" s="221"/>
      <c r="N3" s="439"/>
      <c r="O3" s="410"/>
      <c r="P3" s="474"/>
      <c r="S3" s="350"/>
    </row>
    <row r="4" spans="1:19" s="167" customFormat="1" ht="15" thickBot="1" x14ac:dyDescent="0.35">
      <c r="A4" s="142"/>
      <c r="B4" s="225" t="s">
        <v>56</v>
      </c>
      <c r="C4" s="221"/>
      <c r="D4" s="221"/>
      <c r="E4" s="221"/>
      <c r="F4" s="221"/>
      <c r="G4" s="221"/>
      <c r="H4" s="221"/>
      <c r="I4" s="221"/>
      <c r="J4" s="221"/>
      <c r="K4" s="221"/>
      <c r="L4" s="226"/>
      <c r="M4" s="221"/>
      <c r="N4" s="474"/>
      <c r="O4" s="410"/>
      <c r="P4" s="474"/>
      <c r="S4" s="350"/>
    </row>
    <row r="5" spans="1:19" s="167" customFormat="1" x14ac:dyDescent="0.3">
      <c r="A5" s="142"/>
      <c r="B5" s="225"/>
      <c r="C5" s="377"/>
      <c r="D5" s="377"/>
      <c r="E5" s="377"/>
      <c r="F5" s="377"/>
      <c r="G5" s="377"/>
      <c r="H5" s="522" t="s">
        <v>73</v>
      </c>
      <c r="I5" s="522"/>
      <c r="J5" s="523" t="s">
        <v>74</v>
      </c>
      <c r="K5" s="523"/>
      <c r="L5" s="314" t="s">
        <v>75</v>
      </c>
      <c r="M5" s="221"/>
      <c r="N5" s="524" t="s">
        <v>31</v>
      </c>
      <c r="O5" s="525"/>
      <c r="P5" s="526"/>
      <c r="Q5" s="441"/>
      <c r="S5" s="350"/>
    </row>
    <row r="6" spans="1:19" ht="15" thickBot="1" x14ac:dyDescent="0.35">
      <c r="B6" s="225" t="s">
        <v>32</v>
      </c>
      <c r="C6" s="227" t="s">
        <v>58</v>
      </c>
      <c r="D6" s="227" t="s">
        <v>59</v>
      </c>
      <c r="E6" s="227" t="s">
        <v>270</v>
      </c>
      <c r="F6" s="227" t="s">
        <v>294</v>
      </c>
      <c r="G6" s="227" t="s">
        <v>307</v>
      </c>
      <c r="H6" s="227" t="s">
        <v>60</v>
      </c>
      <c r="I6" s="227" t="s">
        <v>61</v>
      </c>
      <c r="J6" s="227" t="s">
        <v>62</v>
      </c>
      <c r="K6" s="227" t="s">
        <v>271</v>
      </c>
      <c r="L6" s="228" t="s">
        <v>304</v>
      </c>
      <c r="M6" s="221"/>
      <c r="N6" s="476" t="s">
        <v>73</v>
      </c>
      <c r="O6" s="477" t="s">
        <v>74</v>
      </c>
      <c r="P6" s="478" t="s">
        <v>75</v>
      </c>
      <c r="Q6" s="510" t="s">
        <v>302</v>
      </c>
    </row>
    <row r="7" spans="1:19" x14ac:dyDescent="0.3">
      <c r="B7" s="345" t="s">
        <v>16</v>
      </c>
      <c r="C7" s="346">
        <f>IS!D5</f>
        <v>12478</v>
      </c>
      <c r="D7" s="346">
        <f>IS!E5</f>
        <v>15351</v>
      </c>
      <c r="E7" s="346">
        <f>IS!F5</f>
        <v>15130</v>
      </c>
      <c r="F7" s="346">
        <f>IS!K5</f>
        <v>14572</v>
      </c>
      <c r="G7" s="346">
        <v>3360</v>
      </c>
      <c r="H7" s="347">
        <f>(F7*(1+N7)*0.75)+G7</f>
        <v>14616.869999999999</v>
      </c>
      <c r="I7" s="348">
        <f>H7*(1+$N$7)</f>
        <v>15055.376099999999</v>
      </c>
      <c r="J7" s="348">
        <f>I7*(1+$O$7)</f>
        <v>15657.591144</v>
      </c>
      <c r="K7" s="348">
        <f>J7*(1+$O$7)</f>
        <v>16283.894789760001</v>
      </c>
      <c r="L7" s="349">
        <f>K7*(1+$P$7)</f>
        <v>17098.089529248002</v>
      </c>
      <c r="M7" s="221"/>
      <c r="N7" s="486">
        <v>0.03</v>
      </c>
      <c r="O7" s="490">
        <v>0.04</v>
      </c>
      <c r="P7" s="479">
        <v>0.05</v>
      </c>
      <c r="Q7" s="438"/>
    </row>
    <row r="8" spans="1:19" x14ac:dyDescent="0.3">
      <c r="B8" s="225" t="s">
        <v>272</v>
      </c>
      <c r="C8" s="378">
        <f>IS!D6</f>
        <v>8840</v>
      </c>
      <c r="D8" s="378">
        <f>IS!E6</f>
        <v>10988</v>
      </c>
      <c r="E8" s="378">
        <f>IS!F6</f>
        <v>10770</v>
      </c>
      <c r="F8" s="378">
        <f>IS!K6</f>
        <v>10351</v>
      </c>
      <c r="G8" s="378">
        <v>2405</v>
      </c>
      <c r="H8" s="379">
        <f>H7*$N8</f>
        <v>10404.738261731658</v>
      </c>
      <c r="I8" s="380">
        <f>I7*$N8</f>
        <v>10716.880409583608</v>
      </c>
      <c r="J8" s="380">
        <f>J7*$O8</f>
        <v>11116.889712239999</v>
      </c>
      <c r="K8" s="380">
        <f>K7*$O8</f>
        <v>11561.5653007296</v>
      </c>
      <c r="L8" s="381">
        <f>L7*P8</f>
        <v>11968.662670473601</v>
      </c>
      <c r="M8" s="221"/>
      <c r="N8" s="486">
        <f>'DCF Growth Rates'!I15</f>
        <v>0.71183079973562458</v>
      </c>
      <c r="O8" s="490">
        <v>0.71</v>
      </c>
      <c r="P8" s="491">
        <v>0.7</v>
      </c>
      <c r="Q8" s="438" t="s">
        <v>303</v>
      </c>
    </row>
    <row r="9" spans="1:19" s="4" customFormat="1" x14ac:dyDescent="0.3">
      <c r="A9" s="142"/>
      <c r="B9" s="229" t="s">
        <v>273</v>
      </c>
      <c r="C9" s="382">
        <f>IS!D7</f>
        <v>3638</v>
      </c>
      <c r="D9" s="382">
        <f>IS!E7</f>
        <v>4363</v>
      </c>
      <c r="E9" s="382">
        <f>IS!F7</f>
        <v>4360</v>
      </c>
      <c r="F9" s="382">
        <f>IS!K7</f>
        <v>4221</v>
      </c>
      <c r="G9" s="382">
        <f>G7-G8</f>
        <v>955</v>
      </c>
      <c r="H9" s="383">
        <f>H7-H8</f>
        <v>4212.131738268341</v>
      </c>
      <c r="I9" s="382">
        <f t="shared" ref="I9:L9" si="0">I7-I8</f>
        <v>4338.4956904163919</v>
      </c>
      <c r="J9" s="382">
        <f t="shared" si="0"/>
        <v>4540.7014317600006</v>
      </c>
      <c r="K9" s="382">
        <f t="shared" si="0"/>
        <v>4722.3294890304005</v>
      </c>
      <c r="L9" s="384">
        <f t="shared" si="0"/>
        <v>5129.4268587744009</v>
      </c>
      <c r="M9" s="221"/>
      <c r="N9" s="487"/>
      <c r="O9" s="481"/>
      <c r="P9" s="475"/>
      <c r="Q9" s="438"/>
      <c r="S9" s="350"/>
    </row>
    <row r="10" spans="1:19" x14ac:dyDescent="0.3">
      <c r="B10" s="225" t="s">
        <v>64</v>
      </c>
      <c r="C10" s="231">
        <f>C9/C7</f>
        <v>0.29155313351498635</v>
      </c>
      <c r="D10" s="231">
        <f t="shared" ref="D10:L10" si="1">D9/D7</f>
        <v>0.28421601198618984</v>
      </c>
      <c r="E10" s="231">
        <f t="shared" si="1"/>
        <v>0.28816920026437542</v>
      </c>
      <c r="F10" s="231">
        <f t="shared" si="1"/>
        <v>0.28966511117211091</v>
      </c>
      <c r="G10" s="231">
        <f t="shared" si="1"/>
        <v>0.28422619047619047</v>
      </c>
      <c r="H10" s="231">
        <f t="shared" si="1"/>
        <v>0.28816920026437542</v>
      </c>
      <c r="I10" s="231">
        <f t="shared" si="1"/>
        <v>0.28816920026437548</v>
      </c>
      <c r="J10" s="231">
        <f t="shared" si="1"/>
        <v>0.29000000000000004</v>
      </c>
      <c r="K10" s="231">
        <f t="shared" si="1"/>
        <v>0.29000000000000004</v>
      </c>
      <c r="L10" s="231">
        <f t="shared" si="1"/>
        <v>0.30000000000000004</v>
      </c>
      <c r="M10" s="221"/>
      <c r="N10" s="487"/>
      <c r="O10" s="481"/>
      <c r="P10" s="475"/>
      <c r="Q10" s="438"/>
    </row>
    <row r="11" spans="1:19" x14ac:dyDescent="0.3">
      <c r="B11" s="225" t="s">
        <v>12</v>
      </c>
      <c r="C11" s="374"/>
      <c r="D11" s="375"/>
      <c r="E11" s="375"/>
      <c r="F11" s="375"/>
      <c r="G11" s="375"/>
      <c r="H11" s="225"/>
      <c r="I11" s="221"/>
      <c r="J11" s="221"/>
      <c r="K11" s="221"/>
      <c r="L11" s="226"/>
      <c r="M11" s="221"/>
      <c r="N11" s="487"/>
      <c r="O11" s="481"/>
      <c r="P11" s="475"/>
      <c r="Q11" s="438"/>
    </row>
    <row r="12" spans="1:19" x14ac:dyDescent="0.3">
      <c r="B12" s="376" t="s">
        <v>13</v>
      </c>
      <c r="C12" s="378">
        <f>IS!D9</f>
        <v>1055</v>
      </c>
      <c r="D12" s="378">
        <f>IS!E9</f>
        <v>1572</v>
      </c>
      <c r="E12" s="378">
        <f>IS!F9</f>
        <v>1661</v>
      </c>
      <c r="F12" s="378">
        <f>IS!K9</f>
        <v>1646</v>
      </c>
      <c r="G12" s="378">
        <v>385</v>
      </c>
      <c r="H12" s="385">
        <f>H7*N12</f>
        <v>1754.0243999999998</v>
      </c>
      <c r="I12" s="378">
        <f>I7*$N$12</f>
        <v>1806.6451319999999</v>
      </c>
      <c r="J12" s="378">
        <f>J7*$O$12</f>
        <v>2035.4868487200001</v>
      </c>
      <c r="K12" s="378">
        <f>K7*$O$12</f>
        <v>2116.9063226688004</v>
      </c>
      <c r="L12" s="386">
        <f>L7*$P$12</f>
        <v>2393.7325340947204</v>
      </c>
      <c r="M12" s="221"/>
      <c r="N12" s="488">
        <v>0.12</v>
      </c>
      <c r="O12" s="490">
        <v>0.13</v>
      </c>
      <c r="P12" s="479">
        <v>0.14000000000000001</v>
      </c>
      <c r="Q12" s="438"/>
    </row>
    <row r="13" spans="1:19" x14ac:dyDescent="0.3">
      <c r="B13" s="376" t="s">
        <v>274</v>
      </c>
      <c r="C13" s="378">
        <f>IS!D10</f>
        <v>518</v>
      </c>
      <c r="D13" s="378">
        <f>IS!E10</f>
        <v>706</v>
      </c>
      <c r="E13" s="378">
        <f>IS!F10</f>
        <v>761</v>
      </c>
      <c r="F13" s="378">
        <f>IS!K10</f>
        <v>773</v>
      </c>
      <c r="G13" s="378">
        <v>192</v>
      </c>
      <c r="H13" s="385">
        <f>H7*$N$13</f>
        <v>644.4610290704328</v>
      </c>
      <c r="I13" s="378">
        <f>I7*$N$13</f>
        <v>663.79485994254571</v>
      </c>
      <c r="J13" s="378">
        <f>J7*$N$13</f>
        <v>690.3466543402476</v>
      </c>
      <c r="K13" s="378">
        <f>K7*$N$13</f>
        <v>717.96052051385755</v>
      </c>
      <c r="L13" s="386">
        <f>L7*$N$13</f>
        <v>753.8585465395505</v>
      </c>
      <c r="M13" s="221"/>
      <c r="N13" s="488">
        <f>'DCF Growth Rates'!H25</f>
        <v>4.4090221030250169E-2</v>
      </c>
      <c r="O13" s="481"/>
      <c r="P13" s="475"/>
      <c r="Q13" s="438" t="s">
        <v>303</v>
      </c>
    </row>
    <row r="14" spans="1:19" x14ac:dyDescent="0.3">
      <c r="B14" s="237" t="s">
        <v>11</v>
      </c>
      <c r="C14" s="378">
        <f>'DCF Growth Rates'!D29</f>
        <v>294</v>
      </c>
      <c r="D14" s="378">
        <f>'DCF Growth Rates'!E29</f>
        <v>819</v>
      </c>
      <c r="E14" s="378">
        <f>'DCF Growth Rates'!F29</f>
        <v>147</v>
      </c>
      <c r="F14" s="378">
        <f>'DCF Growth Rates'!J29</f>
        <v>0</v>
      </c>
      <c r="G14" s="378">
        <v>0</v>
      </c>
      <c r="H14" s="385">
        <f>H7*N14</f>
        <v>265.53474853808405</v>
      </c>
      <c r="I14" s="378">
        <f>I7*$N$14</f>
        <v>273.50079099422658</v>
      </c>
      <c r="J14" s="378">
        <f>J7*$N$14</f>
        <v>284.44082263399565</v>
      </c>
      <c r="K14" s="378">
        <f>K7*$N$14</f>
        <v>295.81845553935545</v>
      </c>
      <c r="L14" s="386">
        <f>L7*$N$14</f>
        <v>310.60937831632327</v>
      </c>
      <c r="M14" s="221"/>
      <c r="N14" s="488">
        <f>'DCF Growth Rates'!H30</f>
        <v>1.8166320733377532E-2</v>
      </c>
      <c r="O14" s="481"/>
      <c r="P14" s="475"/>
      <c r="Q14" s="438"/>
      <c r="S14" s="351"/>
    </row>
    <row r="15" spans="1:19" s="4" customFormat="1" x14ac:dyDescent="0.3">
      <c r="A15" s="142"/>
      <c r="B15" s="225" t="s">
        <v>14</v>
      </c>
      <c r="C15" s="378">
        <f t="shared" ref="C15:L15" si="2">C12+C13+C14</f>
        <v>1867</v>
      </c>
      <c r="D15" s="378">
        <f t="shared" si="2"/>
        <v>3097</v>
      </c>
      <c r="E15" s="378">
        <f t="shared" si="2"/>
        <v>2569</v>
      </c>
      <c r="F15" s="378">
        <f t="shared" si="2"/>
        <v>2419</v>
      </c>
      <c r="G15" s="378">
        <v>633</v>
      </c>
      <c r="H15" s="385">
        <f t="shared" si="2"/>
        <v>2664.0201776085164</v>
      </c>
      <c r="I15" s="378">
        <f t="shared" si="2"/>
        <v>2743.9407829367719</v>
      </c>
      <c r="J15" s="378">
        <f t="shared" si="2"/>
        <v>3010.2743256942431</v>
      </c>
      <c r="K15" s="378">
        <f t="shared" si="2"/>
        <v>3130.6852987220136</v>
      </c>
      <c r="L15" s="386">
        <f t="shared" si="2"/>
        <v>3458.2004589505941</v>
      </c>
      <c r="M15" s="221"/>
      <c r="N15" s="487"/>
      <c r="O15" s="481"/>
      <c r="P15" s="475"/>
      <c r="Q15" s="438"/>
      <c r="S15" s="350"/>
    </row>
    <row r="16" spans="1:19" ht="15" thickBot="1" x14ac:dyDescent="0.35">
      <c r="B16" s="232" t="s">
        <v>46</v>
      </c>
      <c r="C16" s="387">
        <f>CF!D11</f>
        <v>825</v>
      </c>
      <c r="D16" s="387">
        <f>CF!E11</f>
        <v>1233</v>
      </c>
      <c r="E16" s="387">
        <f>CF!F11</f>
        <v>1244</v>
      </c>
      <c r="F16" s="387">
        <f>CF!K11</f>
        <v>1114</v>
      </c>
      <c r="G16" s="387">
        <v>63</v>
      </c>
      <c r="H16" s="388">
        <f>H7*N16</f>
        <v>1076.6817606342649</v>
      </c>
      <c r="I16" s="387">
        <f>I7*$N$16</f>
        <v>1108.9822134532928</v>
      </c>
      <c r="J16" s="387">
        <f>J7*$N$16</f>
        <v>1153.3415019914246</v>
      </c>
      <c r="K16" s="387">
        <f>K7*$N$16</f>
        <v>1199.4751620710817</v>
      </c>
      <c r="L16" s="389">
        <f>L7*$N$16</f>
        <v>1259.4489201746358</v>
      </c>
      <c r="M16" s="221"/>
      <c r="N16" s="486">
        <f>'DCF Growth Rates'!H62</f>
        <v>7.3660213208044195E-2</v>
      </c>
      <c r="O16" s="481"/>
      <c r="P16" s="475"/>
      <c r="Q16" s="438" t="s">
        <v>303</v>
      </c>
    </row>
    <row r="17" spans="1:19" x14ac:dyDescent="0.3">
      <c r="B17" s="344" t="s">
        <v>275</v>
      </c>
      <c r="C17" s="390">
        <f t="shared" ref="C17:L17" si="3">C9-C15</f>
        <v>1771</v>
      </c>
      <c r="D17" s="390">
        <f t="shared" si="3"/>
        <v>1266</v>
      </c>
      <c r="E17" s="390">
        <f t="shared" si="3"/>
        <v>1791</v>
      </c>
      <c r="F17" s="390">
        <f t="shared" si="3"/>
        <v>1802</v>
      </c>
      <c r="G17" s="390">
        <f t="shared" si="3"/>
        <v>322</v>
      </c>
      <c r="H17" s="391">
        <f t="shared" si="3"/>
        <v>1548.1115606598246</v>
      </c>
      <c r="I17" s="390">
        <f t="shared" si="3"/>
        <v>1594.5549074796199</v>
      </c>
      <c r="J17" s="390">
        <f t="shared" si="3"/>
        <v>1530.4271060657575</v>
      </c>
      <c r="K17" s="390">
        <f t="shared" si="3"/>
        <v>1591.6441903083869</v>
      </c>
      <c r="L17" s="392">
        <f t="shared" si="3"/>
        <v>1671.2263998238068</v>
      </c>
      <c r="M17" s="221"/>
      <c r="N17" s="486"/>
      <c r="O17" s="481"/>
      <c r="P17" s="475"/>
      <c r="Q17" s="438"/>
    </row>
    <row r="18" spans="1:19" x14ac:dyDescent="0.3">
      <c r="B18" s="225" t="s">
        <v>276</v>
      </c>
      <c r="C18" s="378">
        <f>IS!D17</f>
        <v>12</v>
      </c>
      <c r="D18" s="378">
        <f>IS!E17</f>
        <v>11</v>
      </c>
      <c r="E18" s="378">
        <f>IS!F17</f>
        <v>17</v>
      </c>
      <c r="F18" s="378">
        <f>IS!K17</f>
        <v>15</v>
      </c>
      <c r="G18" s="378">
        <v>5</v>
      </c>
      <c r="H18" s="385">
        <f>H7*N18</f>
        <v>13.809765903842115</v>
      </c>
      <c r="I18" s="378">
        <f>I7*$N$18</f>
        <v>14.224058880957379</v>
      </c>
      <c r="J18" s="378">
        <f>J7*$N$18</f>
        <v>14.793021236195674</v>
      </c>
      <c r="K18" s="378">
        <f>K7*$N$18</f>
        <v>15.384742085643502</v>
      </c>
      <c r="L18" s="386">
        <f>L7*$N$18</f>
        <v>16.153979189925678</v>
      </c>
      <c r="M18" s="221"/>
      <c r="N18" s="517">
        <f>'DCF Growth Rates'!I40</f>
        <v>9.4478269997900479E-4</v>
      </c>
      <c r="O18" s="481"/>
      <c r="P18" s="475"/>
      <c r="Q18" s="438" t="s">
        <v>303</v>
      </c>
    </row>
    <row r="19" spans="1:19" x14ac:dyDescent="0.3">
      <c r="B19" s="225" t="s">
        <v>277</v>
      </c>
      <c r="C19" s="378">
        <f>IS!D18</f>
        <v>-26</v>
      </c>
      <c r="D19" s="378">
        <f>IS!E18</f>
        <v>-55</v>
      </c>
      <c r="E19" s="378">
        <f>IS!F18</f>
        <v>-56</v>
      </c>
      <c r="F19" s="378">
        <f>IS!K18</f>
        <v>-49</v>
      </c>
      <c r="G19" s="378">
        <v>-13</v>
      </c>
      <c r="H19" s="385">
        <f>H7*N19</f>
        <v>-49.1508804556684</v>
      </c>
      <c r="I19" s="378">
        <f>I7*$N$19</f>
        <v>-50.625406869338455</v>
      </c>
      <c r="J19" s="378">
        <f>J7*$N$19</f>
        <v>-52.650423144111997</v>
      </c>
      <c r="K19" s="378">
        <f>K7*$N$19</f>
        <v>-54.756440069876476</v>
      </c>
      <c r="L19" s="386">
        <f>L7*$N$19</f>
        <v>-57.494262073370308</v>
      </c>
      <c r="M19" s="221"/>
      <c r="N19" s="517">
        <f>'DCF Growth Rates'!I45</f>
        <v>-3.362613230853692E-3</v>
      </c>
      <c r="O19" s="481"/>
      <c r="P19" s="475"/>
      <c r="Q19" s="438" t="s">
        <v>303</v>
      </c>
    </row>
    <row r="20" spans="1:19" x14ac:dyDescent="0.3">
      <c r="B20" s="225" t="s">
        <v>278</v>
      </c>
      <c r="C20" s="378">
        <f>IS!D20</f>
        <v>1757</v>
      </c>
      <c r="D20" s="378">
        <f>IS!E20</f>
        <v>1222</v>
      </c>
      <c r="E20" s="378">
        <f>IS!F20</f>
        <v>1752</v>
      </c>
      <c r="F20" s="378">
        <f>IS!K20</f>
        <v>1577</v>
      </c>
      <c r="G20" s="378">
        <v>314</v>
      </c>
      <c r="H20" s="385">
        <f>H17+H18+H19</f>
        <v>1512.7704461079984</v>
      </c>
      <c r="I20" s="378">
        <f>I17+I18+I19</f>
        <v>1558.1535594912389</v>
      </c>
      <c r="J20" s="378">
        <f>J17+J18+J19</f>
        <v>1492.5697041578412</v>
      </c>
      <c r="K20" s="378">
        <f>K17+K18+K19</f>
        <v>1552.272492324154</v>
      </c>
      <c r="L20" s="386">
        <f>L17+L18+L19</f>
        <v>1629.8861169403622</v>
      </c>
      <c r="M20" s="221"/>
      <c r="N20" s="487"/>
      <c r="O20" s="481"/>
      <c r="P20" s="475"/>
      <c r="Q20" s="438"/>
    </row>
    <row r="21" spans="1:19" x14ac:dyDescent="0.3">
      <c r="B21" s="225" t="s">
        <v>279</v>
      </c>
      <c r="C21" s="378">
        <f>IS!D21</f>
        <v>145</v>
      </c>
      <c r="D21" s="378">
        <f>IS!E21</f>
        <v>242</v>
      </c>
      <c r="E21" s="378">
        <f>IS!F21</f>
        <v>135</v>
      </c>
      <c r="F21" s="378">
        <f>IS!K21</f>
        <v>112</v>
      </c>
      <c r="G21" s="378">
        <v>31</v>
      </c>
      <c r="H21" s="385">
        <f>H20*N21</f>
        <v>116.56621588160947</v>
      </c>
      <c r="I21" s="378">
        <f>I20*$N$21</f>
        <v>120.06320235805779</v>
      </c>
      <c r="J21" s="378">
        <f>J20*$N$21</f>
        <v>115.00965186147749</v>
      </c>
      <c r="K21" s="378">
        <f>K20*$N$21</f>
        <v>119.61003793593653</v>
      </c>
      <c r="L21" s="386">
        <f>L20*$N$21</f>
        <v>125.59053983273338</v>
      </c>
      <c r="M21" s="221"/>
      <c r="N21" s="486">
        <f>'DCF Growth Rates'!I56</f>
        <v>7.7054794520547948E-2</v>
      </c>
      <c r="O21" s="481"/>
      <c r="P21" s="475"/>
      <c r="Q21" s="438" t="s">
        <v>44</v>
      </c>
    </row>
    <row r="22" spans="1:19" ht="15" thickBot="1" x14ac:dyDescent="0.35">
      <c r="B22" s="343" t="s">
        <v>280</v>
      </c>
      <c r="C22" s="393">
        <f t="shared" ref="C22:L22" si="4">C17+C18+C19-C21</f>
        <v>1612</v>
      </c>
      <c r="D22" s="393">
        <f t="shared" si="4"/>
        <v>980</v>
      </c>
      <c r="E22" s="393">
        <f t="shared" si="4"/>
        <v>1617</v>
      </c>
      <c r="F22" s="514">
        <f>F17+F18+F19-F21</f>
        <v>1656</v>
      </c>
      <c r="G22" s="514">
        <f>G17+G18+G19-G21</f>
        <v>283</v>
      </c>
      <c r="H22" s="394">
        <f>H17+H18+H19-H21</f>
        <v>1396.204230226389</v>
      </c>
      <c r="I22" s="393">
        <f t="shared" si="4"/>
        <v>1438.090357133181</v>
      </c>
      <c r="J22" s="393">
        <f t="shared" si="4"/>
        <v>1377.5600522963637</v>
      </c>
      <c r="K22" s="393">
        <f t="shared" si="4"/>
        <v>1432.6624543882174</v>
      </c>
      <c r="L22" s="395">
        <f t="shared" si="4"/>
        <v>1504.2955771076288</v>
      </c>
      <c r="M22" s="221"/>
      <c r="N22" s="480"/>
      <c r="O22" s="481"/>
      <c r="P22" s="475"/>
      <c r="Q22" s="438"/>
    </row>
    <row r="23" spans="1:19" s="311" customFormat="1" outlineLevel="1" x14ac:dyDescent="0.3">
      <c r="A23" s="142"/>
      <c r="B23" s="405" t="s">
        <v>308</v>
      </c>
      <c r="C23" s="378">
        <f>IS!C28</f>
        <v>235</v>
      </c>
      <c r="D23" s="378">
        <f>IS!D28</f>
        <v>245</v>
      </c>
      <c r="E23" s="378">
        <f>IS!E28</f>
        <v>246</v>
      </c>
      <c r="F23" s="378">
        <v>237</v>
      </c>
      <c r="G23" s="378">
        <v>234</v>
      </c>
      <c r="H23" s="385">
        <v>234</v>
      </c>
      <c r="I23" s="378">
        <v>234</v>
      </c>
      <c r="J23" s="378">
        <v>234</v>
      </c>
      <c r="K23" s="378">
        <v>234</v>
      </c>
      <c r="L23" s="386">
        <v>234</v>
      </c>
      <c r="M23" s="221"/>
      <c r="N23" s="480"/>
      <c r="O23" s="481"/>
      <c r="P23" s="475"/>
      <c r="Q23" s="438"/>
      <c r="S23" s="350"/>
    </row>
    <row r="24" spans="1:19" s="311" customFormat="1" ht="15" outlineLevel="1" thickBot="1" x14ac:dyDescent="0.35">
      <c r="A24" s="142"/>
      <c r="B24" s="405" t="s">
        <v>149</v>
      </c>
      <c r="C24" s="406">
        <f>C22/C23</f>
        <v>6.8595744680851061</v>
      </c>
      <c r="D24" s="406">
        <f t="shared" ref="D24:G24" si="5">D22/D23</f>
        <v>4</v>
      </c>
      <c r="E24" s="406">
        <f t="shared" si="5"/>
        <v>6.5731707317073171</v>
      </c>
      <c r="F24" s="406">
        <f t="shared" si="5"/>
        <v>6.9873417721518987</v>
      </c>
      <c r="G24" s="406">
        <f t="shared" si="5"/>
        <v>1.2094017094017093</v>
      </c>
      <c r="H24" s="406">
        <f t="shared" ref="H24" si="6">H22/H23</f>
        <v>5.9666847445572175</v>
      </c>
      <c r="I24" s="406">
        <f t="shared" ref="I24" si="7">I22/I23</f>
        <v>6.1456852868939356</v>
      </c>
      <c r="J24" s="406">
        <f t="shared" ref="J24" si="8">J22/J23</f>
        <v>5.8870087704972809</v>
      </c>
      <c r="K24" s="406">
        <f t="shared" ref="K24" si="9">K22/K23</f>
        <v>6.1224891213171686</v>
      </c>
      <c r="L24" s="406">
        <f t="shared" ref="L24" si="10">L22/L23</f>
        <v>6.4286135773830289</v>
      </c>
      <c r="M24" s="221"/>
      <c r="N24" s="480"/>
      <c r="O24" s="481"/>
      <c r="P24" s="475"/>
      <c r="Q24" s="438"/>
      <c r="S24" s="350"/>
    </row>
    <row r="25" spans="1:19" x14ac:dyDescent="0.3">
      <c r="B25" s="222" t="s">
        <v>65</v>
      </c>
      <c r="C25" s="396">
        <f>BS!D15</f>
        <v>14206</v>
      </c>
      <c r="D25" s="396">
        <f>BS!E15</f>
        <v>14036</v>
      </c>
      <c r="E25" s="396">
        <f>BS!F15</f>
        <v>15499</v>
      </c>
      <c r="F25" s="396">
        <f>BS!K15</f>
        <v>15181</v>
      </c>
      <c r="G25" s="515">
        <f>BS!L15</f>
        <v>15261</v>
      </c>
      <c r="H25" s="397">
        <f>H7*$N$25</f>
        <v>14532.667080769485</v>
      </c>
      <c r="I25" s="396">
        <f>I7*$N$25</f>
        <v>14968.647093192571</v>
      </c>
      <c r="J25" s="396">
        <f>J7*$N$25</f>
        <v>15567.392976920273</v>
      </c>
      <c r="K25" s="396">
        <f>K7*$N$25</f>
        <v>16190.088695997085</v>
      </c>
      <c r="L25" s="398">
        <f>L7*$N$25</f>
        <v>16999.59313079694</v>
      </c>
      <c r="M25" s="221"/>
      <c r="N25" s="486">
        <f>'DCF Growth Rates'!H72</f>
        <v>0.99423933309726953</v>
      </c>
      <c r="O25" s="481"/>
      <c r="P25" s="475"/>
      <c r="Q25" s="438" t="s">
        <v>303</v>
      </c>
    </row>
    <row r="26" spans="1:19" x14ac:dyDescent="0.3">
      <c r="B26" s="225" t="s">
        <v>281</v>
      </c>
      <c r="C26" s="378">
        <f>BS!D27</f>
        <v>6537</v>
      </c>
      <c r="D26" s="378">
        <f>BS!E27</f>
        <v>6143</v>
      </c>
      <c r="E26" s="378">
        <f>BS!F27</f>
        <v>6657</v>
      </c>
      <c r="F26" s="378">
        <f>BS!K27</f>
        <v>5962</v>
      </c>
      <c r="G26" s="512">
        <f>BS!L27</f>
        <v>5925</v>
      </c>
      <c r="H26" s="385">
        <f>H7*$N$26</f>
        <v>6136.6172016940882</v>
      </c>
      <c r="I26" s="378">
        <f>I7*$N$26</f>
        <v>6320.7157177449108</v>
      </c>
      <c r="J26" s="378">
        <f>J7*$N$26</f>
        <v>6573.5443464547079</v>
      </c>
      <c r="K26" s="378">
        <f>K7*$N$26</f>
        <v>6836.4861203128967</v>
      </c>
      <c r="L26" s="386">
        <f>L7*$N$26</f>
        <v>7178.3104263285413</v>
      </c>
      <c r="M26" s="221"/>
      <c r="N26" s="486">
        <f>'DCF Growth Rates'!H88</f>
        <v>0.41983114043527026</v>
      </c>
      <c r="O26" s="481"/>
      <c r="P26" s="475"/>
      <c r="Q26" s="438" t="s">
        <v>303</v>
      </c>
    </row>
    <row r="27" spans="1:19" x14ac:dyDescent="0.3">
      <c r="B27" s="225" t="s">
        <v>144</v>
      </c>
      <c r="C27" s="378">
        <f>BS!D5</f>
        <v>3208</v>
      </c>
      <c r="D27" s="378">
        <f>BS!E5</f>
        <v>4309</v>
      </c>
      <c r="E27" s="378">
        <f>BS!F5</f>
        <v>4804</v>
      </c>
      <c r="F27" s="378">
        <f>BS!K5</f>
        <v>5024</v>
      </c>
      <c r="G27" s="512">
        <f>BS!L5</f>
        <v>5081</v>
      </c>
      <c r="H27" s="385">
        <f>H25*N27</f>
        <v>4660.9771153007223</v>
      </c>
      <c r="I27" s="378">
        <f>I25*$N$27</f>
        <v>4800.8064287597444</v>
      </c>
      <c r="J27" s="378">
        <f>J25*$N$27</f>
        <v>4992.8386859101347</v>
      </c>
      <c r="K27" s="378">
        <f>K25*$N$27</f>
        <v>5192.5522333465397</v>
      </c>
      <c r="L27" s="386">
        <f>L25*$N$27</f>
        <v>5452.1798450138676</v>
      </c>
      <c r="M27" s="221"/>
      <c r="N27" s="486">
        <f>'DCF Growth Rates'!H77</f>
        <v>0.32072413751694712</v>
      </c>
      <c r="O27" s="481"/>
      <c r="P27" s="475"/>
      <c r="Q27" s="438" t="s">
        <v>65</v>
      </c>
    </row>
    <row r="28" spans="1:19" x14ac:dyDescent="0.3">
      <c r="B28" s="225" t="s">
        <v>66</v>
      </c>
      <c r="C28" s="378">
        <f>BS!C23</f>
        <v>144</v>
      </c>
      <c r="D28" s="378">
        <f>BS!D23</f>
        <v>230</v>
      </c>
      <c r="E28" s="378">
        <f>BS!E23</f>
        <v>230</v>
      </c>
      <c r="F28" s="378">
        <f>BS!F23</f>
        <v>125</v>
      </c>
      <c r="G28" s="512">
        <f>BS!G23</f>
        <v>125</v>
      </c>
      <c r="H28" s="385">
        <f>H26*N28</f>
        <v>202.31543360882776</v>
      </c>
      <c r="I28" s="378">
        <f>I26*$N$28</f>
        <v>208.38489661709261</v>
      </c>
      <c r="J28" s="378">
        <f>J26*$N$28</f>
        <v>216.72029248177634</v>
      </c>
      <c r="K28" s="378">
        <f>K26*$N$28</f>
        <v>225.3891041810474</v>
      </c>
      <c r="L28" s="386">
        <f>L26*$N$28</f>
        <v>236.65855939009975</v>
      </c>
      <c r="M28" s="221"/>
      <c r="N28" s="486">
        <f>'DCF Growth Rates'!H93</f>
        <v>3.2968560195179866E-2</v>
      </c>
      <c r="O28" s="481"/>
      <c r="P28" s="475"/>
      <c r="Q28" s="438" t="s">
        <v>281</v>
      </c>
    </row>
    <row r="29" spans="1:19" x14ac:dyDescent="0.3">
      <c r="B29" s="225" t="s">
        <v>282</v>
      </c>
      <c r="C29" s="378">
        <f>(C25-C27)-(C26-C28)</f>
        <v>4605</v>
      </c>
      <c r="D29" s="378">
        <f>(D25-D27)-(D26-D28)</f>
        <v>3814</v>
      </c>
      <c r="E29" s="378">
        <f t="shared" ref="E29:L29" si="11">(E25-E27)-(E26-E28)</f>
        <v>4268</v>
      </c>
      <c r="F29" s="378">
        <f t="shared" si="11"/>
        <v>4320</v>
      </c>
      <c r="G29" s="512">
        <f t="shared" si="11"/>
        <v>4380</v>
      </c>
      <c r="H29" s="385">
        <f>(H25-H27)-(H26-H28)</f>
        <v>3937.3881973835014</v>
      </c>
      <c r="I29" s="378">
        <f t="shared" si="11"/>
        <v>4055.509843305008</v>
      </c>
      <c r="J29" s="378">
        <f t="shared" si="11"/>
        <v>4217.7302370372081</v>
      </c>
      <c r="K29" s="378">
        <f t="shared" si="11"/>
        <v>4386.4394465186961</v>
      </c>
      <c r="L29" s="386">
        <f t="shared" si="11"/>
        <v>4605.7614188446323</v>
      </c>
      <c r="M29" s="221"/>
      <c r="N29" s="480"/>
      <c r="O29" s="481"/>
      <c r="P29" s="475"/>
      <c r="Q29" s="438"/>
    </row>
    <row r="30" spans="1:19" ht="15" thickBot="1" x14ac:dyDescent="0.35">
      <c r="B30" s="232" t="s">
        <v>67</v>
      </c>
      <c r="C30" s="387"/>
      <c r="D30" s="387">
        <f>D29-C29</f>
        <v>-791</v>
      </c>
      <c r="E30" s="387">
        <f>E29-D29</f>
        <v>454</v>
      </c>
      <c r="F30" s="387">
        <f>F29-E29</f>
        <v>52</v>
      </c>
      <c r="G30" s="513">
        <f>G29-F29</f>
        <v>60</v>
      </c>
      <c r="H30" s="388">
        <f>H29-F29</f>
        <v>-382.61180261649861</v>
      </c>
      <c r="I30" s="387">
        <f>I29-H29</f>
        <v>118.12164592150657</v>
      </c>
      <c r="J30" s="387">
        <f>J29-I29</f>
        <v>162.22039373220014</v>
      </c>
      <c r="K30" s="387">
        <f>K29-J29</f>
        <v>168.70920948148796</v>
      </c>
      <c r="L30" s="389">
        <f>L29-K29</f>
        <v>219.32197232593626</v>
      </c>
      <c r="M30" s="221"/>
      <c r="N30" s="480"/>
      <c r="O30" s="481"/>
      <c r="P30" s="475"/>
      <c r="Q30" s="438"/>
    </row>
    <row r="31" spans="1:19" x14ac:dyDescent="0.3">
      <c r="B31" s="222"/>
      <c r="C31" s="396"/>
      <c r="D31" s="396"/>
      <c r="E31" s="396"/>
      <c r="F31" s="396"/>
      <c r="G31" s="396"/>
      <c r="H31" s="385"/>
      <c r="I31" s="378"/>
      <c r="J31" s="378"/>
      <c r="K31" s="378"/>
      <c r="L31" s="386"/>
      <c r="M31" s="221"/>
      <c r="N31" s="480"/>
      <c r="O31" s="481"/>
      <c r="P31" s="475"/>
      <c r="Q31" s="438"/>
    </row>
    <row r="32" spans="1:19" x14ac:dyDescent="0.3">
      <c r="B32" s="225" t="s">
        <v>70</v>
      </c>
      <c r="C32" s="378">
        <f>C17-C21+C16-C30</f>
        <v>2451</v>
      </c>
      <c r="D32" s="378">
        <f>D17-D21+D16-D30</f>
        <v>3048</v>
      </c>
      <c r="E32" s="378">
        <f t="shared" ref="E32:G32" si="12">E17-E21+E16-E30</f>
        <v>2446</v>
      </c>
      <c r="F32" s="378">
        <f t="shared" si="12"/>
        <v>2752</v>
      </c>
      <c r="G32" s="512">
        <f t="shared" si="12"/>
        <v>294</v>
      </c>
      <c r="H32" s="385">
        <f t="shared" ref="H32:L32" si="13">H17-H21+H16-H30</f>
        <v>2890.8389080289789</v>
      </c>
      <c r="I32" s="378">
        <f t="shared" si="13"/>
        <v>2465.3522726533483</v>
      </c>
      <c r="J32" s="378">
        <f t="shared" si="13"/>
        <v>2406.5385624635046</v>
      </c>
      <c r="K32" s="378">
        <f t="shared" si="13"/>
        <v>2502.8001049620443</v>
      </c>
      <c r="L32" s="386">
        <f t="shared" si="13"/>
        <v>2585.7628078397729</v>
      </c>
      <c r="M32" s="221"/>
      <c r="N32" s="480"/>
      <c r="O32" s="481"/>
      <c r="P32" s="475"/>
      <c r="Q32" s="438"/>
    </row>
    <row r="33" spans="1:19" ht="15" thickBot="1" x14ac:dyDescent="0.35">
      <c r="B33" s="232" t="s">
        <v>283</v>
      </c>
      <c r="C33" s="387">
        <f>CF!D28</f>
        <v>-717</v>
      </c>
      <c r="D33" s="387">
        <f>CF!E28</f>
        <v>-952</v>
      </c>
      <c r="E33" s="387">
        <f>CF!F28</f>
        <v>-628</v>
      </c>
      <c r="F33" s="387">
        <f>CF!K28</f>
        <v>-612</v>
      </c>
      <c r="G33" s="513">
        <f>CF!L28</f>
        <v>-151</v>
      </c>
      <c r="H33" s="385">
        <f>H7*N33</f>
        <v>-832.14760003682136</v>
      </c>
      <c r="I33" s="378">
        <f>I7*$N$33</f>
        <v>-857.11202803792605</v>
      </c>
      <c r="J33" s="378">
        <f>J7*$N$33</f>
        <v>-891.3965091594431</v>
      </c>
      <c r="K33" s="378">
        <f>K7*$N$33</f>
        <v>-927.05236952582095</v>
      </c>
      <c r="L33" s="386">
        <f>L7*$N$33</f>
        <v>-973.40498800211196</v>
      </c>
      <c r="M33" s="221"/>
      <c r="N33" s="489">
        <f>'DCF Growth Rates'!H67</f>
        <v>-5.6930628789667106E-2</v>
      </c>
      <c r="O33" s="482"/>
      <c r="P33" s="483"/>
      <c r="Q33" s="443" t="s">
        <v>303</v>
      </c>
    </row>
    <row r="34" spans="1:19" ht="15" thickBot="1" x14ac:dyDescent="0.35">
      <c r="B34" s="234" t="s">
        <v>69</v>
      </c>
      <c r="C34" s="399">
        <f t="shared" ref="C34:L34" si="14">SUM(C32:C33)</f>
        <v>1734</v>
      </c>
      <c r="D34" s="399">
        <f t="shared" si="14"/>
        <v>2096</v>
      </c>
      <c r="E34" s="399">
        <f t="shared" si="14"/>
        <v>1818</v>
      </c>
      <c r="F34" s="399">
        <f>SUM(F32:F33)</f>
        <v>2140</v>
      </c>
      <c r="G34" s="516">
        <f>SUM(G32:G33)</f>
        <v>143</v>
      </c>
      <c r="H34" s="400">
        <f t="shared" si="14"/>
        <v>2058.6913079921578</v>
      </c>
      <c r="I34" s="399">
        <f t="shared" si="14"/>
        <v>1608.2402446154224</v>
      </c>
      <c r="J34" s="399">
        <f t="shared" si="14"/>
        <v>1515.1420533040614</v>
      </c>
      <c r="K34" s="399">
        <f t="shared" si="14"/>
        <v>1575.7477354362234</v>
      </c>
      <c r="L34" s="401">
        <f t="shared" si="14"/>
        <v>1612.3578198376608</v>
      </c>
      <c r="M34" s="221"/>
      <c r="N34" s="221"/>
      <c r="O34" s="221"/>
      <c r="P34" s="221"/>
    </row>
    <row r="35" spans="1:19" ht="16.05" thickTop="1" x14ac:dyDescent="0.2">
      <c r="B35" s="225"/>
      <c r="C35" s="221"/>
      <c r="D35" s="221"/>
      <c r="E35" s="221"/>
      <c r="F35" s="221"/>
      <c r="G35" s="221"/>
      <c r="H35" s="225"/>
      <c r="I35" s="221"/>
      <c r="J35" s="221"/>
      <c r="K35" s="221"/>
      <c r="L35" s="226"/>
      <c r="M35" s="221"/>
      <c r="N35" s="221"/>
      <c r="O35" s="221"/>
      <c r="P35" s="221"/>
    </row>
    <row r="36" spans="1:19" ht="15" x14ac:dyDescent="0.2">
      <c r="B36" s="225" t="s">
        <v>71</v>
      </c>
      <c r="C36" s="221"/>
      <c r="D36" s="221"/>
      <c r="E36" s="221"/>
      <c r="F36" s="221"/>
      <c r="G36" s="221"/>
      <c r="H36" s="225">
        <v>0.75</v>
      </c>
      <c r="I36" s="221">
        <v>1.75</v>
      </c>
      <c r="J36" s="221">
        <v>2.75</v>
      </c>
      <c r="K36" s="221">
        <v>3.75</v>
      </c>
      <c r="L36" s="226">
        <v>4.75</v>
      </c>
      <c r="M36" s="221"/>
      <c r="N36" s="221"/>
      <c r="O36" s="221"/>
      <c r="P36" s="221"/>
    </row>
    <row r="37" spans="1:19" s="4" customFormat="1" ht="16.05" thickBot="1" x14ac:dyDescent="0.25">
      <c r="A37" s="142"/>
      <c r="B37" s="232" t="s">
        <v>72</v>
      </c>
      <c r="C37" s="233"/>
      <c r="D37" s="233"/>
      <c r="E37" s="233"/>
      <c r="F37" s="233"/>
      <c r="G37" s="233"/>
      <c r="H37" s="388">
        <f>(H34)/((1+$K$48)^(H36))</f>
        <v>1905.5899370508118</v>
      </c>
      <c r="I37" s="387">
        <f>(I34)/((1+$K$48)^(I36))</f>
        <v>1342.8889658537225</v>
      </c>
      <c r="J37" s="387">
        <f>(J34)/((1+$K$48)^(J36))</f>
        <v>1141.2833772365859</v>
      </c>
      <c r="K37" s="387">
        <f>(K34)/((1+$K$48)^(K36))</f>
        <v>1070.7246251007518</v>
      </c>
      <c r="L37" s="389">
        <f>(L34)/((1+$K$48)^(L36))</f>
        <v>988.33343424711495</v>
      </c>
      <c r="M37" s="221"/>
      <c r="N37" s="221"/>
      <c r="O37" s="221"/>
      <c r="P37" s="221"/>
      <c r="S37" s="350"/>
    </row>
    <row r="38" spans="1:19" ht="16.05" thickBot="1" x14ac:dyDescent="0.25">
      <c r="B38" s="221"/>
      <c r="C38" s="221"/>
      <c r="D38" s="221"/>
      <c r="E38" s="221"/>
      <c r="F38" s="221"/>
      <c r="G38" s="221"/>
      <c r="H38" s="221"/>
      <c r="I38" s="221"/>
      <c r="J38" s="221"/>
      <c r="K38" s="221"/>
      <c r="L38" s="221"/>
      <c r="M38" s="221"/>
      <c r="N38" s="221"/>
      <c r="O38" s="221"/>
      <c r="P38" s="221"/>
    </row>
    <row r="39" spans="1:19" ht="15" x14ac:dyDescent="0.2">
      <c r="B39" s="527" t="s">
        <v>89</v>
      </c>
      <c r="C39" s="528"/>
      <c r="D39" s="221"/>
      <c r="E39" s="221"/>
      <c r="F39" s="221"/>
      <c r="G39" s="221"/>
      <c r="H39" s="221"/>
      <c r="I39" s="527" t="s">
        <v>76</v>
      </c>
      <c r="J39" s="539"/>
      <c r="K39" s="528"/>
      <c r="L39" s="221"/>
      <c r="M39" s="527" t="s">
        <v>84</v>
      </c>
      <c r="N39" s="539"/>
      <c r="O39" s="539"/>
      <c r="P39" s="528"/>
    </row>
    <row r="40" spans="1:19" x14ac:dyDescent="0.3">
      <c r="B40" s="235" t="s">
        <v>90</v>
      </c>
      <c r="C40" s="386">
        <f>SUM(H37:L37)</f>
        <v>6448.820339488987</v>
      </c>
      <c r="D40" s="221"/>
      <c r="E40" s="221"/>
      <c r="F40" s="221"/>
      <c r="G40" s="221"/>
      <c r="H40" s="221"/>
      <c r="I40" s="531" t="s">
        <v>23</v>
      </c>
      <c r="J40" s="532"/>
      <c r="K40" s="236">
        <v>1.54</v>
      </c>
      <c r="L40" s="221"/>
      <c r="M40" s="225" t="s">
        <v>86</v>
      </c>
      <c r="N40" s="231">
        <f>P40/($P$40+$P$41)</f>
        <v>0.86907035144497458</v>
      </c>
      <c r="O40" s="221"/>
      <c r="P40" s="386">
        <f>C47*C49</f>
        <v>14877.72</v>
      </c>
    </row>
    <row r="41" spans="1:19" ht="15" thickBot="1" x14ac:dyDescent="0.35">
      <c r="B41" s="230" t="s">
        <v>91</v>
      </c>
      <c r="C41" s="386">
        <f>((L34*(1+K43))/(K48-K43))/((1+K48)^L36)</f>
        <v>12962.318252616476</v>
      </c>
      <c r="D41" s="221"/>
      <c r="E41" s="221"/>
      <c r="F41" s="221"/>
      <c r="G41" s="221"/>
      <c r="H41" s="221"/>
      <c r="I41" s="529" t="s">
        <v>77</v>
      </c>
      <c r="J41" s="530"/>
      <c r="K41" s="238">
        <v>2.9899999999999999E-2</v>
      </c>
      <c r="L41" s="221"/>
      <c r="M41" s="232" t="s">
        <v>87</v>
      </c>
      <c r="N41" s="239">
        <f>P41/($P$40+$P$41)</f>
        <v>0.13092964855502551</v>
      </c>
      <c r="O41" s="233"/>
      <c r="P41" s="416">
        <f>(Obligations!C15)+BS!L25</f>
        <v>2241.4004201861303</v>
      </c>
    </row>
    <row r="42" spans="1:19" ht="15" thickBot="1" x14ac:dyDescent="0.35">
      <c r="B42" s="230" t="s">
        <v>92</v>
      </c>
      <c r="C42" s="386">
        <f>C40+C41</f>
        <v>19411.138592105464</v>
      </c>
      <c r="D42" s="221"/>
      <c r="E42" s="221"/>
      <c r="F42" s="221"/>
      <c r="G42" s="474"/>
      <c r="H42" s="221"/>
      <c r="I42" s="529" t="s">
        <v>78</v>
      </c>
      <c r="J42" s="530"/>
      <c r="K42" s="240">
        <v>0.06</v>
      </c>
      <c r="L42" s="221"/>
      <c r="M42" s="221"/>
      <c r="N42" s="221"/>
      <c r="O42" s="221"/>
      <c r="P42" s="221"/>
    </row>
    <row r="43" spans="1:19" ht="15" thickBot="1" x14ac:dyDescent="0.35">
      <c r="B43" s="230" t="s">
        <v>93</v>
      </c>
      <c r="C43" s="386">
        <f>BS!K5</f>
        <v>5024</v>
      </c>
      <c r="D43" s="221"/>
      <c r="E43" s="221"/>
      <c r="F43" s="221"/>
      <c r="G43" s="221"/>
      <c r="H43" s="221"/>
      <c r="I43" s="540" t="s">
        <v>79</v>
      </c>
      <c r="J43" s="541"/>
      <c r="K43" s="241">
        <v>0.03</v>
      </c>
      <c r="L43" s="221"/>
      <c r="M43" s="527" t="s">
        <v>85</v>
      </c>
      <c r="N43" s="539"/>
      <c r="O43" s="539"/>
      <c r="P43" s="528"/>
    </row>
    <row r="44" spans="1:19" ht="15" thickBot="1" x14ac:dyDescent="0.35">
      <c r="B44" s="230" t="s">
        <v>87</v>
      </c>
      <c r="C44" s="386">
        <f>P41</f>
        <v>2241.4004201861303</v>
      </c>
      <c r="D44" s="221"/>
      <c r="E44" s="221"/>
      <c r="F44" s="221"/>
      <c r="G44" s="221"/>
      <c r="H44" s="221"/>
      <c r="I44" s="221"/>
      <c r="J44" s="221"/>
      <c r="K44" s="221"/>
      <c r="L44" s="221"/>
      <c r="M44" s="232" t="s">
        <v>88</v>
      </c>
      <c r="N44" s="233"/>
      <c r="O44" s="233"/>
      <c r="P44" s="242">
        <v>0.35</v>
      </c>
    </row>
    <row r="45" spans="1:19" ht="15" thickBot="1" x14ac:dyDescent="0.35">
      <c r="B45" s="243" t="s">
        <v>94</v>
      </c>
      <c r="C45" s="389">
        <f>C42-(C44-C43)</f>
        <v>22193.738171919333</v>
      </c>
      <c r="D45" s="221"/>
      <c r="E45" s="221"/>
      <c r="F45" s="221"/>
      <c r="G45" s="221"/>
      <c r="H45" s="221"/>
      <c r="I45" s="527" t="s">
        <v>80</v>
      </c>
      <c r="J45" s="539"/>
      <c r="K45" s="528"/>
      <c r="L45" s="221"/>
      <c r="M45" s="221"/>
      <c r="N45" s="221"/>
      <c r="O45" s="221"/>
      <c r="P45" s="221"/>
    </row>
    <row r="46" spans="1:19" ht="15" thickBot="1" x14ac:dyDescent="0.35">
      <c r="B46" s="221"/>
      <c r="C46" s="221"/>
      <c r="D46" s="221"/>
      <c r="E46" s="221"/>
      <c r="F46" s="221"/>
      <c r="G46" s="221"/>
      <c r="H46" s="221"/>
      <c r="I46" s="531" t="s">
        <v>81</v>
      </c>
      <c r="J46" s="532"/>
      <c r="K46" s="240">
        <f>K41+K40*K42</f>
        <v>0.12229999999999999</v>
      </c>
      <c r="L46" s="221"/>
      <c r="M46" s="221"/>
      <c r="N46" s="221"/>
      <c r="O46" s="221"/>
      <c r="P46" s="221"/>
    </row>
    <row r="47" spans="1:19" x14ac:dyDescent="0.3">
      <c r="B47" s="244" t="s">
        <v>95</v>
      </c>
      <c r="C47" s="408">
        <f>G23</f>
        <v>234</v>
      </c>
      <c r="D47" s="221"/>
      <c r="E47" s="221"/>
      <c r="F47" s="221"/>
      <c r="G47" s="221"/>
      <c r="H47" s="221"/>
      <c r="I47" s="529" t="s">
        <v>82</v>
      </c>
      <c r="J47" s="530"/>
      <c r="K47" s="240">
        <v>2.64E-2</v>
      </c>
      <c r="L47" s="221"/>
      <c r="M47" s="221"/>
      <c r="N47" s="221"/>
      <c r="O47" s="221"/>
      <c r="P47" s="221"/>
    </row>
    <row r="48" spans="1:19" ht="15" thickBot="1" x14ac:dyDescent="0.35">
      <c r="B48" s="245" t="s">
        <v>96</v>
      </c>
      <c r="C48" s="246">
        <f>C45/C47</f>
        <v>94.845034922732196</v>
      </c>
      <c r="D48" s="221"/>
      <c r="E48" s="221"/>
      <c r="F48" s="221"/>
      <c r="G48" s="221"/>
      <c r="H48" s="221"/>
      <c r="I48" s="533" t="s">
        <v>83</v>
      </c>
      <c r="J48" s="534"/>
      <c r="K48" s="407">
        <f>(N40*K46)+((N41*K47)*(1-P44))</f>
        <v>0.10853405675092462</v>
      </c>
      <c r="L48" s="221"/>
      <c r="M48" s="221"/>
      <c r="N48" s="221"/>
      <c r="O48" s="221"/>
      <c r="P48" s="221"/>
    </row>
    <row r="49" spans="1:19" s="311" customFormat="1" x14ac:dyDescent="0.3">
      <c r="A49" s="142"/>
      <c r="B49" s="402" t="s">
        <v>101</v>
      </c>
      <c r="C49" s="246">
        <f>Valuation!C9</f>
        <v>63.58</v>
      </c>
      <c r="D49" s="221"/>
      <c r="E49" s="221"/>
      <c r="F49" s="221"/>
      <c r="G49" s="221"/>
      <c r="H49" s="221"/>
      <c r="I49" s="403"/>
      <c r="J49" s="403"/>
      <c r="K49" s="310"/>
      <c r="L49" s="221"/>
      <c r="M49" s="221"/>
      <c r="N49" s="221"/>
      <c r="O49" s="221"/>
      <c r="P49" s="221"/>
      <c r="S49" s="350"/>
    </row>
    <row r="50" spans="1:19" ht="15" thickBot="1" x14ac:dyDescent="0.35">
      <c r="B50" s="247" t="s">
        <v>306</v>
      </c>
      <c r="C50" s="404">
        <f>C48/C49-1</f>
        <v>0.49174323565165468</v>
      </c>
      <c r="D50" s="221"/>
      <c r="E50" s="221"/>
      <c r="F50" s="221"/>
      <c r="G50" s="221"/>
      <c r="H50" s="221"/>
      <c r="I50" s="221"/>
      <c r="J50" s="221"/>
      <c r="K50" s="221"/>
      <c r="L50" s="221"/>
      <c r="M50" s="221"/>
      <c r="N50" s="221"/>
      <c r="O50" s="221"/>
      <c r="P50" s="221"/>
    </row>
    <row r="51" spans="1:19" ht="15" thickBot="1" x14ac:dyDescent="0.35">
      <c r="B51" s="221"/>
      <c r="C51" s="221"/>
      <c r="D51" s="221"/>
      <c r="E51" s="221"/>
      <c r="F51" s="221"/>
      <c r="G51" s="221"/>
      <c r="H51" s="221"/>
      <c r="I51" s="221"/>
      <c r="J51" s="221"/>
      <c r="K51" s="221"/>
      <c r="L51" s="221"/>
      <c r="M51" s="221"/>
      <c r="N51" s="221"/>
      <c r="O51" s="221"/>
      <c r="P51" s="221"/>
    </row>
    <row r="52" spans="1:19" ht="15" thickBot="1" x14ac:dyDescent="0.35">
      <c r="B52" s="221"/>
      <c r="C52" s="221"/>
      <c r="D52" s="221"/>
      <c r="E52" s="535" t="s">
        <v>314</v>
      </c>
      <c r="F52" s="536"/>
      <c r="G52" s="536"/>
      <c r="H52" s="536"/>
      <c r="I52" s="536"/>
      <c r="J52" s="536"/>
      <c r="K52" s="536"/>
      <c r="L52" s="536"/>
      <c r="M52" s="536"/>
      <c r="N52" s="537"/>
      <c r="O52" s="221"/>
      <c r="Q52" s="436"/>
    </row>
    <row r="53" spans="1:19" ht="15" thickBot="1" x14ac:dyDescent="0.35">
      <c r="B53" s="221"/>
      <c r="C53" s="221"/>
      <c r="D53" s="221"/>
      <c r="E53" s="248">
        <f>C48</f>
        <v>94.845034922732196</v>
      </c>
      <c r="F53" s="249">
        <f>G53-0.0025</f>
        <v>9.8534056750924609E-2</v>
      </c>
      <c r="G53" s="249">
        <f t="shared" ref="G53:H53" si="15">H53-0.0025</f>
        <v>0.10103405675092461</v>
      </c>
      <c r="H53" s="249">
        <f t="shared" si="15"/>
        <v>0.10353405675092461</v>
      </c>
      <c r="I53" s="249">
        <f>J53-0.0025</f>
        <v>0.10603405675092462</v>
      </c>
      <c r="J53" s="556">
        <f>K48</f>
        <v>0.10853405675092462</v>
      </c>
      <c r="K53" s="249">
        <f>J53+0.0025</f>
        <v>0.11103405675092462</v>
      </c>
      <c r="L53" s="249">
        <f t="shared" ref="L53:N53" si="16">K53+0.0025</f>
        <v>0.11353405675092462</v>
      </c>
      <c r="M53" s="249">
        <f t="shared" si="16"/>
        <v>0.11603405675092462</v>
      </c>
      <c r="N53" s="249">
        <f t="shared" si="16"/>
        <v>0.11853405675092463</v>
      </c>
      <c r="O53" s="221"/>
      <c r="Q53" s="436"/>
    </row>
    <row r="54" spans="1:19" ht="15" customHeight="1" x14ac:dyDescent="0.3">
      <c r="B54" s="221"/>
      <c r="C54" s="221"/>
      <c r="D54" s="250"/>
      <c r="E54" s="251">
        <f t="shared" ref="E54:E55" si="17">E55-0.0025</f>
        <v>2.2500000000000003E-2</v>
      </c>
      <c r="F54" s="555">
        <f t="dataTable" ref="F54:N60" dt2D="1" dtr="1" r1="K48" r2="K43" ca="1"/>
        <v>99.362299978739159</v>
      </c>
      <c r="G54" s="555">
        <v>108.50415578135707</v>
      </c>
      <c r="H54" s="555">
        <v>115.79549391797379</v>
      </c>
      <c r="I54" s="555">
        <v>119.88842185183317</v>
      </c>
      <c r="J54" s="555">
        <v>119.88842185183317</v>
      </c>
      <c r="K54" s="555">
        <v>115.79549391797379</v>
      </c>
      <c r="L54" s="555">
        <v>108.50415578135707</v>
      </c>
      <c r="M54" s="555">
        <v>99.362299978739159</v>
      </c>
      <c r="N54" s="555">
        <v>89.647834082728181</v>
      </c>
      <c r="O54" s="221"/>
      <c r="Q54" s="436"/>
    </row>
    <row r="55" spans="1:19" ht="15" customHeight="1" x14ac:dyDescent="0.3">
      <c r="B55" s="221"/>
      <c r="C55" s="221"/>
      <c r="D55" s="252"/>
      <c r="E55" s="251">
        <f t="shared" si="17"/>
        <v>2.5000000000000001E-2</v>
      </c>
      <c r="F55" s="555">
        <v>101.52819882757775</v>
      </c>
      <c r="G55" s="555">
        <v>111.24963087630523</v>
      </c>
      <c r="H55" s="555">
        <v>119.05531556294595</v>
      </c>
      <c r="I55" s="555">
        <v>123.45740990814673</v>
      </c>
      <c r="J55" s="555">
        <v>123.45740990814673</v>
      </c>
      <c r="K55" s="555">
        <v>119.05531556294595</v>
      </c>
      <c r="L55" s="555">
        <v>111.24963087630523</v>
      </c>
      <c r="M55" s="555">
        <v>101.52819882757775</v>
      </c>
      <c r="N55" s="555">
        <v>91.27654011230139</v>
      </c>
      <c r="O55" s="221"/>
      <c r="Q55" s="436"/>
    </row>
    <row r="56" spans="1:19" ht="15" customHeight="1" x14ac:dyDescent="0.3">
      <c r="B56" s="221"/>
      <c r="C56" s="221"/>
      <c r="D56" s="538" t="s">
        <v>79</v>
      </c>
      <c r="E56" s="251">
        <f>E57-0.0025</f>
        <v>2.75E-2</v>
      </c>
      <c r="F56" s="555">
        <v>103.84655263590386</v>
      </c>
      <c r="G56" s="555">
        <v>114.21116923207363</v>
      </c>
      <c r="H56" s="555">
        <v>122.59359233523345</v>
      </c>
      <c r="I56" s="555">
        <v>127.34486393526961</v>
      </c>
      <c r="J56" s="555">
        <v>127.34486393526961</v>
      </c>
      <c r="K56" s="555">
        <v>122.59359233523345</v>
      </c>
      <c r="L56" s="555">
        <v>114.21116923207363</v>
      </c>
      <c r="M56" s="555">
        <v>103.84655263590386</v>
      </c>
      <c r="N56" s="555">
        <v>93.005741297545981</v>
      </c>
      <c r="O56" s="221"/>
      <c r="Q56" s="436"/>
    </row>
    <row r="57" spans="1:19" x14ac:dyDescent="0.3">
      <c r="B57" s="221"/>
      <c r="C57" s="221"/>
      <c r="D57" s="538"/>
      <c r="E57" s="554">
        <v>0.03</v>
      </c>
      <c r="F57" s="555">
        <v>106.33404525770715</v>
      </c>
      <c r="G57" s="555">
        <v>117.41532118043462</v>
      </c>
      <c r="H57" s="555">
        <v>126.44759466599831</v>
      </c>
      <c r="I57" s="555">
        <v>131.59540029381472</v>
      </c>
      <c r="J57" s="557">
        <v>131.59540029381472</v>
      </c>
      <c r="K57" s="555">
        <v>126.44759466599831</v>
      </c>
      <c r="L57" s="555">
        <v>117.41532118043462</v>
      </c>
      <c r="M57" s="555">
        <v>106.33404525770715</v>
      </c>
      <c r="N57" s="555">
        <v>94.845034922732196</v>
      </c>
      <c r="O57" s="221"/>
      <c r="Q57" s="436"/>
    </row>
    <row r="58" spans="1:19" x14ac:dyDescent="0.3">
      <c r="B58" s="221"/>
      <c r="C58" s="221"/>
      <c r="D58" s="538"/>
      <c r="E58" s="251">
        <f>E57-0.0025</f>
        <v>2.75E-2</v>
      </c>
      <c r="F58" s="555">
        <v>103.84655263590386</v>
      </c>
      <c r="G58" s="555">
        <v>114.21116923207363</v>
      </c>
      <c r="H58" s="555">
        <v>122.59359233523345</v>
      </c>
      <c r="I58" s="555">
        <v>127.34486393526961</v>
      </c>
      <c r="J58" s="555">
        <v>127.34486393526961</v>
      </c>
      <c r="K58" s="555">
        <v>122.59359233523345</v>
      </c>
      <c r="L58" s="555">
        <v>114.21116923207363</v>
      </c>
      <c r="M58" s="555">
        <v>103.84655263590386</v>
      </c>
      <c r="N58" s="555">
        <v>93.005741297545981</v>
      </c>
      <c r="O58" s="221"/>
      <c r="Q58" s="436"/>
    </row>
    <row r="59" spans="1:19" x14ac:dyDescent="0.3">
      <c r="B59" s="221"/>
      <c r="C59" s="221"/>
      <c r="D59" s="252"/>
      <c r="E59" s="251">
        <f t="shared" ref="E59:E60" si="18">E58+0.0025</f>
        <v>0.03</v>
      </c>
      <c r="F59" s="555">
        <v>106.33404525770715</v>
      </c>
      <c r="G59" s="555">
        <v>117.41532118043462</v>
      </c>
      <c r="H59" s="555">
        <v>126.44759466599831</v>
      </c>
      <c r="I59" s="555">
        <v>131.59540029381472</v>
      </c>
      <c r="J59" s="555">
        <v>131.59540029381472</v>
      </c>
      <c r="K59" s="555">
        <v>126.44759466599831</v>
      </c>
      <c r="L59" s="555">
        <v>117.41532118043462</v>
      </c>
      <c r="M59" s="555">
        <v>106.33404525770715</v>
      </c>
      <c r="N59" s="555">
        <v>94.845034922732196</v>
      </c>
      <c r="O59" s="221"/>
      <c r="Q59" s="436"/>
    </row>
    <row r="60" spans="1:19" ht="15" thickBot="1" x14ac:dyDescent="0.35">
      <c r="B60" s="221"/>
      <c r="C60" s="221"/>
      <c r="D60" s="253"/>
      <c r="E60" s="251">
        <f t="shared" si="18"/>
        <v>3.2500000000000001E-2</v>
      </c>
      <c r="F60" s="555">
        <v>109.0098870999124</v>
      </c>
      <c r="G60" s="555">
        <v>120.89317293077545</v>
      </c>
      <c r="H60" s="555">
        <v>130.66155499029767</v>
      </c>
      <c r="I60" s="555">
        <v>136.26237781235716</v>
      </c>
      <c r="J60" s="555">
        <v>136.26237781235716</v>
      </c>
      <c r="K60" s="555">
        <v>130.66155499029767</v>
      </c>
      <c r="L60" s="555">
        <v>120.89317293077545</v>
      </c>
      <c r="M60" s="555">
        <v>109.0098870999124</v>
      </c>
      <c r="N60" s="555">
        <v>96.805280507065561</v>
      </c>
      <c r="O60" s="221"/>
      <c r="Q60" s="436"/>
    </row>
    <row r="61" spans="1:19" ht="47.55" customHeight="1" x14ac:dyDescent="0.3">
      <c r="G61"/>
      <c r="Q61" s="436"/>
    </row>
    <row r="62" spans="1:19" s="352" customFormat="1" ht="47.55" customHeight="1" x14ac:dyDescent="0.3">
      <c r="A62" s="142"/>
      <c r="S62" s="350"/>
    </row>
  </sheetData>
  <mergeCells count="17">
    <mergeCell ref="I48:J48"/>
    <mergeCell ref="E52:N52"/>
    <mergeCell ref="D56:D58"/>
    <mergeCell ref="I39:K39"/>
    <mergeCell ref="M39:P39"/>
    <mergeCell ref="I43:J43"/>
    <mergeCell ref="M43:P43"/>
    <mergeCell ref="I45:K45"/>
    <mergeCell ref="I42:J42"/>
    <mergeCell ref="I41:J41"/>
    <mergeCell ref="I40:J40"/>
    <mergeCell ref="H5:I5"/>
    <mergeCell ref="J5:K5"/>
    <mergeCell ref="N5:P5"/>
    <mergeCell ref="B39:C39"/>
    <mergeCell ref="I47:J47"/>
    <mergeCell ref="I46:J46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3"/>
  <sheetViews>
    <sheetView showGridLines="0" topLeftCell="G4" zoomScale="77" zoomScaleNormal="77" zoomScalePageLayoutView="77" workbookViewId="0">
      <selection activeCell="V13" sqref="V13"/>
    </sheetView>
  </sheetViews>
  <sheetFormatPr defaultColWidth="8.77734375" defaultRowHeight="14.4" x14ac:dyDescent="0.3"/>
  <cols>
    <col min="1" max="1" width="3.44140625" style="311" customWidth="1"/>
    <col min="2" max="2" width="25.109375" bestFit="1" customWidth="1"/>
    <col min="4" max="4" width="11.33203125" customWidth="1"/>
    <col min="6" max="6" width="8.77734375" customWidth="1"/>
    <col min="8" max="8" width="12.109375" customWidth="1"/>
    <col min="12" max="12" width="12.109375" bestFit="1" customWidth="1"/>
    <col min="14" max="14" width="17.77734375" bestFit="1" customWidth="1"/>
    <col min="16" max="16" width="11.6640625" bestFit="1" customWidth="1"/>
    <col min="18" max="18" width="9.44140625" bestFit="1" customWidth="1"/>
    <col min="21" max="21" width="14.44140625" customWidth="1"/>
    <col min="22" max="22" width="10.109375" bestFit="1" customWidth="1"/>
    <col min="24" max="24" width="8.77734375" style="350"/>
  </cols>
  <sheetData>
    <row r="1" spans="2:24" ht="18" customHeight="1" thickBot="1" x14ac:dyDescent="0.35">
      <c r="X1" s="149"/>
    </row>
    <row r="2" spans="2:24" ht="52.2" customHeight="1" x14ac:dyDescent="0.3">
      <c r="B2" s="444"/>
      <c r="C2" s="440"/>
      <c r="D2" s="440"/>
      <c r="E2" s="440"/>
      <c r="F2" s="440"/>
      <c r="G2" s="440"/>
      <c r="H2" s="440"/>
      <c r="I2" s="440"/>
      <c r="J2" s="440"/>
      <c r="K2" s="440"/>
      <c r="L2" s="440"/>
      <c r="M2" s="440"/>
      <c r="N2" s="440"/>
      <c r="O2" s="440"/>
      <c r="P2" s="440"/>
      <c r="Q2" s="440"/>
      <c r="R2" s="441"/>
    </row>
    <row r="3" spans="2:24" ht="3.75" customHeight="1" x14ac:dyDescent="0.3">
      <c r="B3" s="473"/>
      <c r="C3" s="471"/>
      <c r="D3" s="471"/>
      <c r="E3" s="471"/>
      <c r="F3" s="471"/>
      <c r="G3" s="471"/>
      <c r="H3" s="471"/>
      <c r="I3" s="471"/>
      <c r="J3" s="471"/>
      <c r="K3" s="471"/>
      <c r="L3" s="471"/>
      <c r="M3" s="471"/>
      <c r="N3" s="471"/>
      <c r="O3" s="471"/>
      <c r="P3" s="471"/>
      <c r="Q3" s="471"/>
      <c r="R3" s="415"/>
    </row>
    <row r="4" spans="2:24" x14ac:dyDescent="0.3">
      <c r="B4" s="445" t="s">
        <v>105</v>
      </c>
      <c r="C4" s="439"/>
      <c r="D4" s="439"/>
      <c r="E4" s="439"/>
      <c r="F4" s="439"/>
      <c r="G4" s="439"/>
      <c r="H4" s="439"/>
      <c r="I4" s="439"/>
      <c r="J4" s="439"/>
      <c r="K4" s="439"/>
      <c r="L4" s="439"/>
      <c r="M4" s="439"/>
      <c r="N4" s="439"/>
      <c r="O4" s="439"/>
      <c r="P4" s="439"/>
      <c r="Q4" s="439"/>
      <c r="R4" s="438"/>
    </row>
    <row r="5" spans="2:24" ht="24.45" customHeight="1" x14ac:dyDescent="0.3">
      <c r="B5" s="445"/>
      <c r="C5" s="449" t="s">
        <v>138</v>
      </c>
      <c r="D5" s="456" t="s">
        <v>137</v>
      </c>
      <c r="E5" s="457" t="s">
        <v>284</v>
      </c>
      <c r="F5" s="449" t="s">
        <v>285</v>
      </c>
      <c r="G5" s="449" t="s">
        <v>310</v>
      </c>
      <c r="H5" s="449" t="s">
        <v>140</v>
      </c>
      <c r="I5" s="439"/>
      <c r="J5" s="439"/>
      <c r="K5" s="439"/>
      <c r="L5" s="439"/>
      <c r="M5" s="439"/>
      <c r="N5" s="439"/>
      <c r="O5" s="439"/>
      <c r="P5" s="439"/>
      <c r="Q5" s="439"/>
      <c r="R5" s="438"/>
    </row>
    <row r="6" spans="2:24" ht="15" thickBot="1" x14ac:dyDescent="0.35">
      <c r="B6" s="445"/>
      <c r="C6" s="458" t="s">
        <v>139</v>
      </c>
      <c r="D6" s="458" t="s">
        <v>136</v>
      </c>
      <c r="E6" s="458" t="s">
        <v>22</v>
      </c>
      <c r="F6" s="458" t="s">
        <v>142</v>
      </c>
      <c r="G6" s="458" t="s">
        <v>311</v>
      </c>
      <c r="H6" s="458" t="s">
        <v>141</v>
      </c>
      <c r="I6" s="439"/>
      <c r="J6" s="458" t="s">
        <v>148</v>
      </c>
      <c r="K6" s="459"/>
      <c r="L6" s="458" t="s">
        <v>291</v>
      </c>
      <c r="M6" s="459"/>
      <c r="N6" s="458" t="s">
        <v>154</v>
      </c>
      <c r="O6" s="439"/>
      <c r="P6" s="458" t="s">
        <v>155</v>
      </c>
      <c r="Q6" s="439"/>
      <c r="R6" s="460" t="s">
        <v>104</v>
      </c>
      <c r="T6" t="s">
        <v>300</v>
      </c>
    </row>
    <row r="7" spans="2:24" x14ac:dyDescent="0.3">
      <c r="B7" s="453" t="s">
        <v>112</v>
      </c>
      <c r="C7" s="461" t="s">
        <v>286</v>
      </c>
      <c r="D7" s="462" t="s">
        <v>287</v>
      </c>
      <c r="E7" s="462" t="s">
        <v>288</v>
      </c>
      <c r="F7" s="462" t="s">
        <v>289</v>
      </c>
      <c r="G7" s="462" t="s">
        <v>312</v>
      </c>
      <c r="H7" s="462" t="s">
        <v>290</v>
      </c>
      <c r="I7" s="452"/>
      <c r="J7" s="452"/>
      <c r="K7" s="452"/>
      <c r="L7" s="452"/>
      <c r="M7" s="452"/>
      <c r="N7" s="452"/>
      <c r="O7" s="452"/>
      <c r="P7" s="452"/>
      <c r="Q7" s="452"/>
      <c r="R7" s="454"/>
      <c r="T7" s="544" t="s">
        <v>297</v>
      </c>
      <c r="U7" s="545"/>
      <c r="V7" s="323">
        <f>DCF!H7</f>
        <v>14616.869999999999</v>
      </c>
    </row>
    <row r="8" spans="2:24" ht="15" customHeight="1" x14ac:dyDescent="0.3">
      <c r="B8" s="445"/>
      <c r="C8" s="448"/>
      <c r="D8" s="451"/>
      <c r="E8" s="451"/>
      <c r="F8" s="451"/>
      <c r="G8" s="451"/>
      <c r="H8" s="451"/>
      <c r="I8" s="439"/>
      <c r="J8" s="439"/>
      <c r="K8" s="439"/>
      <c r="L8" s="439"/>
      <c r="M8" s="439"/>
      <c r="N8" s="439"/>
      <c r="O8" s="439"/>
      <c r="P8" s="472"/>
      <c r="Q8" s="439"/>
      <c r="R8" s="438"/>
      <c r="T8" s="546" t="s">
        <v>298</v>
      </c>
      <c r="U8" s="547"/>
      <c r="V8" s="324">
        <f>DCF!H22</f>
        <v>1396.204230226389</v>
      </c>
    </row>
    <row r="9" spans="2:24" x14ac:dyDescent="0.3">
      <c r="B9" s="504" t="s">
        <v>113</v>
      </c>
      <c r="C9" s="505"/>
      <c r="D9" s="506"/>
      <c r="E9" s="506"/>
      <c r="F9" s="506"/>
      <c r="G9" s="506"/>
      <c r="H9" s="506"/>
      <c r="I9" s="439"/>
      <c r="J9" s="439"/>
      <c r="K9" s="439"/>
      <c r="L9" s="449" t="s">
        <v>149</v>
      </c>
      <c r="M9" s="439"/>
      <c r="N9" s="439"/>
      <c r="O9" s="439"/>
      <c r="P9" s="472"/>
      <c r="Q9" s="439"/>
      <c r="R9" s="438"/>
      <c r="T9" s="546" t="s">
        <v>299</v>
      </c>
      <c r="U9" s="547"/>
      <c r="V9" s="325">
        <f>Historical!N7</f>
        <v>5.9666847445572175</v>
      </c>
    </row>
    <row r="10" spans="2:24" x14ac:dyDescent="0.3">
      <c r="B10" s="453" t="s">
        <v>114</v>
      </c>
      <c r="C10" s="464">
        <v>12.08</v>
      </c>
      <c r="D10" s="464">
        <v>9.26</v>
      </c>
      <c r="E10" s="464">
        <v>37.409999999999997</v>
      </c>
      <c r="F10" s="464">
        <v>21.99</v>
      </c>
      <c r="G10" s="419">
        <v>6.32</v>
      </c>
      <c r="H10" s="464">
        <v>24.75</v>
      </c>
      <c r="I10" s="492"/>
      <c r="J10" s="485">
        <f>SUMPRODUCT(D10:H10,D11:H11)</f>
        <v>21.189</v>
      </c>
      <c r="K10" s="492"/>
      <c r="L10" s="485">
        <f>V9</f>
        <v>5.9666847445572175</v>
      </c>
      <c r="M10" s="492"/>
      <c r="N10" s="485">
        <f>J10*L10</f>
        <v>126.42808305242288</v>
      </c>
      <c r="O10" s="492"/>
      <c r="P10" s="485">
        <f>N10</f>
        <v>126.42808305242288</v>
      </c>
      <c r="Q10" s="492"/>
      <c r="R10" s="465">
        <v>0.25</v>
      </c>
      <c r="T10" s="546" t="s">
        <v>95</v>
      </c>
      <c r="U10" s="547"/>
      <c r="V10" s="259">
        <f>DCF!C47</f>
        <v>234</v>
      </c>
    </row>
    <row r="11" spans="2:24" x14ac:dyDescent="0.3">
      <c r="B11" s="496" t="s">
        <v>104</v>
      </c>
      <c r="C11" s="497"/>
      <c r="D11" s="498">
        <v>0.3</v>
      </c>
      <c r="E11" s="498">
        <v>0.25</v>
      </c>
      <c r="F11" s="498">
        <v>0.2</v>
      </c>
      <c r="G11" s="498">
        <v>0.15</v>
      </c>
      <c r="H11" s="498">
        <v>0.15</v>
      </c>
      <c r="I11" s="502"/>
      <c r="J11" s="503"/>
      <c r="K11" s="502"/>
      <c r="L11" s="502"/>
      <c r="M11" s="502"/>
      <c r="N11" s="503"/>
      <c r="O11" s="502"/>
      <c r="P11" s="503"/>
      <c r="Q11" s="502"/>
      <c r="R11" s="508"/>
      <c r="T11" s="546" t="s">
        <v>86</v>
      </c>
      <c r="U11" s="547"/>
      <c r="V11" s="259">
        <f>BS!K36</f>
        <v>9219</v>
      </c>
    </row>
    <row r="12" spans="2:24" x14ac:dyDescent="0.3">
      <c r="B12" s="445"/>
      <c r="C12" s="448"/>
      <c r="D12" s="451"/>
      <c r="E12" s="451"/>
      <c r="F12" s="451"/>
      <c r="G12" s="451"/>
      <c r="H12" s="451"/>
      <c r="I12" s="439"/>
      <c r="J12" s="455"/>
      <c r="K12" s="472"/>
      <c r="L12" s="472"/>
      <c r="M12" s="439"/>
      <c r="N12" s="455"/>
      <c r="O12" s="439"/>
      <c r="P12" s="495"/>
      <c r="Q12" s="439"/>
      <c r="R12" s="447"/>
      <c r="T12" s="546" t="s">
        <v>143</v>
      </c>
      <c r="U12" s="547"/>
      <c r="V12" s="206">
        <f>'DCF Growth Rates'!H93</f>
        <v>3.2968560195179866E-2</v>
      </c>
    </row>
    <row r="13" spans="2:24" x14ac:dyDescent="0.3">
      <c r="B13" s="504" t="s">
        <v>115</v>
      </c>
      <c r="C13" s="505"/>
      <c r="D13" s="506"/>
      <c r="E13" s="506"/>
      <c r="F13" s="506"/>
      <c r="G13" s="506"/>
      <c r="H13" s="506"/>
      <c r="I13" s="439"/>
      <c r="J13" s="455"/>
      <c r="K13" s="472"/>
      <c r="L13" s="493" t="s">
        <v>150</v>
      </c>
      <c r="M13" s="439"/>
      <c r="N13" s="455"/>
      <c r="O13" s="439"/>
      <c r="P13" s="495"/>
      <c r="Q13" s="439"/>
      <c r="R13" s="447"/>
      <c r="T13" s="546" t="s">
        <v>305</v>
      </c>
      <c r="U13" s="547"/>
      <c r="V13" s="324">
        <f>DCF!H17+DCF!H16</f>
        <v>2624.7933212940898</v>
      </c>
    </row>
    <row r="14" spans="2:24" x14ac:dyDescent="0.3">
      <c r="B14" s="453" t="s">
        <v>116</v>
      </c>
      <c r="C14" s="464">
        <v>1.1200000000000001</v>
      </c>
      <c r="D14" s="464">
        <v>0.89</v>
      </c>
      <c r="E14" s="464">
        <v>2.74</v>
      </c>
      <c r="F14" s="464">
        <v>2.02</v>
      </c>
      <c r="G14" s="464">
        <v>1.04</v>
      </c>
      <c r="H14" s="464">
        <v>1.7</v>
      </c>
      <c r="I14" s="492"/>
      <c r="J14" s="485">
        <f>SUMPRODUCT(D14:H14,D15:H15)</f>
        <v>1.7669999999999999</v>
      </c>
      <c r="K14" s="492"/>
      <c r="L14" s="485">
        <f>V7/V10</f>
        <v>62.465256410256409</v>
      </c>
      <c r="M14" s="492"/>
      <c r="N14" s="485">
        <f>J14*L14</f>
        <v>110.37610807692307</v>
      </c>
      <c r="O14" s="492"/>
      <c r="P14" s="485">
        <f>N14</f>
        <v>110.37610807692307</v>
      </c>
      <c r="Q14" s="492"/>
      <c r="R14" s="465">
        <v>0.25</v>
      </c>
      <c r="T14" s="546" t="s">
        <v>83</v>
      </c>
      <c r="U14" s="547"/>
      <c r="V14" s="326">
        <f>DCF!K48</f>
        <v>0.10853405675092462</v>
      </c>
    </row>
    <row r="15" spans="2:24" x14ac:dyDescent="0.3">
      <c r="B15" s="496" t="s">
        <v>104</v>
      </c>
      <c r="C15" s="497"/>
      <c r="D15" s="498">
        <v>0.3</v>
      </c>
      <c r="E15" s="498">
        <v>0.25</v>
      </c>
      <c r="F15" s="498">
        <v>0.2</v>
      </c>
      <c r="G15" s="498">
        <v>0.15</v>
      </c>
      <c r="H15" s="498">
        <v>0.15</v>
      </c>
      <c r="I15" s="502"/>
      <c r="J15" s="503"/>
      <c r="K15" s="502"/>
      <c r="L15" s="502"/>
      <c r="M15" s="502"/>
      <c r="N15" s="503"/>
      <c r="O15" s="502"/>
      <c r="P15" s="503"/>
      <c r="Q15" s="502"/>
      <c r="R15" s="508"/>
      <c r="T15" s="546" t="s">
        <v>144</v>
      </c>
      <c r="U15" s="547"/>
      <c r="V15" s="259">
        <f>BS!K5</f>
        <v>5024</v>
      </c>
    </row>
    <row r="16" spans="2:24" x14ac:dyDescent="0.3">
      <c r="B16" s="445"/>
      <c r="C16" s="448"/>
      <c r="D16" s="451"/>
      <c r="E16" s="451"/>
      <c r="F16" s="451"/>
      <c r="G16" s="451"/>
      <c r="H16" s="451"/>
      <c r="I16" s="439"/>
      <c r="J16" s="455"/>
      <c r="K16" s="439"/>
      <c r="L16" s="439"/>
      <c r="M16" s="439"/>
      <c r="N16" s="455"/>
      <c r="O16" s="439"/>
      <c r="P16" s="495"/>
      <c r="Q16" s="439"/>
      <c r="R16" s="447"/>
      <c r="T16" s="546" t="s">
        <v>145</v>
      </c>
      <c r="U16" s="547"/>
      <c r="V16" s="259">
        <f>BS!K25</f>
        <v>2156</v>
      </c>
    </row>
    <row r="17" spans="2:24" x14ac:dyDescent="0.3">
      <c r="B17" s="504" t="s">
        <v>117</v>
      </c>
      <c r="C17" s="505"/>
      <c r="D17" s="506"/>
      <c r="E17" s="506"/>
      <c r="F17" s="506"/>
      <c r="G17" s="506"/>
      <c r="H17" s="506"/>
      <c r="I17" s="439"/>
      <c r="J17" s="455"/>
      <c r="K17" s="439"/>
      <c r="L17" s="449" t="s">
        <v>151</v>
      </c>
      <c r="M17" s="439"/>
      <c r="N17" s="455"/>
      <c r="O17" s="439"/>
      <c r="P17" s="495"/>
      <c r="Q17" s="439"/>
      <c r="R17" s="447"/>
      <c r="T17" s="546" t="s">
        <v>146</v>
      </c>
      <c r="U17" s="547"/>
      <c r="V17" s="264">
        <v>0</v>
      </c>
    </row>
    <row r="18" spans="2:24" x14ac:dyDescent="0.3">
      <c r="B18" s="453" t="s">
        <v>118</v>
      </c>
      <c r="C18" s="464">
        <v>1.68</v>
      </c>
      <c r="D18" s="464">
        <v>4.09</v>
      </c>
      <c r="E18" s="464">
        <v>2.78</v>
      </c>
      <c r="F18" s="464">
        <v>2.46</v>
      </c>
      <c r="G18" s="464">
        <v>1.34</v>
      </c>
      <c r="H18" s="464">
        <v>3.49</v>
      </c>
      <c r="I18" s="492"/>
      <c r="J18" s="485">
        <f>SUMPRODUCT(D18:H18,D19:H19)</f>
        <v>3.1384999999999996</v>
      </c>
      <c r="K18" s="492"/>
      <c r="L18" s="485">
        <f>V11/V10</f>
        <v>39.397435897435898</v>
      </c>
      <c r="M18" s="492"/>
      <c r="N18" s="485">
        <f>J18*L18</f>
        <v>123.64885256410255</v>
      </c>
      <c r="O18" s="492"/>
      <c r="P18" s="485">
        <f>N18</f>
        <v>123.64885256410255</v>
      </c>
      <c r="Q18" s="492"/>
      <c r="R18" s="465">
        <v>0.2</v>
      </c>
      <c r="T18" s="546" t="s">
        <v>147</v>
      </c>
      <c r="U18" s="547"/>
      <c r="V18" s="264">
        <v>0</v>
      </c>
    </row>
    <row r="19" spans="2:24" x14ac:dyDescent="0.3">
      <c r="B19" s="496" t="s">
        <v>104</v>
      </c>
      <c r="C19" s="497"/>
      <c r="D19" s="498">
        <v>0.3</v>
      </c>
      <c r="E19" s="498">
        <v>0.25</v>
      </c>
      <c r="F19" s="498">
        <v>0.2</v>
      </c>
      <c r="G19" s="498">
        <v>0.15</v>
      </c>
      <c r="H19" s="498">
        <v>0.15</v>
      </c>
      <c r="I19" s="502"/>
      <c r="J19" s="503"/>
      <c r="K19" s="502"/>
      <c r="L19" s="502"/>
      <c r="M19" s="502"/>
      <c r="N19" s="503"/>
      <c r="O19" s="502"/>
      <c r="P19" s="503"/>
      <c r="Q19" s="502"/>
      <c r="R19" s="508"/>
      <c r="T19" s="548" t="s">
        <v>292</v>
      </c>
      <c r="U19" s="549"/>
      <c r="V19" s="254">
        <v>1</v>
      </c>
    </row>
    <row r="20" spans="2:24" ht="15" thickBot="1" x14ac:dyDescent="0.35">
      <c r="B20" s="445"/>
      <c r="C20" s="448"/>
      <c r="D20" s="451"/>
      <c r="E20" s="451"/>
      <c r="F20" s="451"/>
      <c r="G20" s="451"/>
      <c r="H20" s="451"/>
      <c r="I20" s="439"/>
      <c r="J20" s="455"/>
      <c r="K20" s="439"/>
      <c r="L20" s="439"/>
      <c r="M20" s="439"/>
      <c r="N20" s="455"/>
      <c r="O20" s="439"/>
      <c r="P20" s="495"/>
      <c r="Q20" s="439"/>
      <c r="R20" s="447"/>
      <c r="T20" s="542" t="s">
        <v>293</v>
      </c>
      <c r="U20" s="543"/>
      <c r="V20" s="258">
        <v>1</v>
      </c>
    </row>
    <row r="21" spans="2:24" x14ac:dyDescent="0.3">
      <c r="B21" s="504" t="s">
        <v>119</v>
      </c>
      <c r="C21" s="505"/>
      <c r="D21" s="506"/>
      <c r="E21" s="506"/>
      <c r="F21" s="506"/>
      <c r="G21" s="506"/>
      <c r="H21" s="506"/>
      <c r="I21" s="439"/>
      <c r="J21" s="455"/>
      <c r="K21" s="439"/>
      <c r="L21" s="449" t="s">
        <v>152</v>
      </c>
      <c r="M21" s="439"/>
      <c r="N21" s="455"/>
      <c r="O21" s="439"/>
      <c r="P21" s="495"/>
      <c r="Q21" s="439"/>
      <c r="R21" s="447"/>
    </row>
    <row r="22" spans="2:24" x14ac:dyDescent="0.3">
      <c r="B22" s="453" t="s">
        <v>120</v>
      </c>
      <c r="C22" s="464">
        <v>1.61</v>
      </c>
      <c r="D22" s="464">
        <v>1.26</v>
      </c>
      <c r="E22" s="464">
        <v>-11.41</v>
      </c>
      <c r="F22" s="464">
        <v>2.1</v>
      </c>
      <c r="G22" s="464">
        <v>11.73</v>
      </c>
      <c r="H22" s="464">
        <v>2.15</v>
      </c>
      <c r="I22" s="492"/>
      <c r="J22" s="485">
        <f>SUMPRODUCT(D22:H22,D23:H23)</f>
        <v>2.7500000000000024E-2</v>
      </c>
      <c r="K22" s="492"/>
      <c r="L22" s="494">
        <f>V12</f>
        <v>3.2968560195179866E-2</v>
      </c>
      <c r="M22" s="492"/>
      <c r="N22" s="485">
        <f>J22*(L22*100)*V9</f>
        <v>0.54096076420813966</v>
      </c>
      <c r="O22" s="492"/>
      <c r="P22" s="485">
        <f>N22</f>
        <v>0.54096076420813966</v>
      </c>
      <c r="Q22" s="492"/>
      <c r="R22" s="465">
        <v>0.15</v>
      </c>
    </row>
    <row r="23" spans="2:24" x14ac:dyDescent="0.3">
      <c r="B23" s="496" t="s">
        <v>104</v>
      </c>
      <c r="C23" s="497"/>
      <c r="D23" s="498">
        <v>0.3</v>
      </c>
      <c r="E23" s="498">
        <v>0.25</v>
      </c>
      <c r="F23" s="498">
        <v>0.2</v>
      </c>
      <c r="G23" s="498">
        <v>0.15</v>
      </c>
      <c r="H23" s="498">
        <v>0.15</v>
      </c>
      <c r="I23" s="502"/>
      <c r="J23" s="503"/>
      <c r="K23" s="502"/>
      <c r="L23" s="502"/>
      <c r="M23" s="502"/>
      <c r="N23" s="503"/>
      <c r="O23" s="502"/>
      <c r="P23" s="503"/>
      <c r="Q23" s="502"/>
      <c r="R23" s="508"/>
    </row>
    <row r="24" spans="2:24" x14ac:dyDescent="0.3">
      <c r="B24" s="445"/>
      <c r="C24" s="448"/>
      <c r="D24" s="451"/>
      <c r="E24" s="451"/>
      <c r="F24" s="451"/>
      <c r="G24" s="451"/>
      <c r="H24" s="451"/>
      <c r="I24" s="439"/>
      <c r="J24" s="455"/>
      <c r="K24" s="439"/>
      <c r="L24" s="439"/>
      <c r="M24" s="439"/>
      <c r="N24" s="455"/>
      <c r="O24" s="439"/>
      <c r="P24" s="495"/>
      <c r="Q24" s="439"/>
      <c r="R24" s="447"/>
    </row>
    <row r="25" spans="2:24" x14ac:dyDescent="0.3">
      <c r="B25" s="504" t="s">
        <v>121</v>
      </c>
      <c r="C25" s="505"/>
      <c r="D25" s="506"/>
      <c r="E25" s="506"/>
      <c r="F25" s="506"/>
      <c r="G25" s="506"/>
      <c r="H25" s="506"/>
      <c r="I25" s="439"/>
      <c r="J25" s="455"/>
      <c r="K25" s="439"/>
      <c r="L25" s="449" t="s">
        <v>153</v>
      </c>
      <c r="M25" s="439"/>
      <c r="N25" s="455"/>
      <c r="O25" s="439"/>
      <c r="P25" s="495"/>
      <c r="Q25" s="439"/>
      <c r="R25" s="447"/>
    </row>
    <row r="26" spans="2:24" x14ac:dyDescent="0.3">
      <c r="B26" s="453" t="s">
        <v>122</v>
      </c>
      <c r="C26" s="463">
        <v>4.72</v>
      </c>
      <c r="D26" s="464">
        <v>6.97</v>
      </c>
      <c r="E26" s="464">
        <v>10.78</v>
      </c>
      <c r="F26" s="464">
        <v>9.6300000000000008</v>
      </c>
      <c r="G26" s="464">
        <v>5.65</v>
      </c>
      <c r="H26" s="464">
        <v>9.2799999999999994</v>
      </c>
      <c r="I26" s="492"/>
      <c r="J26" s="485">
        <f>SUMPRODUCT(D26:H26,D27:H27)</f>
        <v>8.9514999999999993</v>
      </c>
      <c r="K26" s="492"/>
      <c r="L26" s="485">
        <f>V13/V10</f>
        <v>11.217065475615769</v>
      </c>
      <c r="M26" s="492"/>
      <c r="N26" s="485">
        <f>J26*L26-(V16+V17+V18)/V10+(V15)/V10</f>
        <v>112.66597186138479</v>
      </c>
      <c r="O26" s="492"/>
      <c r="P26" s="485">
        <f>N26</f>
        <v>112.66597186138479</v>
      </c>
      <c r="Q26" s="492"/>
      <c r="R26" s="465">
        <v>0.15</v>
      </c>
    </row>
    <row r="27" spans="2:24" ht="15" thickBot="1" x14ac:dyDescent="0.35">
      <c r="B27" s="499" t="s">
        <v>104</v>
      </c>
      <c r="C27" s="500"/>
      <c r="D27" s="501">
        <v>0.3</v>
      </c>
      <c r="E27" s="501">
        <v>0.25</v>
      </c>
      <c r="F27" s="501">
        <v>0.2</v>
      </c>
      <c r="G27" s="501">
        <v>0.15</v>
      </c>
      <c r="H27" s="501">
        <v>0.15</v>
      </c>
      <c r="I27" s="507"/>
      <c r="J27" s="412"/>
      <c r="K27" s="507"/>
      <c r="L27" s="507"/>
      <c r="M27" s="507"/>
      <c r="N27" s="507"/>
      <c r="O27" s="507"/>
      <c r="P27" s="507"/>
      <c r="Q27" s="507"/>
      <c r="R27" s="509"/>
    </row>
    <row r="28" spans="2:24" ht="15" thickBot="1" x14ac:dyDescent="0.35">
      <c r="I28" s="439"/>
      <c r="J28" s="495"/>
      <c r="K28" s="439"/>
    </row>
    <row r="29" spans="2:24" x14ac:dyDescent="0.3">
      <c r="I29" s="439"/>
      <c r="J29" s="495"/>
      <c r="K29" s="439"/>
      <c r="P29" s="54" t="s">
        <v>97</v>
      </c>
      <c r="Q29" s="8"/>
      <c r="R29" s="327">
        <f>SUMPRODUCT(P10:P26,R10:R26)</f>
        <v>100.91185818899592</v>
      </c>
    </row>
    <row r="30" spans="2:24" ht="15" thickBot="1" x14ac:dyDescent="0.35">
      <c r="I30" s="439"/>
      <c r="J30" s="495"/>
      <c r="K30" s="439"/>
      <c r="P30" s="542" t="s">
        <v>166</v>
      </c>
      <c r="Q30" s="543"/>
      <c r="R30" s="328">
        <f>(R29-Valuation!C9)/Valuation!C9</f>
        <v>0.58716354496690659</v>
      </c>
    </row>
    <row r="31" spans="2:24" ht="48" customHeight="1" x14ac:dyDescent="0.3">
      <c r="D31" s="450"/>
      <c r="E31" s="450"/>
      <c r="F31" s="450"/>
      <c r="G31" s="450"/>
      <c r="H31" s="450"/>
      <c r="R31" s="141"/>
    </row>
    <row r="32" spans="2:24" s="353" customFormat="1" ht="48" customHeight="1" x14ac:dyDescent="0.2">
      <c r="X32" s="350"/>
    </row>
    <row r="33" spans="18:18" ht="15" x14ac:dyDescent="0.2">
      <c r="R33" s="141"/>
    </row>
  </sheetData>
  <mergeCells count="15">
    <mergeCell ref="P30:Q30"/>
    <mergeCell ref="T7:U7"/>
    <mergeCell ref="T8:U8"/>
    <mergeCell ref="T9:U9"/>
    <mergeCell ref="T16:U16"/>
    <mergeCell ref="T17:U17"/>
    <mergeCell ref="T18:U18"/>
    <mergeCell ref="T10:U10"/>
    <mergeCell ref="T11:U11"/>
    <mergeCell ref="T12:U12"/>
    <mergeCell ref="T13:U13"/>
    <mergeCell ref="T14:U14"/>
    <mergeCell ref="T15:U15"/>
    <mergeCell ref="T19:U19"/>
    <mergeCell ref="T20:U20"/>
  </mergeCell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4"/>
  <sheetViews>
    <sheetView showGridLines="0" topLeftCell="A16" workbookViewId="0">
      <selection activeCell="C21" sqref="C21"/>
    </sheetView>
  </sheetViews>
  <sheetFormatPr defaultColWidth="8.77734375" defaultRowHeight="14.4" x14ac:dyDescent="0.3"/>
  <cols>
    <col min="1" max="1" width="3.44140625" customWidth="1"/>
    <col min="2" max="2" width="18.44140625" bestFit="1" customWidth="1"/>
    <col min="16" max="16" width="8.77734375" style="350"/>
  </cols>
  <sheetData>
    <row r="1" spans="2:16" ht="18" customHeight="1" x14ac:dyDescent="0.2">
      <c r="P1" s="149"/>
    </row>
    <row r="2" spans="2:16" ht="42.75" customHeight="1" x14ac:dyDescent="0.2">
      <c r="B2" s="19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1"/>
    </row>
    <row r="3" spans="2:16" ht="3.75" customHeight="1" x14ac:dyDescent="0.2">
      <c r="B3" s="192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93"/>
    </row>
    <row r="4" spans="2:16" ht="15" x14ac:dyDescent="0.2">
      <c r="B4" s="126" t="s">
        <v>106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0"/>
    </row>
    <row r="5" spans="2:16" ht="15" x14ac:dyDescent="0.2">
      <c r="B5" s="12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0"/>
    </row>
    <row r="6" spans="2:16" ht="15" x14ac:dyDescent="0.2">
      <c r="B6" s="333"/>
      <c r="C6" s="331"/>
      <c r="D6" s="336" t="s">
        <v>107</v>
      </c>
      <c r="E6" s="334" t="s">
        <v>108</v>
      </c>
      <c r="F6" s="336" t="s">
        <v>110</v>
      </c>
      <c r="G6" s="334" t="s">
        <v>109</v>
      </c>
      <c r="H6" s="336" t="s">
        <v>111</v>
      </c>
      <c r="I6" s="335" t="s">
        <v>57</v>
      </c>
      <c r="J6" s="337" t="s">
        <v>58</v>
      </c>
      <c r="K6" s="335" t="s">
        <v>59</v>
      </c>
      <c r="L6" s="337" t="s">
        <v>270</v>
      </c>
      <c r="M6" s="335" t="s">
        <v>294</v>
      </c>
      <c r="N6" s="338" t="s">
        <v>60</v>
      </c>
    </row>
    <row r="7" spans="2:16" ht="15" x14ac:dyDescent="0.2">
      <c r="B7" s="194" t="s">
        <v>123</v>
      </c>
      <c r="C7" s="32"/>
      <c r="D7" s="288">
        <v>1.76</v>
      </c>
      <c r="E7" s="288">
        <v>2.5</v>
      </c>
      <c r="F7" s="288">
        <v>3.84</v>
      </c>
      <c r="G7" s="288">
        <v>2.08</v>
      </c>
      <c r="H7" s="288">
        <v>5.93</v>
      </c>
      <c r="I7" s="256">
        <v>3.09</v>
      </c>
      <c r="J7" s="287">
        <v>6.58</v>
      </c>
      <c r="K7" s="287">
        <v>3.98</v>
      </c>
      <c r="L7" s="287">
        <v>6.68</v>
      </c>
      <c r="M7" s="289">
        <v>6.18</v>
      </c>
      <c r="N7" s="322">
        <f>DCF!H22/DCF!C47</f>
        <v>5.9666847445572175</v>
      </c>
    </row>
    <row r="8" spans="2:16" ht="15" x14ac:dyDescent="0.2">
      <c r="B8" s="74" t="s">
        <v>126</v>
      </c>
      <c r="C8" s="59"/>
      <c r="D8" s="59">
        <v>24.18</v>
      </c>
      <c r="E8" s="59">
        <v>22.89</v>
      </c>
      <c r="F8" s="59">
        <v>39.979999999999997</v>
      </c>
      <c r="G8" s="59">
        <v>32.299999999999997</v>
      </c>
      <c r="H8" s="59">
        <v>46.5</v>
      </c>
      <c r="I8" s="59">
        <v>41.24</v>
      </c>
      <c r="J8" s="59">
        <v>45.48</v>
      </c>
      <c r="K8" s="59">
        <v>70.09</v>
      </c>
      <c r="L8" s="59">
        <v>102.1</v>
      </c>
      <c r="M8" s="263">
        <v>114.279999</v>
      </c>
      <c r="N8" s="73"/>
    </row>
    <row r="9" spans="2:16" ht="15" x14ac:dyDescent="0.2">
      <c r="B9" s="56" t="s">
        <v>125</v>
      </c>
      <c r="C9" s="3"/>
      <c r="D9" s="3">
        <v>11.35</v>
      </c>
      <c r="E9" s="3">
        <v>16.05</v>
      </c>
      <c r="F9" s="3">
        <v>21.42</v>
      </c>
      <c r="G9" s="269">
        <v>9.93</v>
      </c>
      <c r="H9" s="269">
        <v>24.24</v>
      </c>
      <c r="I9" s="285">
        <v>23.62</v>
      </c>
      <c r="J9" s="269">
        <v>24.44</v>
      </c>
      <c r="K9" s="269">
        <v>33.409999999999997</v>
      </c>
      <c r="L9" s="269">
        <v>60.72</v>
      </c>
      <c r="M9" s="278">
        <v>76.489998</v>
      </c>
      <c r="N9" s="30"/>
    </row>
    <row r="10" spans="2:16" ht="15" x14ac:dyDescent="0.2">
      <c r="B10" s="330"/>
      <c r="C10" s="331"/>
      <c r="D10" s="331"/>
      <c r="E10" s="331"/>
      <c r="F10" s="331"/>
      <c r="G10" s="331"/>
      <c r="H10" s="331"/>
      <c r="I10" s="331"/>
      <c r="J10" s="331"/>
      <c r="K10" s="331"/>
      <c r="L10" s="331"/>
      <c r="M10" s="331"/>
      <c r="N10" s="329"/>
    </row>
    <row r="11" spans="2:16" ht="15" x14ac:dyDescent="0.2">
      <c r="B11" s="56" t="s">
        <v>124</v>
      </c>
      <c r="C11" s="3"/>
      <c r="D11" s="65">
        <f>D8/D7</f>
        <v>13.738636363636363</v>
      </c>
      <c r="E11" s="65">
        <f t="shared" ref="E11:L11" si="0">E8/E7</f>
        <v>9.1560000000000006</v>
      </c>
      <c r="F11" s="65">
        <f t="shared" si="0"/>
        <v>10.411458333333332</v>
      </c>
      <c r="G11" s="65">
        <f t="shared" si="0"/>
        <v>15.528846153846152</v>
      </c>
      <c r="H11" s="65">
        <f t="shared" si="0"/>
        <v>7.8414839797639129</v>
      </c>
      <c r="I11" s="65">
        <f t="shared" si="0"/>
        <v>13.346278317152105</v>
      </c>
      <c r="J11" s="65">
        <f t="shared" si="0"/>
        <v>6.9118541033434644</v>
      </c>
      <c r="K11" s="65">
        <f t="shared" si="0"/>
        <v>17.610552763819097</v>
      </c>
      <c r="L11" s="65">
        <f t="shared" si="0"/>
        <v>15.284431137724551</v>
      </c>
      <c r="M11" s="65">
        <f>M8/M7</f>
        <v>18.491909223300972</v>
      </c>
      <c r="N11" s="30"/>
    </row>
    <row r="12" spans="2:16" ht="16.05" thickBot="1" x14ac:dyDescent="0.25">
      <c r="B12" s="194" t="s">
        <v>127</v>
      </c>
      <c r="C12" s="32"/>
      <c r="D12" s="67">
        <f t="shared" ref="D12:L12" si="1">D9/D7</f>
        <v>6.4488636363636358</v>
      </c>
      <c r="E12" s="67">
        <f t="shared" si="1"/>
        <v>6.42</v>
      </c>
      <c r="F12" s="67">
        <f t="shared" si="1"/>
        <v>5.5781250000000009</v>
      </c>
      <c r="G12" s="67">
        <f t="shared" si="1"/>
        <v>4.7740384615384617</v>
      </c>
      <c r="H12" s="67">
        <f t="shared" si="1"/>
        <v>4.0876897133220913</v>
      </c>
      <c r="I12" s="67">
        <f t="shared" si="1"/>
        <v>7.6440129449838192</v>
      </c>
      <c r="J12" s="67">
        <f t="shared" si="1"/>
        <v>3.7142857142857144</v>
      </c>
      <c r="K12" s="67">
        <f t="shared" si="1"/>
        <v>8.3944723618090435</v>
      </c>
      <c r="L12" s="67">
        <f t="shared" si="1"/>
        <v>9.0898203592814379</v>
      </c>
      <c r="M12" s="67">
        <f>M9/M7</f>
        <v>12.377022330097088</v>
      </c>
      <c r="N12" s="31"/>
    </row>
    <row r="13" spans="2:16" ht="15" x14ac:dyDescent="0.2">
      <c r="B13" s="332"/>
      <c r="C13" s="550" t="s">
        <v>54</v>
      </c>
      <c r="D13" s="550"/>
      <c r="E13" s="550"/>
      <c r="F13" s="551"/>
      <c r="G13" s="552" t="s">
        <v>55</v>
      </c>
      <c r="H13" s="550"/>
      <c r="I13" s="550"/>
      <c r="J13" s="551"/>
      <c r="K13" s="552" t="s">
        <v>128</v>
      </c>
      <c r="L13" s="550"/>
      <c r="M13" s="550"/>
      <c r="N13" s="553"/>
    </row>
    <row r="14" spans="2:16" ht="15" x14ac:dyDescent="0.2">
      <c r="B14" s="74"/>
      <c r="C14" s="59" t="s">
        <v>129</v>
      </c>
      <c r="D14" s="59" t="s">
        <v>53</v>
      </c>
      <c r="E14" s="59" t="s">
        <v>130</v>
      </c>
      <c r="F14" s="61" t="s">
        <v>131</v>
      </c>
      <c r="G14" s="66" t="s">
        <v>129</v>
      </c>
      <c r="H14" s="59" t="s">
        <v>53</v>
      </c>
      <c r="I14" s="59" t="s">
        <v>130</v>
      </c>
      <c r="J14" s="61" t="s">
        <v>131</v>
      </c>
      <c r="K14" s="66" t="s">
        <v>129</v>
      </c>
      <c r="L14" s="59" t="s">
        <v>53</v>
      </c>
      <c r="M14" s="59" t="s">
        <v>130</v>
      </c>
      <c r="N14" s="73" t="s">
        <v>131</v>
      </c>
    </row>
    <row r="15" spans="2:16" ht="15" x14ac:dyDescent="0.2">
      <c r="B15" s="56" t="s">
        <v>132</v>
      </c>
      <c r="C15" s="65">
        <f>AVERAGE(K11:M11)</f>
        <v>17.128964374948207</v>
      </c>
      <c r="D15" s="65">
        <f>MEDIAN(K11:M11)</f>
        <v>17.610552763819097</v>
      </c>
      <c r="E15" s="65">
        <f>MAX(K11:M11)</f>
        <v>18.491909223300972</v>
      </c>
      <c r="F15" s="21">
        <f>MIN(K11:M11)</f>
        <v>15.284431137724551</v>
      </c>
      <c r="G15" s="68">
        <f>AVERAGE(I11:M11)</f>
        <v>14.329005109068039</v>
      </c>
      <c r="H15" s="65">
        <f>MEDIAN(I11:M11)</f>
        <v>15.284431137724551</v>
      </c>
      <c r="I15" s="65">
        <f>MAX(I11:M11)</f>
        <v>18.491909223300972</v>
      </c>
      <c r="J15" s="21">
        <f>MIN(I11:M11)</f>
        <v>6.9118541033434644</v>
      </c>
      <c r="K15" s="68">
        <f>AVERAGE(G11:M11)</f>
        <v>13.573622239850035</v>
      </c>
      <c r="L15" s="65">
        <f>MEDIAN(G11:M11)</f>
        <v>15.284431137724551</v>
      </c>
      <c r="M15" s="65">
        <f>MAX(G11:M11)</f>
        <v>18.491909223300972</v>
      </c>
      <c r="N15" s="195">
        <f>MIN(G11:M11)</f>
        <v>6.9118541033434644</v>
      </c>
    </row>
    <row r="16" spans="2:16" ht="15" x14ac:dyDescent="0.2">
      <c r="B16" s="74" t="s">
        <v>133</v>
      </c>
      <c r="C16" s="70">
        <f>AVERAGE(K12:M12)</f>
        <v>9.9537716837291903</v>
      </c>
      <c r="D16" s="70">
        <f>MEDIAN(K12:M12)</f>
        <v>9.0898203592814379</v>
      </c>
      <c r="E16" s="70">
        <f>MAX(K12:M12)</f>
        <v>12.377022330097088</v>
      </c>
      <c r="F16" s="71">
        <f>MIN(K12:M12)</f>
        <v>8.3944723618090435</v>
      </c>
      <c r="G16" s="72">
        <f>AVERAGE(I12:M12)</f>
        <v>8.243922742091419</v>
      </c>
      <c r="H16" s="70">
        <f>MEDIAN(I12:M12)</f>
        <v>8.3944723618090435</v>
      </c>
      <c r="I16" s="70">
        <f>MAX(I12:M12)</f>
        <v>12.377022330097088</v>
      </c>
      <c r="J16" s="71">
        <f>MIN(I12:M12)</f>
        <v>3.7142857142857144</v>
      </c>
      <c r="K16" s="72">
        <f>AVERAGE(G12:M12)</f>
        <v>7.1544774121882364</v>
      </c>
      <c r="L16" s="70">
        <f>MEDIAN(G12:M12)</f>
        <v>7.6440129449838192</v>
      </c>
      <c r="M16" s="70">
        <f>MAX(G12:M12)</f>
        <v>12.377022330097088</v>
      </c>
      <c r="N16" s="196">
        <f>MIN(G12:M12)</f>
        <v>3.7142857142857144</v>
      </c>
    </row>
    <row r="17" spans="2:16" ht="15" x14ac:dyDescent="0.2">
      <c r="B17" s="74" t="s">
        <v>129</v>
      </c>
      <c r="C17" s="65">
        <f>AVERAGE(C15:C16)</f>
        <v>13.541368029338699</v>
      </c>
      <c r="D17" s="65">
        <f>AVERAGE(D15:D16)</f>
        <v>13.350186561550267</v>
      </c>
      <c r="E17" s="3"/>
      <c r="F17" s="2"/>
      <c r="G17" s="68">
        <f>AVERAGE(G15:G16)</f>
        <v>11.286463925579728</v>
      </c>
      <c r="H17" s="69">
        <f>AVERAGE(H15:H16)</f>
        <v>11.839451749766798</v>
      </c>
      <c r="I17" s="3"/>
      <c r="J17" s="2"/>
      <c r="K17" s="68">
        <f>AVERAGE(K15:K16)</f>
        <v>10.364049826019135</v>
      </c>
      <c r="L17" s="69">
        <f>AVERAGE(L15:L16)</f>
        <v>11.464222041354185</v>
      </c>
      <c r="M17" s="3"/>
      <c r="N17" s="30"/>
    </row>
    <row r="18" spans="2:16" ht="16.05" thickBot="1" x14ac:dyDescent="0.25">
      <c r="B18" s="57" t="s">
        <v>97</v>
      </c>
      <c r="C18" s="315">
        <f>C17*N7</f>
        <v>80.797074041090042</v>
      </c>
      <c r="D18" s="315">
        <f>D17*N7</f>
        <v>79.656354493794751</v>
      </c>
      <c r="E18" s="316"/>
      <c r="F18" s="317"/>
      <c r="G18" s="318">
        <f>G17*N7</f>
        <v>67.342772124751932</v>
      </c>
      <c r="H18" s="315">
        <f>H17*N7</f>
        <v>70.642276139254818</v>
      </c>
      <c r="I18" s="316"/>
      <c r="J18" s="317"/>
      <c r="K18" s="318">
        <f>K17*N7</f>
        <v>61.839017988739258</v>
      </c>
      <c r="L18" s="315">
        <f>L17*N7</f>
        <v>68.403398762364617</v>
      </c>
      <c r="M18" s="316"/>
      <c r="N18" s="197"/>
    </row>
    <row r="19" spans="2:16" ht="16.05" thickBot="1" x14ac:dyDescent="0.25">
      <c r="B19" s="126"/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M19" s="285"/>
      <c r="N19" s="30"/>
    </row>
    <row r="20" spans="2:16" ht="15" x14ac:dyDescent="0.2">
      <c r="B20" s="198" t="s">
        <v>134</v>
      </c>
      <c r="C20" s="319">
        <f>AVERAGE(C18,D18,G18,H18,K18,L18)</f>
        <v>71.446815591665896</v>
      </c>
      <c r="D20" s="285"/>
      <c r="E20" s="285"/>
      <c r="F20" s="285"/>
      <c r="G20" s="285"/>
      <c r="H20" s="285"/>
      <c r="I20" s="285"/>
      <c r="J20" s="285"/>
      <c r="K20" s="285"/>
      <c r="L20" s="285"/>
      <c r="M20" s="285"/>
      <c r="N20" s="30"/>
    </row>
    <row r="21" spans="2:16" ht="15" x14ac:dyDescent="0.2">
      <c r="B21" s="199" t="s">
        <v>135</v>
      </c>
      <c r="C21" s="320">
        <f>C20/((1+DCF!K47)^1)</f>
        <v>69.609134442386889</v>
      </c>
      <c r="D21" s="285"/>
      <c r="E21" s="285"/>
      <c r="F21" s="285"/>
      <c r="G21" s="285"/>
      <c r="H21" s="285"/>
      <c r="I21" s="285"/>
      <c r="J21" s="285"/>
      <c r="K21" s="285"/>
      <c r="L21" s="285"/>
      <c r="M21" s="285"/>
      <c r="N21" s="30"/>
    </row>
    <row r="22" spans="2:16" ht="15" x14ac:dyDescent="0.2">
      <c r="B22" s="200" t="s">
        <v>165</v>
      </c>
      <c r="C22" s="321">
        <f>(C21-Valuation!C9)/Valuation!C9</f>
        <v>9.4827531336692208E-2</v>
      </c>
      <c r="D22" s="265"/>
      <c r="E22" s="265"/>
      <c r="F22" s="265"/>
      <c r="G22" s="265"/>
      <c r="H22" s="265"/>
      <c r="I22" s="265"/>
      <c r="J22" s="265"/>
      <c r="K22" s="265"/>
      <c r="L22" s="265"/>
      <c r="M22" s="265"/>
      <c r="N22" s="34"/>
    </row>
    <row r="23" spans="2:16" ht="47.55" customHeight="1" x14ac:dyDescent="0.2"/>
    <row r="24" spans="2:16" s="353" customFormat="1" ht="47.55" customHeight="1" x14ac:dyDescent="0.2">
      <c r="P24" s="350"/>
    </row>
  </sheetData>
  <mergeCells count="3">
    <mergeCell ref="C13:F13"/>
    <mergeCell ref="G13:J13"/>
    <mergeCell ref="K13:N13"/>
  </mergeCells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showGridLines="0" workbookViewId="0">
      <selection activeCell="E20" sqref="E20"/>
    </sheetView>
  </sheetViews>
  <sheetFormatPr defaultColWidth="8.77734375" defaultRowHeight="14.4" x14ac:dyDescent="0.3"/>
  <cols>
    <col min="1" max="1" width="3.44140625" customWidth="1"/>
    <col min="2" max="2" width="22.33203125" bestFit="1" customWidth="1"/>
    <col min="9" max="9" width="8.77734375" style="350"/>
  </cols>
  <sheetData>
    <row r="1" spans="2:9" ht="18" customHeight="1" thickBot="1" x14ac:dyDescent="0.25">
      <c r="I1" s="149"/>
    </row>
    <row r="2" spans="2:9" ht="30" customHeight="1" x14ac:dyDescent="0.2">
      <c r="B2" s="16"/>
      <c r="C2" s="8"/>
      <c r="D2" s="8"/>
      <c r="E2" s="8"/>
      <c r="F2" s="8"/>
      <c r="G2" s="9"/>
    </row>
    <row r="3" spans="2:9" ht="3.75" customHeight="1" x14ac:dyDescent="0.2">
      <c r="B3" s="190"/>
      <c r="C3" s="140"/>
      <c r="D3" s="140"/>
      <c r="E3" s="140"/>
      <c r="F3" s="140"/>
      <c r="G3" s="140"/>
    </row>
    <row r="4" spans="2:9" ht="15" x14ac:dyDescent="0.2">
      <c r="B4" s="17" t="s">
        <v>156</v>
      </c>
      <c r="C4" s="3"/>
      <c r="D4" s="3"/>
      <c r="E4" s="3"/>
      <c r="F4" s="3"/>
      <c r="G4" s="2"/>
    </row>
    <row r="5" spans="2:9" ht="15" x14ac:dyDescent="0.2">
      <c r="B5" s="17"/>
      <c r="C5" s="262">
        <v>2011</v>
      </c>
      <c r="D5" s="262">
        <v>2012</v>
      </c>
      <c r="E5" s="263">
        <v>2013</v>
      </c>
      <c r="F5" s="263">
        <v>2014</v>
      </c>
      <c r="G5" s="2">
        <v>2015</v>
      </c>
    </row>
    <row r="6" spans="2:9" ht="15" x14ac:dyDescent="0.2">
      <c r="B6" s="38" t="s">
        <v>157</v>
      </c>
      <c r="C6" s="341">
        <f>IS!C22/IS!C5</f>
        <v>7.6212471131639717E-2</v>
      </c>
      <c r="D6" s="341">
        <f>IS!D22/IS!D5</f>
        <v>0.12918736977079659</v>
      </c>
      <c r="E6" s="341">
        <f>IS!E22/IS!E5</f>
        <v>6.3839489284085726E-2</v>
      </c>
      <c r="F6" s="341">
        <f>IS!F22/IS!F5</f>
        <v>0.10687376074025115</v>
      </c>
      <c r="G6" s="341">
        <f>IS!K22/IS!K5</f>
        <v>0.10053527312654406</v>
      </c>
    </row>
    <row r="7" spans="2:9" ht="15" x14ac:dyDescent="0.2">
      <c r="B7" s="12" t="s">
        <v>158</v>
      </c>
      <c r="C7" s="304">
        <f>IS!C7/BS!C15</f>
        <v>0.22062084257206208</v>
      </c>
      <c r="D7" s="304">
        <f>IS!D7/BS!D15</f>
        <v>0.25608897648880757</v>
      </c>
      <c r="E7" s="304">
        <f>IS!E7/BS!E15</f>
        <v>0.31084354516956397</v>
      </c>
      <c r="F7" s="304">
        <f>IS!F7/BS!F15</f>
        <v>0.28130847151429123</v>
      </c>
      <c r="G7" s="304">
        <f>IS!K7/BS!K15</f>
        <v>0.2780449245767736</v>
      </c>
    </row>
    <row r="8" spans="2:9" ht="15" x14ac:dyDescent="0.2">
      <c r="B8" s="64" t="s">
        <v>159</v>
      </c>
      <c r="C8" s="340">
        <f>C7*C6</f>
        <v>1.6814059595561311E-2</v>
      </c>
      <c r="D8" s="340">
        <f t="shared" ref="D8:G8" si="0">D7*D6</f>
        <v>3.3083461299884417E-2</v>
      </c>
      <c r="E8" s="340">
        <f t="shared" si="0"/>
        <v>1.9844093170879595E-2</v>
      </c>
      <c r="F8" s="340">
        <f t="shared" si="0"/>
        <v>3.0064494278824117E-2</v>
      </c>
      <c r="G8" s="340">
        <f t="shared" si="0"/>
        <v>2.7953322433775279E-2</v>
      </c>
    </row>
    <row r="9" spans="2:9" ht="15" x14ac:dyDescent="0.2">
      <c r="B9" s="12" t="s">
        <v>161</v>
      </c>
      <c r="C9" s="304">
        <f>IS!C22/IS!C20</f>
        <v>0.93076923076923079</v>
      </c>
      <c r="D9" s="304">
        <f>IS!D22/IS!D20</f>
        <v>0.91747296528173017</v>
      </c>
      <c r="E9" s="304">
        <f>IS!E22/IS!E20</f>
        <v>0.80196399345335512</v>
      </c>
      <c r="F9" s="304">
        <f>IS!F22/IS!F20</f>
        <v>0.92294520547945202</v>
      </c>
      <c r="G9" s="304">
        <f>IS!K22/IS!K20</f>
        <v>0.92897907419150283</v>
      </c>
    </row>
    <row r="10" spans="2:9" ht="15" x14ac:dyDescent="0.2">
      <c r="B10" s="12" t="s">
        <v>160</v>
      </c>
      <c r="C10" s="304">
        <f>IS!C20/IS!C15</f>
        <v>0.99871959026888601</v>
      </c>
      <c r="D10" s="304">
        <f>IS!D20/IS!D15</f>
        <v>0.9920948616600791</v>
      </c>
      <c r="E10" s="304">
        <f>IS!E20/IS!E15</f>
        <v>0.96524486571879942</v>
      </c>
      <c r="F10" s="304">
        <f>IS!F20/IS!F15</f>
        <v>0.97822445561139026</v>
      </c>
      <c r="G10" s="304">
        <f>IS!K20/IS!K15</f>
        <v>0.97889509621353199</v>
      </c>
    </row>
    <row r="11" spans="2:9" ht="15" x14ac:dyDescent="0.2">
      <c r="B11" s="12" t="s">
        <v>162</v>
      </c>
      <c r="C11" s="304">
        <f>IS!C15/IS!C5</f>
        <v>8.198614318706697E-2</v>
      </c>
      <c r="D11" s="304">
        <f>IS!D15/IS!D5</f>
        <v>0.14192979644173745</v>
      </c>
      <c r="E11" s="304">
        <f>IS!E15/IS!E5</f>
        <v>8.2470197381278088E-2</v>
      </c>
      <c r="F11" s="304">
        <f>IS!F15/IS!F5</f>
        <v>0.11837409120951752</v>
      </c>
      <c r="G11" s="304">
        <f>IS!K15/IS!K5</f>
        <v>0.11055448805929179</v>
      </c>
    </row>
    <row r="12" spans="2:9" ht="15" x14ac:dyDescent="0.2">
      <c r="B12" s="13" t="s">
        <v>158</v>
      </c>
      <c r="C12" s="342">
        <f>IS!C5/BS!C15</f>
        <v>1.1734417344173442</v>
      </c>
      <c r="D12" s="342">
        <f>IS!D5/BS!D15</f>
        <v>0.87836125580740532</v>
      </c>
      <c r="E12" s="342">
        <f>IS!E5/BS!E15</f>
        <v>1.0936876603020804</v>
      </c>
      <c r="F12" s="342">
        <f>IS!F5/BS!F15</f>
        <v>0.97619201238789599</v>
      </c>
      <c r="G12" s="342">
        <f>IS!K5/BS!K15</f>
        <v>0.95988406560832618</v>
      </c>
    </row>
    <row r="13" spans="2:9" ht="15" x14ac:dyDescent="0.2">
      <c r="B13" s="12" t="s">
        <v>163</v>
      </c>
      <c r="C13" s="304">
        <f>BS!C15/BS!C36</f>
        <v>1.4792274052478134</v>
      </c>
      <c r="D13" s="304">
        <f>BS!D15/BS!D36</f>
        <v>1.8523927500325987</v>
      </c>
      <c r="E13" s="304">
        <f>BS!E15/BS!E36</f>
        <v>1.7782845559356393</v>
      </c>
      <c r="F13" s="304">
        <f>BS!F15/BS!F36</f>
        <v>1.7528839629043202</v>
      </c>
      <c r="G13" s="304">
        <f>BS!K15/BS!K36</f>
        <v>1.6467078858878403</v>
      </c>
    </row>
    <row r="14" spans="2:9" ht="16.05" thickBot="1" x14ac:dyDescent="0.25">
      <c r="B14" s="29" t="s">
        <v>164</v>
      </c>
      <c r="C14" s="339">
        <f>C9*C10*C11*C12*C13</f>
        <v>0.13228862973760933</v>
      </c>
      <c r="D14" s="339">
        <f t="shared" ref="D14:G14" si="1">D9*D10*D11*D12*D13</f>
        <v>0.21019689659668794</v>
      </c>
      <c r="E14" s="339">
        <f t="shared" si="1"/>
        <v>0.12416064867604207</v>
      </c>
      <c r="F14" s="339">
        <f t="shared" si="1"/>
        <v>0.18287717710925128</v>
      </c>
      <c r="G14" s="339">
        <f t="shared" si="1"/>
        <v>0.15891094478793794</v>
      </c>
    </row>
    <row r="15" spans="2:9" ht="47.55" customHeight="1" x14ac:dyDescent="0.2"/>
    <row r="16" spans="2:9" s="353" customFormat="1" ht="47.55" customHeight="1" x14ac:dyDescent="0.2">
      <c r="I16" s="35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haredWithUsers xmlns="faf8ab08-df85-4b45-9a25-4853a5308fc4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084352A9DD44782AAE30CCB053054" ma:contentTypeVersion="3" ma:contentTypeDescription="Create a new document." ma:contentTypeScope="" ma:versionID="4af07afffe989817c7d9e0f3d5944535">
  <xsd:schema xmlns:xsd="http://www.w3.org/2001/XMLSchema" xmlns:xs="http://www.w3.org/2001/XMLSchema" xmlns:p="http://schemas.microsoft.com/office/2006/metadata/properties" xmlns:ns2="faf8ab08-df85-4b45-9a25-4853a5308fc4" targetNamespace="http://schemas.microsoft.com/office/2006/metadata/properties" ma:root="true" ma:fieldsID="a3e24726ebf187f996c2857b7fdaaed8" ns2:_="">
    <xsd:import namespace="faf8ab08-df85-4b45-9a25-4853a5308fc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8ab08-df85-4b45-9a25-4853a5308fc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A041EA-DBD4-4F13-B6EA-B38000AB0FC3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af8ab08-df85-4b45-9a25-4853a5308fc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0495D10-BAC2-49E9-89D8-E94A1337F531}"/>
</file>

<file path=customXml/itemProps3.xml><?xml version="1.0" encoding="utf-8"?>
<ds:datastoreItem xmlns:ds="http://schemas.openxmlformats.org/officeDocument/2006/customXml" ds:itemID="{AB8D119B-87C6-4B9B-B059-78B9F0108B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Financials &gt;</vt:lpstr>
      <vt:lpstr>BS</vt:lpstr>
      <vt:lpstr>IS</vt:lpstr>
      <vt:lpstr>CF</vt:lpstr>
      <vt:lpstr>Valuations &gt;</vt:lpstr>
      <vt:lpstr>Valuation</vt:lpstr>
      <vt:lpstr>Beta</vt:lpstr>
      <vt:lpstr>Obligations</vt:lpstr>
      <vt:lpstr>DCF Growth Rates</vt:lpstr>
      <vt:lpstr>DCF</vt:lpstr>
      <vt:lpstr>Relative</vt:lpstr>
      <vt:lpstr>Historical</vt:lpstr>
      <vt:lpstr>DuPont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Varghese</dc:creator>
  <cp:lastModifiedBy>AHastings756@gmail.com</cp:lastModifiedBy>
  <dcterms:created xsi:type="dcterms:W3CDTF">2014-03-28T19:49:45Z</dcterms:created>
  <dcterms:modified xsi:type="dcterms:W3CDTF">2015-11-13T04:49:59Z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0x01010007E084352A9DD44782AAE30CCB053054</vt:lpwstr>
  </property>
</Properties>
</file>